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75" windowWidth="11970" windowHeight="3720" tabRatio="886" activeTab="0"/>
  </bookViews>
  <sheets>
    <sheet name="TOT-1108" sheetId="1" r:id="rId1"/>
    <sheet name="LI-11 (1)" sheetId="2" r:id="rId2"/>
    <sheet name="LI-11 (2)" sheetId="3" r:id="rId3"/>
    <sheet name="Incendio" sheetId="4" r:id="rId4"/>
    <sheet name="TR-11 (1)" sheetId="5" r:id="rId5"/>
    <sheet name="TR-11 (2)" sheetId="6" r:id="rId6"/>
    <sheet name="T4CH - Nota SE N° 2492" sheetId="7" r:id="rId7"/>
    <sheet name="SA-11 (1)" sheetId="8" r:id="rId8"/>
    <sheet name="SA-11 (2)" sheetId="9" r:id="rId9"/>
    <sheet name="RE-11 (1)" sheetId="10" r:id="rId10"/>
    <sheet name="RE-11 (2)" sheetId="11" r:id="rId11"/>
    <sheet name="RE-IV-11 (1)" sheetId="12" r:id="rId12"/>
    <sheet name="RE-LITSA-11 (1)" sheetId="13" r:id="rId13"/>
    <sheet name="SA-TIBA-11 (1)" sheetId="14" r:id="rId14"/>
    <sheet name="TR-ENECOR-11 (1)" sheetId="15" r:id="rId15"/>
    <sheet name="RE-Res.01_03" sheetId="16" r:id="rId16"/>
    <sheet name="SUP-LITSA" sheetId="17" r:id="rId17"/>
    <sheet name="SUP-TIBA" sheetId="18" r:id="rId18"/>
    <sheet name="SUP-ENECOR" sheetId="19" r:id="rId19"/>
    <sheet name="TASA FALLA" sheetId="20" r:id="rId20"/>
    <sheet name="DATO" sheetId="21" r:id="rId21"/>
  </sheets>
  <externalReferences>
    <externalReference r:id="rId24"/>
  </externalReferences>
  <definedNames>
    <definedName name="_xlnm.Print_Area" localSheetId="1">'LI-11 (1)'!$A$1:$AD$38</definedName>
    <definedName name="_xlnm.Print_Area" localSheetId="2">'LI-11 (2)'!$A$1:$AD$44</definedName>
    <definedName name="_xlnm.Print_Area" localSheetId="9">'RE-11 (1)'!$A$1:$Y$43</definedName>
    <definedName name="_xlnm.Print_Area" localSheetId="10">'RE-11 (2)'!$A$1:$Y$44</definedName>
    <definedName name="_xlnm.Print_Area" localSheetId="11">'RE-IV-11 (1)'!$A$1:$W$44</definedName>
    <definedName name="_xlnm.Print_Area" localSheetId="12">'RE-LITSA-11 (1)'!$A$1:$W$46</definedName>
    <definedName name="_xlnm.Print_Area" localSheetId="15">'RE-Res.01_03'!$A$1:$X$42</definedName>
    <definedName name="_xlnm.Print_Area" localSheetId="7">'SA-11 (1)'!$A$1:$U$46</definedName>
    <definedName name="_xlnm.Print_Area" localSheetId="8">'SA-11 (2)'!$A$1:$U$46</definedName>
    <definedName name="_xlnm.Print_Area" localSheetId="13">'SA-TIBA-11 (1)'!$A$1:$U$44</definedName>
    <definedName name="_xlnm.Print_Area" localSheetId="18">'SUP-ENECOR'!$A$1:$W$63</definedName>
    <definedName name="_xlnm.Print_Area" localSheetId="16">'SUP-LITSA'!$A$1:$AD$75</definedName>
    <definedName name="_xlnm.Print_Area" localSheetId="17">'SUP-TIBA'!$A$1:$W$75</definedName>
    <definedName name="_xlnm.Print_Area" localSheetId="19">'TASA FALLA'!$A$1:$V$99</definedName>
    <definedName name="_xlnm.Print_Area" localSheetId="0">'TOT-1108'!$A$1:$K$49</definedName>
    <definedName name="_xlnm.Print_Area" localSheetId="4">'TR-11 (1)'!$A$1:$AB$43</definedName>
    <definedName name="_xlnm.Print_Area" localSheetId="5">'TR-11 (2)'!$A$1:$AB$44</definedName>
    <definedName name="_xlnm.Print_Area" localSheetId="14">'TR-ENECOR-11 (1)'!$A$1:$AB$42</definedName>
    <definedName name="DD" localSheetId="1">'LI-11 (1)'!DD</definedName>
    <definedName name="DD" localSheetId="2">'LI-11 (2)'!DD</definedName>
    <definedName name="DD" localSheetId="9">'RE-11 (1)'!DD</definedName>
    <definedName name="DD" localSheetId="10">'RE-11 (2)'!DD</definedName>
    <definedName name="DD" localSheetId="11">'RE-IV-11 (1)'!DD</definedName>
    <definedName name="DD" localSheetId="12">'RE-LITSA-11 (1)'!DD</definedName>
    <definedName name="DD" localSheetId="15">'RE-Res.01_03'!DD</definedName>
    <definedName name="DD" localSheetId="7">'SA-11 (1)'!DD</definedName>
    <definedName name="DD" localSheetId="8">'SA-11 (2)'!DD</definedName>
    <definedName name="DD" localSheetId="13">'SA-TIBA-11 (1)'!DD</definedName>
    <definedName name="DD" localSheetId="19">'TASA FALLA'!DD</definedName>
    <definedName name="DD" localSheetId="4">'TR-11 (1)'!DD</definedName>
    <definedName name="DD" localSheetId="5">'TR-11 (2)'!DD</definedName>
    <definedName name="DD" localSheetId="14">'TR-ENECOR-11 (1)'!DD</definedName>
    <definedName name="DD">[0]!DD</definedName>
    <definedName name="DDD" localSheetId="1">'LI-11 (1)'!DDD</definedName>
    <definedName name="DDD" localSheetId="2">'LI-11 (2)'!DDD</definedName>
    <definedName name="DDD" localSheetId="9">'RE-11 (1)'!DDD</definedName>
    <definedName name="DDD" localSheetId="10">'RE-11 (2)'!DDD</definedName>
    <definedName name="DDD" localSheetId="11">'RE-IV-11 (1)'!DDD</definedName>
    <definedName name="DDD" localSheetId="12">'RE-LITSA-11 (1)'!DDD</definedName>
    <definedName name="DDD" localSheetId="15">'RE-Res.01_03'!DDD</definedName>
    <definedName name="DDD" localSheetId="7">'SA-11 (1)'!DDD</definedName>
    <definedName name="DDD" localSheetId="8">'SA-11 (2)'!DDD</definedName>
    <definedName name="DDD" localSheetId="13">'SA-TIBA-11 (1)'!DDD</definedName>
    <definedName name="DDD" localSheetId="19">'TASA FALLA'!DDD</definedName>
    <definedName name="DDD" localSheetId="4">'TR-11 (1)'!DDD</definedName>
    <definedName name="DDD" localSheetId="5">'TR-11 (2)'!DDD</definedName>
    <definedName name="DDD" localSheetId="14">'TR-ENECOR-11 (1)'!DDD</definedName>
    <definedName name="DDD">[0]!DDD</definedName>
    <definedName name="DISTROCUYO" localSheetId="1">'LI-11 (1)'!DISTROCUYO</definedName>
    <definedName name="DISTROCUYO" localSheetId="2">'LI-11 (2)'!DISTROCUYO</definedName>
    <definedName name="DISTROCUYO" localSheetId="9">'RE-11 (1)'!DISTROCUYO</definedName>
    <definedName name="DISTROCUYO" localSheetId="10">'RE-11 (2)'!DISTROCUYO</definedName>
    <definedName name="DISTROCUYO" localSheetId="11">'RE-IV-11 (1)'!DISTROCUYO</definedName>
    <definedName name="DISTROCUYO" localSheetId="12">'RE-LITSA-11 (1)'!DISTROCUYO</definedName>
    <definedName name="DISTROCUYO" localSheetId="15">'RE-Res.01_03'!DISTROCUYO</definedName>
    <definedName name="DISTROCUYO" localSheetId="7">'SA-11 (1)'!DISTROCUYO</definedName>
    <definedName name="DISTROCUYO" localSheetId="8">'SA-11 (2)'!DISTROCUYO</definedName>
    <definedName name="DISTROCUYO" localSheetId="13">'SA-TIBA-11 (1)'!DISTROCUYO</definedName>
    <definedName name="DISTROCUYO" localSheetId="19">'TASA FALLA'!DISTROCUYO</definedName>
    <definedName name="DISTROCUYO" localSheetId="4">'TR-11 (1)'!DISTROCUYO</definedName>
    <definedName name="DISTROCUYO" localSheetId="5">'TR-11 (2)'!DISTROCUYO</definedName>
    <definedName name="DISTROCUYO" localSheetId="14">'TR-ENECOR-11 (1)'!DISTROCUYO</definedName>
    <definedName name="DISTROCUYO">[0]!DISTROCUYO</definedName>
    <definedName name="INICIO" localSheetId="1">'LI-11 (1)'!INICIO</definedName>
    <definedName name="INICIO" localSheetId="2">'LI-11 (2)'!INICIO</definedName>
    <definedName name="INICIO" localSheetId="9">'RE-11 (1)'!INICIO</definedName>
    <definedName name="INICIO" localSheetId="10">'RE-11 (2)'!INICIO</definedName>
    <definedName name="INICIO" localSheetId="11">'RE-IV-11 (1)'!INICIO</definedName>
    <definedName name="INICIO" localSheetId="12">'RE-LITSA-11 (1)'!INICIO</definedName>
    <definedName name="INICIO" localSheetId="15">'RE-Res.01_03'!INICIO</definedName>
    <definedName name="INICIO" localSheetId="7">'SA-11 (1)'!INICIO</definedName>
    <definedName name="INICIO" localSheetId="8">'SA-11 (2)'!INICIO</definedName>
    <definedName name="INICIO" localSheetId="13">'SA-TIBA-11 (1)'!INICIO</definedName>
    <definedName name="INICIO" localSheetId="19">'TASA FALLA'!INICIO</definedName>
    <definedName name="INICIO" localSheetId="0">'TOT-1108'!INICIO</definedName>
    <definedName name="INICIO" localSheetId="4">'TR-11 (1)'!INICIO</definedName>
    <definedName name="INICIO" localSheetId="5">'TR-11 (2)'!INICIO</definedName>
    <definedName name="INICIO" localSheetId="14">'TR-ENECOR-11 (1)'!INICIO</definedName>
    <definedName name="INICIO">[0]!INICIO</definedName>
    <definedName name="INICIOTI" localSheetId="1">'LI-11 (1)'!INICIOTI</definedName>
    <definedName name="INICIOTI" localSheetId="2">'LI-11 (2)'!INICIOTI</definedName>
    <definedName name="INICIOTI" localSheetId="9">'RE-11 (1)'!INICIOTI</definedName>
    <definedName name="INICIOTI" localSheetId="10">'RE-11 (2)'!INICIOTI</definedName>
    <definedName name="INICIOTI" localSheetId="11">'RE-IV-11 (1)'!INICIOTI</definedName>
    <definedName name="INICIOTI" localSheetId="12">'RE-LITSA-11 (1)'!INICIOTI</definedName>
    <definedName name="INICIOTI" localSheetId="15">'RE-Res.01_03'!INICIOTI</definedName>
    <definedName name="INICIOTI" localSheetId="7">'SA-11 (1)'!INICIOTI</definedName>
    <definedName name="INICIOTI" localSheetId="8">'SA-11 (2)'!INICIOTI</definedName>
    <definedName name="INICIOTI" localSheetId="13">'SA-TIBA-11 (1)'!INICIOTI</definedName>
    <definedName name="INICIOTI" localSheetId="19">'TASA FALLA'!INICIOTI</definedName>
    <definedName name="INICIOTI" localSheetId="4">'TR-11 (1)'!INICIOTI</definedName>
    <definedName name="INICIOTI" localSheetId="5">'TR-11 (2)'!INICIOTI</definedName>
    <definedName name="INICIOTI" localSheetId="14">'TR-ENECOR-11 (1)'!INICIOTI</definedName>
    <definedName name="INICIOTI">[0]!INICIOTI</definedName>
    <definedName name="LINEAS" localSheetId="1">'LI-11 (1)'!LINEAS</definedName>
    <definedName name="LINEAS" localSheetId="2">'LI-11 (2)'!LINEAS</definedName>
    <definedName name="LINEAS" localSheetId="9">'RE-11 (1)'!LINEAS</definedName>
    <definedName name="LINEAS" localSheetId="10">'RE-11 (2)'!LINEAS</definedName>
    <definedName name="LINEAS" localSheetId="11">'RE-IV-11 (1)'!LINEAS</definedName>
    <definedName name="LINEAS" localSheetId="12">'RE-LITSA-11 (1)'!LINEAS</definedName>
    <definedName name="LINEAS" localSheetId="15">'RE-Res.01_03'!LINEAS</definedName>
    <definedName name="LINEAS" localSheetId="7">'SA-11 (1)'!LINEAS</definedName>
    <definedName name="LINEAS" localSheetId="8">'SA-11 (2)'!LINEAS</definedName>
    <definedName name="LINEAS" localSheetId="13">'SA-TIBA-11 (1)'!LINEAS</definedName>
    <definedName name="LINEAS" localSheetId="19">'TASA FALLA'!LINEAS</definedName>
    <definedName name="LINEAS" localSheetId="4">'TR-11 (1)'!LINEAS</definedName>
    <definedName name="LINEAS" localSheetId="5">'TR-11 (2)'!LINEAS</definedName>
    <definedName name="LINEAS" localSheetId="14">'TR-ENECOR-11 (1)'!LINEAS</definedName>
    <definedName name="LINEAS">[0]!LINEAS</definedName>
    <definedName name="NAME_L" localSheetId="1">'LI-11 (1)'!NAME_L</definedName>
    <definedName name="NAME_L" localSheetId="2">'LI-11 (2)'!NAME_L</definedName>
    <definedName name="NAME_L" localSheetId="9">'RE-11 (1)'!NAME_L</definedName>
    <definedName name="NAME_L" localSheetId="10">'RE-11 (2)'!NAME_L</definedName>
    <definedName name="NAME_L" localSheetId="11">'RE-IV-11 (1)'!NAME_L</definedName>
    <definedName name="NAME_L" localSheetId="12">'RE-LITSA-11 (1)'!NAME_L</definedName>
    <definedName name="NAME_L" localSheetId="15">'RE-Res.01_03'!NAME_L</definedName>
    <definedName name="NAME_L" localSheetId="7">'SA-11 (1)'!NAME_L</definedName>
    <definedName name="NAME_L" localSheetId="8">'SA-11 (2)'!NAME_L</definedName>
    <definedName name="NAME_L" localSheetId="13">'SA-TIBA-11 (1)'!NAME_L</definedName>
    <definedName name="NAME_L" localSheetId="19">'TASA FALLA'!NAME_L</definedName>
    <definedName name="NAME_L" localSheetId="4">'TR-11 (1)'!NAME_L</definedName>
    <definedName name="NAME_L" localSheetId="5">'TR-11 (2)'!NAME_L</definedName>
    <definedName name="NAME_L" localSheetId="14">'TR-ENECOR-11 (1)'!NAME_L</definedName>
    <definedName name="NAME_L">[0]!NAME_L</definedName>
    <definedName name="NAME_L_TI" localSheetId="1">'LI-11 (1)'!NAME_L_TI</definedName>
    <definedName name="NAME_L_TI" localSheetId="2">'LI-11 (2)'!NAME_L_TI</definedName>
    <definedName name="NAME_L_TI" localSheetId="9">'RE-11 (1)'!NAME_L_TI</definedName>
    <definedName name="NAME_L_TI" localSheetId="10">'RE-11 (2)'!NAME_L_TI</definedName>
    <definedName name="NAME_L_TI" localSheetId="11">'RE-IV-11 (1)'!NAME_L_TI</definedName>
    <definedName name="NAME_L_TI" localSheetId="12">'RE-LITSA-11 (1)'!NAME_L_TI</definedName>
    <definedName name="NAME_L_TI" localSheetId="15">'RE-Res.01_03'!NAME_L_TI</definedName>
    <definedName name="NAME_L_TI" localSheetId="7">'SA-11 (1)'!NAME_L_TI</definedName>
    <definedName name="NAME_L_TI" localSheetId="8">'SA-11 (2)'!NAME_L_TI</definedName>
    <definedName name="NAME_L_TI" localSheetId="13">'SA-TIBA-11 (1)'!NAME_L_TI</definedName>
    <definedName name="NAME_L_TI" localSheetId="19">'TASA FALLA'!NAME_L_TI</definedName>
    <definedName name="NAME_L_TI" localSheetId="4">'TR-11 (1)'!NAME_L_TI</definedName>
    <definedName name="NAME_L_TI" localSheetId="5">'TR-11 (2)'!NAME_L_TI</definedName>
    <definedName name="NAME_L_TI" localSheetId="14">'TR-ENECOR-11 (1)'!NAME_L_TI</definedName>
    <definedName name="NAME_L_TI">[0]!NAME_L_TI</definedName>
    <definedName name="TRAN" localSheetId="1">'LI-11 (1)'!TRAN</definedName>
    <definedName name="TRAN" localSheetId="2">'LI-11 (2)'!TRAN</definedName>
    <definedName name="TRAN" localSheetId="9">'RE-11 (1)'!TRAN</definedName>
    <definedName name="TRAN" localSheetId="10">'RE-11 (2)'!TRAN</definedName>
    <definedName name="TRAN" localSheetId="11">'RE-IV-11 (1)'!TRAN</definedName>
    <definedName name="TRAN" localSheetId="12">'RE-LITSA-11 (1)'!TRAN</definedName>
    <definedName name="TRAN" localSheetId="15">'RE-Res.01_03'!TRAN</definedName>
    <definedName name="TRAN" localSheetId="7">'SA-11 (1)'!TRAN</definedName>
    <definedName name="TRAN" localSheetId="8">'SA-11 (2)'!TRAN</definedName>
    <definedName name="TRAN" localSheetId="13">'SA-TIBA-11 (1)'!TRAN</definedName>
    <definedName name="TRAN" localSheetId="19">'TASA FALLA'!TRAN</definedName>
    <definedName name="TRAN" localSheetId="4">'TR-11 (1)'!TRAN</definedName>
    <definedName name="TRAN" localSheetId="5">'TR-11 (2)'!TRAN</definedName>
    <definedName name="TRAN" localSheetId="14">'TR-ENECOR-11 (1)'!TRAN</definedName>
    <definedName name="TRAN">[0]!TRAN</definedName>
    <definedName name="TRANSNOA" localSheetId="1">'LI-11 (1)'!TRANSNOA</definedName>
    <definedName name="TRANSNOA" localSheetId="2">'LI-11 (2)'!TRANSNOA</definedName>
    <definedName name="TRANSNOA" localSheetId="9">'RE-11 (1)'!TRANSNOA</definedName>
    <definedName name="TRANSNOA" localSheetId="10">'RE-11 (2)'!TRANSNOA</definedName>
    <definedName name="TRANSNOA" localSheetId="11">'RE-IV-11 (1)'!TRANSNOA</definedName>
    <definedName name="TRANSNOA" localSheetId="12">'RE-LITSA-11 (1)'!TRANSNOA</definedName>
    <definedName name="TRANSNOA" localSheetId="15">'RE-Res.01_03'!TRANSNOA</definedName>
    <definedName name="TRANSNOA" localSheetId="7">'SA-11 (1)'!TRANSNOA</definedName>
    <definedName name="TRANSNOA" localSheetId="8">'SA-11 (2)'!TRANSNOA</definedName>
    <definedName name="TRANSNOA" localSheetId="13">'SA-TIBA-11 (1)'!TRANSNOA</definedName>
    <definedName name="TRANSNOA" localSheetId="19">'TASA FALLA'!TRANSNOA</definedName>
    <definedName name="TRANSNOA" localSheetId="4">'TR-11 (1)'!TRANSNOA</definedName>
    <definedName name="TRANSNOA" localSheetId="5">'TR-11 (2)'!TRANSNOA</definedName>
    <definedName name="TRANSNOA" localSheetId="14">'TR-ENECOR-11 (1)'!TRANSNOA</definedName>
    <definedName name="TRANSNOA">[0]!TRANSNOA</definedName>
    <definedName name="x" localSheetId="1">'LI-11 (1)'!x</definedName>
    <definedName name="x" localSheetId="2">'LI-11 (2)'!x</definedName>
    <definedName name="x" localSheetId="9">'RE-11 (1)'!x</definedName>
    <definedName name="x" localSheetId="10">'RE-11 (2)'!x</definedName>
    <definedName name="x" localSheetId="11">'RE-IV-11 (1)'!x</definedName>
    <definedName name="x" localSheetId="12">'RE-LITSA-11 (1)'!x</definedName>
    <definedName name="x" localSheetId="7">'SA-11 (1)'!x</definedName>
    <definedName name="x" localSheetId="8">'SA-11 (2)'!x</definedName>
    <definedName name="x" localSheetId="13">'SA-TIBA-11 (1)'!x</definedName>
    <definedName name="x" localSheetId="19">'TASA FALLA'!x</definedName>
    <definedName name="x" localSheetId="4">'TR-11 (1)'!x</definedName>
    <definedName name="x" localSheetId="5">'TR-11 (2)'!x</definedName>
    <definedName name="x" localSheetId="14">'TR-ENECOR-11 (1)'!x</definedName>
    <definedName name="x">[0]!x</definedName>
    <definedName name="XX" localSheetId="1">'LI-11 (1)'!XX</definedName>
    <definedName name="XX" localSheetId="2">'LI-11 (2)'!XX</definedName>
    <definedName name="XX" localSheetId="9">'RE-11 (1)'!XX</definedName>
    <definedName name="XX" localSheetId="10">'RE-11 (2)'!XX</definedName>
    <definedName name="XX" localSheetId="11">'RE-IV-11 (1)'!XX</definedName>
    <definedName name="XX" localSheetId="12">'RE-LITSA-11 (1)'!XX</definedName>
    <definedName name="XX" localSheetId="15">'RE-Res.01_03'!XX</definedName>
    <definedName name="XX" localSheetId="7">'SA-11 (1)'!XX</definedName>
    <definedName name="XX" localSheetId="8">'SA-11 (2)'!XX</definedName>
    <definedName name="XX" localSheetId="13">'SA-TIBA-11 (1)'!XX</definedName>
    <definedName name="XX" localSheetId="19">'TASA FALLA'!XX</definedName>
    <definedName name="XX" localSheetId="4">'TR-11 (1)'!XX</definedName>
    <definedName name="XX" localSheetId="5">'TR-11 (2)'!XX</definedName>
    <definedName name="XX" localSheetId="14">'TR-ENECOR-11 (1)'!XX</definedName>
    <definedName name="XX">[0]!XX</definedName>
  </definedNames>
  <calcPr fullCalcOnLoad="1"/>
</workbook>
</file>

<file path=xl/comments17.xml><?xml version="1.0" encoding="utf-8"?>
<comments xmlns="http://schemas.openxmlformats.org/spreadsheetml/2006/main">
  <authors>
    <author>Ing. Juan Messina</author>
  </authors>
  <commentList>
    <comment ref="M58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Anexo2,1 DTE
ATRAXX.TXT</t>
        </r>
      </text>
    </comment>
    <comment ref="M59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Anexo2,1 DTE
ATRAXX.TXT</t>
        </r>
      </text>
    </comment>
    <comment ref="M62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Anexo2,5 DTE
ATRAXX.TXT</t>
        </r>
      </text>
    </comment>
    <comment ref="M63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Anexo2,5 DTE
ATRAXX.TXT</t>
        </r>
      </text>
    </comment>
  </commentList>
</comments>
</file>

<file path=xl/comments5.xml><?xml version="1.0" encoding="utf-8"?>
<comments xmlns="http://schemas.openxmlformats.org/spreadsheetml/2006/main">
  <authors>
    <author>Ing. Juan Messina</author>
  </authors>
  <commentList>
    <comment ref="C20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hasta marzo 2008 : EZEIZA TRAFO3 sale forzado todp el mes con RF y 37,5% de red. Cada salida de este trafo sale con reduccion = al valor que da menos 62,5</t>
        </r>
      </text>
    </comment>
  </commentList>
</comments>
</file>

<file path=xl/comments6.xml><?xml version="1.0" encoding="utf-8"?>
<comments xmlns="http://schemas.openxmlformats.org/spreadsheetml/2006/main">
  <authors>
    <author>Ing. Juan Messina</author>
  </authors>
  <commentList>
    <comment ref="C20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hasta marzo 2008 : EZEIZA TRAFO3 sale forzado todp el mes con RF y 37,5% de red. Cada salida de este trafo sale con reduccion = al valor que da menos 62,5</t>
        </r>
      </text>
    </comment>
  </commentList>
</comments>
</file>

<file path=xl/comments7.xml><?xml version="1.0" encoding="utf-8"?>
<comments xmlns="http://schemas.openxmlformats.org/spreadsheetml/2006/main">
  <authors>
    <author>Ing. Juan Messina</author>
  </authors>
  <commentList>
    <comment ref="C20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hasta marzo 2008 : EZEIZA TRAFO3 sale forzado todp el mes con RF y 37,5% de red. Cada salida de este trafo sale con reduccion = al valor que da menos 62,5</t>
        </r>
      </text>
    </comment>
  </commentList>
</comments>
</file>

<file path=xl/sharedStrings.xml><?xml version="1.0" encoding="utf-8"?>
<sst xmlns="http://schemas.openxmlformats.org/spreadsheetml/2006/main" count="1449" uniqueCount="408">
  <si>
    <t>LÍNEAS</t>
  </si>
  <si>
    <t>SALIDA</t>
  </si>
  <si>
    <t xml:space="preserve">ENTE NACIONAL REGULADOR </t>
  </si>
  <si>
    <t>DE LA ELECTRICIDAD</t>
  </si>
  <si>
    <t>1.-</t>
  </si>
  <si>
    <t>Equipamiento propio</t>
  </si>
  <si>
    <t>2.-</t>
  </si>
  <si>
    <t>CONEXIÓN</t>
  </si>
  <si>
    <t>Transformación</t>
  </si>
  <si>
    <t>Salidas</t>
  </si>
  <si>
    <t>3.-</t>
  </si>
  <si>
    <t xml:space="preserve">TOTAL </t>
  </si>
  <si>
    <t>1.- LÍNEAS</t>
  </si>
  <si>
    <t>N°</t>
  </si>
  <si>
    <t>U
[kV]</t>
  </si>
  <si>
    <t>Long.
[km]</t>
  </si>
  <si>
    <t>$/h</t>
  </si>
  <si>
    <t>Salida</t>
  </si>
  <si>
    <t>Entrada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</si>
  <si>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</si>
  <si>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PENALIZ.
PROGRAM.</t>
  </si>
  <si>
    <t>REDUCC.
PROGRAM.</t>
  </si>
  <si>
    <t>RESTANTE
FORZADA</t>
  </si>
  <si>
    <t>REDUCC.
RESTANTE</t>
  </si>
  <si>
    <t>TOTAL
PENALIZAC.</t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</si>
  <si>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</si>
  <si>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Coeficiente de penalización por salida forzada   =</t>
  </si>
  <si>
    <t>ESTACIÓN
TRANSFORMADORA</t>
  </si>
  <si>
    <t>EQUIPO</t>
  </si>
  <si>
    <t>POT.
[MVA]</t>
  </si>
  <si>
    <t>Hs
Indisp.</t>
  </si>
  <si>
    <t>Mtos.
Indisp.</t>
  </si>
  <si>
    <t>AUT.</t>
  </si>
  <si>
    <t>E.N.S.</t>
  </si>
  <si>
    <t>K (P;ENS)</t>
  </si>
  <si>
    <t>PENALIZAC. FORZADA
Por Salida       hs. Restantes</t>
  </si>
  <si>
    <t>Hs.
Indisp.</t>
  </si>
  <si>
    <t>K</t>
  </si>
  <si>
    <t>Tiempo de servicio =</t>
  </si>
  <si>
    <t>hs</t>
  </si>
  <si>
    <t>Porcentaje por Supervisión  =</t>
  </si>
  <si>
    <t xml:space="preserve">Cargo por Transformador por MVA = </t>
  </si>
  <si>
    <t>SM =</t>
  </si>
  <si>
    <t>U [kV]</t>
  </si>
  <si>
    <t>RM =</t>
  </si>
  <si>
    <t>CS =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</si>
  <si>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</si>
  <si>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</si>
  <si>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</si>
  <si>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</si>
  <si>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</si>
  <si>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</si>
  <si>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</si>
  <si>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</si>
  <si>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</si>
  <si>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</si>
  <si>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</si>
  <si>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</si>
  <si>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Rest.
%</t>
  </si>
  <si>
    <t>R.D.</t>
  </si>
  <si>
    <t>PENALIZACIÓN FORZADA
Por Salida    1ras 5 hs.   hs. Restantes</t>
  </si>
  <si>
    <t>E.T.</t>
  </si>
  <si>
    <t>TRANSENER S.A.</t>
  </si>
  <si>
    <t>SISTEMA DE TRANSPORTE DE ENERGÍA ELÉCTRICA EN ALTA TENSIÓN</t>
  </si>
  <si>
    <t>Transportista Independiente LITSA</t>
  </si>
  <si>
    <t>Transportista Independiente ENECOR S.A.</t>
  </si>
  <si>
    <t>POTENCIA REACTIVA</t>
  </si>
  <si>
    <t>4.-</t>
  </si>
  <si>
    <t>SUPERVISIÓN</t>
  </si>
  <si>
    <t>Transportista Independiente TIBA S.A.</t>
  </si>
  <si>
    <t>SISTEMA DE TRANSPORTE DE ENERGÍA ELÉCTRICA EN ALTA TENSIÓN - TRANSENER S.A.</t>
  </si>
  <si>
    <t>PENALIZAC.
PROGRAM.</t>
  </si>
  <si>
    <t>RESOLUCION ENRE Nº 1200/99</t>
  </si>
  <si>
    <t>Tasa de falla de LITSA =</t>
  </si>
  <si>
    <t>Multiplicador =</t>
  </si>
  <si>
    <t>Duración Prom. anual móvil por salida forzada =</t>
  </si>
  <si>
    <t>Factor multiplicativo del mayoramiento =</t>
  </si>
  <si>
    <t>CL</t>
  </si>
  <si>
    <t>PENALIZACION FORZADA
Por Salida      1ras 5 hs.     hs. Restantes</t>
  </si>
  <si>
    <t>REDUCCIÓN
RESTANTE</t>
  </si>
  <si>
    <t>Informó
enTérm.</t>
  </si>
  <si>
    <t>ENTE NACIONAL REGULADOR</t>
  </si>
  <si>
    <t>Por Transformador por cada MVA    $ =</t>
  </si>
  <si>
    <t>PENALIZAC. FORZADA
Por Salida         hs. Restantes</t>
  </si>
  <si>
    <t>REDUCC. FORZADA
Por Salida         hs. Restantes</t>
  </si>
  <si>
    <t>2.1.4.- Transportista Independiente ENECOR S.A.</t>
  </si>
  <si>
    <t xml:space="preserve"> 2.2.1.- Equipamiento propio</t>
  </si>
  <si>
    <t>Coef</t>
  </si>
  <si>
    <t xml:space="preserve">Salida en 500 kV  en $/h </t>
  </si>
  <si>
    <t>Salida en 220 kV en $/h</t>
  </si>
  <si>
    <t>Salida en 132 kV  en $/h</t>
  </si>
  <si>
    <t>SISTEMA DE TRANSPORTE DE ENERGÍA ELÉCTRICA EN ALTA TENSIÓN  -  TRANSENER S.A.</t>
  </si>
  <si>
    <t>3.- POTENCIA REACTIVA</t>
  </si>
  <si>
    <t>3.1.- Equipamiento propio</t>
  </si>
  <si>
    <t>PENALIZACIÓN FORZADA
Por Salida     hs. Restantes</t>
  </si>
  <si>
    <t>3.3.- Transportista Independiente L.I.T.S.A.</t>
  </si>
  <si>
    <t>K (P)</t>
  </si>
  <si>
    <t xml:space="preserve">$/100 km-h : LINEAS 500 kV </t>
  </si>
  <si>
    <t xml:space="preserve">$/100 km-h : LINEAS 220 kV </t>
  </si>
  <si>
    <t>SISTEMA DE TRANSPORTE DE ENERGÍA ELÉCTRICA EN ALTA TENSIÓN - TRANSENER  S.A.</t>
  </si>
  <si>
    <t>4.- SUPERVISIÓN</t>
  </si>
  <si>
    <t>a)</t>
  </si>
  <si>
    <t>Datos</t>
  </si>
  <si>
    <t>Remuneración LÍNEAS 500 kV              =</t>
  </si>
  <si>
    <t>$/100 km-h</t>
  </si>
  <si>
    <t>b)</t>
  </si>
  <si>
    <t>c)</t>
  </si>
  <si>
    <t>Tipo 
Sal</t>
  </si>
  <si>
    <t>REDUCC. FORZADA
Por Salida        1ras 5 hs.      hs. Restantes</t>
  </si>
  <si>
    <t>Tipo 
Sal.</t>
  </si>
  <si>
    <t>PENALIZAC. FORZADA
Por Salida    hs. Restantes</t>
  </si>
  <si>
    <t>d)</t>
  </si>
  <si>
    <t>LONG.</t>
  </si>
  <si>
    <t>e)</t>
  </si>
  <si>
    <t>SANCIÓN</t>
  </si>
  <si>
    <t>Sanción calculada</t>
  </si>
  <si>
    <t>SANCIÓN =</t>
  </si>
  <si>
    <t>4.2.- Transportista Independiente L.I.T.S.A.</t>
  </si>
  <si>
    <t>Remuneración TRANSFORMADOR    =</t>
  </si>
  <si>
    <t>$/MVA</t>
  </si>
  <si>
    <t>Remuneración SALIDA 132 kV             =</t>
  </si>
  <si>
    <t>$/hora</t>
  </si>
  <si>
    <t>Remuneración SALIDA 500 kV             =</t>
  </si>
  <si>
    <t xml:space="preserve"> Rincón - Salto Grande</t>
  </si>
  <si>
    <t xml:space="preserve"> Rincón - San Isidro</t>
  </si>
  <si>
    <t>TRANSFORMADOR</t>
  </si>
  <si>
    <t>POT. [MVA]</t>
  </si>
  <si>
    <t>Rincón - TR06</t>
  </si>
  <si>
    <t>500/132</t>
  </si>
  <si>
    <t>Salto Grande - TR02</t>
  </si>
  <si>
    <t>500/132/13,8</t>
  </si>
  <si>
    <t>Rincón</t>
  </si>
  <si>
    <t>Ituzaingó, Ita Ibate, Virasoro</t>
  </si>
  <si>
    <t>Salto Grande</t>
  </si>
  <si>
    <t>Trafo 2 500/132 kV</t>
  </si>
  <si>
    <t>TOTAL A PENALIZAR A TRANSENER S.A POR SUPERVISIÓN A L.I.T.S.A.</t>
  </si>
  <si>
    <t xml:space="preserve">Salida en 500 kV en $/h </t>
  </si>
  <si>
    <t>Salida en 132 kV en $/h</t>
  </si>
  <si>
    <t>Cant. Puntos.</t>
  </si>
  <si>
    <t>Bahía Blanca Trafo 1</t>
  </si>
  <si>
    <t>Bahía Blanca</t>
  </si>
  <si>
    <t>Bahía Blanca Trafo 2</t>
  </si>
  <si>
    <t>Olavarría Trafo 1</t>
  </si>
  <si>
    <t>Olavarría</t>
  </si>
  <si>
    <t>Olavarría Trafo 2</t>
  </si>
  <si>
    <t>Campana</t>
  </si>
  <si>
    <t>TOTAL A PENALIZAR A TRANSENER S.A POR SUPERVISIÓN A T.I.B.A.</t>
  </si>
  <si>
    <t>4.4.- Transportista Independiente  ENECOR S.A.</t>
  </si>
  <si>
    <t>Factor X =</t>
  </si>
  <si>
    <t>Paso de la Patria Trafo 1</t>
  </si>
  <si>
    <t>500/132/33</t>
  </si>
  <si>
    <t>Paso de la Patria</t>
  </si>
  <si>
    <t>TOTAL A PENALIZAR A TRANSENER S.A POR SUPERVISIÓN A ENECOR S.A.</t>
  </si>
  <si>
    <r>
      <t>CS:</t>
    </r>
    <r>
      <rPr>
        <sz val="12"/>
        <rFont val="Times New Roman"/>
        <family val="0"/>
      </rPr>
      <t xml:space="preserve"> es el cargo por supervisión de la operación que la concesionaria percibe por supervisar la operación y mantenimiento del transportista independiente, establecido en el reglamento de acceso.</t>
    </r>
  </si>
  <si>
    <r>
      <t>SM: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es la suma de las sanciones a que en cada mes se hiciere pasible el Transportista Independiente, valorizadas con idénticos criterios que los que se aplican a la Concesionaria.</t>
    </r>
  </si>
  <si>
    <r>
      <t>RM:</t>
    </r>
    <r>
      <rPr>
        <sz val="12"/>
        <color indexed="8"/>
        <rFont val="Times New Roman"/>
        <family val="1"/>
      </rPr>
      <t xml:space="preserve"> es la remuneración que mensualmente recibiría el Transportista Independiente, si su servicio fuera valorizado conforme al régimen remuneratorio que se aplica a la Concesionaria.</t>
    </r>
  </si>
  <si>
    <r>
      <t>RM</t>
    </r>
    <r>
      <rPr>
        <sz val="12"/>
        <rFont val="Times New Roman"/>
        <family val="1"/>
      </rPr>
      <t xml:space="preserve"> por Capacidad de Transporte</t>
    </r>
  </si>
  <si>
    <r>
      <t>RM</t>
    </r>
    <r>
      <rPr>
        <sz val="12"/>
        <rFont val="Times New Roman"/>
        <family val="1"/>
      </rPr>
      <t xml:space="preserve"> por Energía E. Transportada</t>
    </r>
  </si>
  <si>
    <r>
      <t>RM</t>
    </r>
    <r>
      <rPr>
        <sz val="12"/>
        <rFont val="Times New Roman"/>
        <family val="1"/>
      </rPr>
      <t xml:space="preserve"> por Potencia Puesta a Disposición</t>
    </r>
  </si>
  <si>
    <r>
      <t>RM</t>
    </r>
    <r>
      <rPr>
        <sz val="12"/>
        <rFont val="Times New Roman"/>
        <family val="1"/>
      </rPr>
      <t xml:space="preserve"> Total</t>
    </r>
  </si>
  <si>
    <r>
      <t>RM</t>
    </r>
    <r>
      <rPr>
        <sz val="12"/>
        <rFont val="Times New Roman"/>
        <family val="1"/>
      </rPr>
      <t xml:space="preserve"> por Capacidad de Transformación</t>
    </r>
  </si>
  <si>
    <r>
      <t>RM</t>
    </r>
    <r>
      <rPr>
        <sz val="12"/>
        <rFont val="Times New Roman"/>
        <family val="1"/>
      </rPr>
      <t xml:space="preserve"> por Conexión</t>
    </r>
  </si>
  <si>
    <r>
      <t>RM</t>
    </r>
    <r>
      <rPr>
        <sz val="12"/>
        <rFont val="Times New Roman"/>
        <family val="1"/>
      </rPr>
      <t xml:space="preserve"> por Cargos de Conexión</t>
    </r>
  </si>
  <si>
    <t>1.1.- Líneas propias</t>
  </si>
  <si>
    <t>REDUCCIÓN FORZADA
Por Salida       1ras 5 hs.     hs. Restantes</t>
  </si>
  <si>
    <t>Hoja</t>
  </si>
  <si>
    <t>MODELO L</t>
  </si>
  <si>
    <t>MODELO T</t>
  </si>
  <si>
    <t>MODELO S</t>
  </si>
  <si>
    <t>MODELO L YACYLEC</t>
  </si>
  <si>
    <t>MODELO L LITSA</t>
  </si>
  <si>
    <t>MODELO T LITSA</t>
  </si>
  <si>
    <t>MODELO T TIBA</t>
  </si>
  <si>
    <t>MODELO T ENECOR</t>
  </si>
  <si>
    <t>MODELO S TIBA</t>
  </si>
  <si>
    <t>MODELO S ENECOR</t>
  </si>
  <si>
    <t>MODELO R</t>
  </si>
  <si>
    <t>Mes</t>
  </si>
  <si>
    <t>Dia</t>
  </si>
  <si>
    <t>Año</t>
  </si>
  <si>
    <t>MODELO R YACYLEC</t>
  </si>
  <si>
    <t>MODELO R LITSA</t>
  </si>
  <si>
    <t>NombreHoja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</si>
  <si>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</si>
  <si>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</si>
  <si>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</si>
  <si>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</si>
  <si>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</si>
  <si>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</si>
  <si>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</si>
  <si>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</si>
  <si>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</si>
  <si>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</si>
  <si>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</si>
  <si>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</si>
  <si>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OrigenDeDatos</t>
  </si>
  <si>
    <t>TRANSENER_INDSIPONIBILIDADES_LINEAS_TRANSENER.XLS</t>
  </si>
  <si>
    <t>Columnas</t>
  </si>
  <si>
    <t>FilasPlantilla</t>
  </si>
  <si>
    <t>Col01</t>
  </si>
  <si>
    <t>Col02</t>
  </si>
  <si>
    <t>Col03</t>
  </si>
  <si>
    <t>Col04</t>
  </si>
  <si>
    <t>Col05</t>
  </si>
  <si>
    <t>Col06</t>
  </si>
  <si>
    <t>Col07</t>
  </si>
  <si>
    <t>Col08</t>
  </si>
  <si>
    <t>Col10</t>
  </si>
  <si>
    <t>Col11</t>
  </si>
  <si>
    <t>Col12</t>
  </si>
  <si>
    <t>Col13</t>
  </si>
  <si>
    <t>Col14</t>
  </si>
  <si>
    <t>Col15</t>
  </si>
  <si>
    <t>Col00</t>
  </si>
  <si>
    <t>TRANSENER_INDSIPONIBILIDADES_LINEAS_YACYLEC.XLS</t>
  </si>
  <si>
    <t>TRANSENER_INDSIPONIBILIDADES_LINEAS_LITSA.XLS</t>
  </si>
  <si>
    <t>FilaInicio</t>
  </si>
  <si>
    <t>TRANSENER_INDSIPONIBILIDADES_TRAFOS_TRANSENER.XLS</t>
  </si>
  <si>
    <t>TRANSENER_INDSIPONIBILIDADES_TRAFOS_LITSA.XLS</t>
  </si>
  <si>
    <t>TRANSENER_INDSIPONIBILIDADES_TRAFOS_ENECOR.XLS</t>
  </si>
  <si>
    <t>TRANSENER_INDSIPONIBILIDADES_TRAFOS_TIBA.XLS</t>
  </si>
  <si>
    <t>TRANSENER_INDSIPONIBILIDADES_SALIDAS_TRANSENER.XLS</t>
  </si>
  <si>
    <t>TRANSENER_INDSIPONIBILIDADES_SALIDAS_TIBA.XLS</t>
  </si>
  <si>
    <t>TRANSENER_INDSIPONIBILIDADES_SALIDAS_ENECOR.XLS</t>
  </si>
  <si>
    <t>TRANSENER_INDSIPONIBILIDADES_REACTIVOS_TRANSENER.XLS</t>
  </si>
  <si>
    <t>TRANSENER_INDSIPONIBILIDADES_REACTIVOS_YACYLEC.XLS</t>
  </si>
  <si>
    <t>TRANSENER_INDSIPONIBILIDADES_REACTIVOS_LITSA.XLS</t>
  </si>
  <si>
    <t>IV LINEA</t>
  </si>
  <si>
    <t>MODELO L IV</t>
  </si>
  <si>
    <t>TRANSENER_INDSIPONIBILIDADES_LINEAS_IV.XLS</t>
  </si>
  <si>
    <t>SUP-YACYLEC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</si>
  <si>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</si>
  <si>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</si>
  <si>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</si>
  <si>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</si>
  <si>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</si>
  <si>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</si>
  <si>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</si>
  <si>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</si>
  <si>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</si>
  <si>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</si>
  <si>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</si>
  <si>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</si>
  <si>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SUP-LITSA</t>
  </si>
  <si>
    <t>SUP-TIBA</t>
  </si>
  <si>
    <t>SUP-ENECOR</t>
  </si>
  <si>
    <t>B14</t>
  </si>
  <si>
    <t>3.4.- IV LINEA</t>
  </si>
  <si>
    <t>SI</t>
  </si>
  <si>
    <t>MODELO R IV</t>
  </si>
  <si>
    <t>TRANSENER_INDSIPONIBILIDADES_REACTIVOS_IV.XLS</t>
  </si>
  <si>
    <t>P</t>
  </si>
  <si>
    <t>Total</t>
  </si>
  <si>
    <t>FILHTOTAL</t>
  </si>
  <si>
    <t>COLHTOTAL</t>
  </si>
  <si>
    <t>COLHCALC</t>
  </si>
  <si>
    <t>FILHCALC</t>
  </si>
  <si>
    <t>COLTRANSP</t>
  </si>
  <si>
    <t>FILTRANSP</t>
  </si>
  <si>
    <t>C</t>
  </si>
  <si>
    <t xml:space="preserve"> 2.2.- SALIDAS</t>
  </si>
  <si>
    <t>2.1.- TRANSFORMACIÓN</t>
  </si>
  <si>
    <t>2.1.1.- Equipamiento Propio</t>
  </si>
  <si>
    <t xml:space="preserve">3.- POTENCIA REACTIVA </t>
  </si>
  <si>
    <t>3.1.1- Equipamiento propio Res. 01_03</t>
  </si>
  <si>
    <t>REM ($/h*MVAr)</t>
  </si>
  <si>
    <t>REDUC PROGR</t>
  </si>
  <si>
    <t>Transportista Independiente L.I.T.S.A.</t>
  </si>
  <si>
    <t>4.3.- Transportista Independiente  TIBA S.A.</t>
  </si>
  <si>
    <t xml:space="preserve"> 2.2.2.- Transportista Independiente TIBA S.A.</t>
  </si>
  <si>
    <t>PENAL.FORZADA x Sal hs. Restantes</t>
  </si>
  <si>
    <t>RED.FORZADA
x Sal hs. Restantes</t>
  </si>
  <si>
    <t>Remuneración T.I.B.A. =</t>
  </si>
  <si>
    <t>Campana trafos</t>
  </si>
  <si>
    <t>T_sal</t>
  </si>
  <si>
    <t>COL TSAL</t>
  </si>
  <si>
    <t>POT.
[MVAr]</t>
  </si>
  <si>
    <t>Desde el 01 al 30 de noviembre de 2008</t>
  </si>
  <si>
    <t>COLONIA ELIA - CAMPANA</t>
  </si>
  <si>
    <t>F</t>
  </si>
  <si>
    <t>P. DEL AGUILA - CHOCON OESTE 1</t>
  </si>
  <si>
    <t>GRAL. RODRIGUEZ - VILLA  LIA 2</t>
  </si>
  <si>
    <t>GRAL. RODRIGUEZ - VILLA  LIA 1</t>
  </si>
  <si>
    <t>RAMALLO - VILLA LIA  1</t>
  </si>
  <si>
    <t>GRAL. RODRIGUEZ - RAMALLO</t>
  </si>
  <si>
    <t>RAMALLO - VILLA LIA  2</t>
  </si>
  <si>
    <t>RIO GRANDE - EMBALSE</t>
  </si>
  <si>
    <t>AGUA DEL CAJON - CHOCON OESTE</t>
  </si>
  <si>
    <t>VILLA LIA - ATUCHA 1</t>
  </si>
  <si>
    <t>SALTO GRANDE - SANTO TOME</t>
  </si>
  <si>
    <t>VILLA LIA - ATUCHA 2</t>
  </si>
  <si>
    <t>RIO GRANDE - LUJAN</t>
  </si>
  <si>
    <t>LUJAN - GRAN MENDOZA</t>
  </si>
  <si>
    <t>B</t>
  </si>
  <si>
    <t>ALICURA - E.T. P.del A. 1</t>
  </si>
  <si>
    <t>EL CHOCON</t>
  </si>
  <si>
    <t>TRAFO 4</t>
  </si>
  <si>
    <t>500/132/13,2</t>
  </si>
  <si>
    <t>ROSARIO OESTE</t>
  </si>
  <si>
    <t>TRAFO 2</t>
  </si>
  <si>
    <t>220/132</t>
  </si>
  <si>
    <t>EZEIZA</t>
  </si>
  <si>
    <t>TRAFO 1</t>
  </si>
  <si>
    <t>500/220/132</t>
  </si>
  <si>
    <t>TRAFO 5</t>
  </si>
  <si>
    <t>T6RO</t>
  </si>
  <si>
    <t>LUJAN</t>
  </si>
  <si>
    <t>TRAFO</t>
  </si>
  <si>
    <t>MALVINAS ARGENTINAS</t>
  </si>
  <si>
    <t>SALIDA LINEA NORTE 1</t>
  </si>
  <si>
    <t>GRAN MENDOZA</t>
  </si>
  <si>
    <t>SALIDA LINEA MONTE CASEROS 1</t>
  </si>
  <si>
    <t>P. BANDERITA</t>
  </si>
  <si>
    <t>SALIDA TRAFO MAQ. 1 Y 2</t>
  </si>
  <si>
    <t>SALIDA LINEA MONTE CASEROS 2</t>
  </si>
  <si>
    <t>VILLA LIA</t>
  </si>
  <si>
    <t>SALIDA TRAFO 220/132/13,2</t>
  </si>
  <si>
    <t>EL BRACHO</t>
  </si>
  <si>
    <t>SALIDA LÍNEA A C.T.S. MIGUEL</t>
  </si>
  <si>
    <t>SALIDA LINEA LOS LEALES</t>
  </si>
  <si>
    <t>GRAL. RODRIGUEZ</t>
  </si>
  <si>
    <t>SALIDA TRAFO 3 500/220</t>
  </si>
  <si>
    <t>SALIDA A MAQ. GENELBA 1</t>
  </si>
  <si>
    <t>AGUA DEL CAJÓN</t>
  </si>
  <si>
    <t>SALIDA TRAFO 1 CAPEX</t>
  </si>
  <si>
    <t>RESISTENCIA</t>
  </si>
  <si>
    <t>SALIDA RESISTENCIA 1 CD6</t>
  </si>
  <si>
    <t>SANTO TOME</t>
  </si>
  <si>
    <t>SALIDA CALCHINES</t>
  </si>
  <si>
    <t>SALIDA TRAFO 2 CAPEX</t>
  </si>
  <si>
    <t>ALICURA</t>
  </si>
  <si>
    <t>SALIDA LINEA A SAN M. DE LOS ANDES</t>
  </si>
  <si>
    <t>ALIMENTADOR A SALADILLO</t>
  </si>
  <si>
    <t>SALIDA LINEA STA. FE NORTE</t>
  </si>
  <si>
    <t>SALIDA LINEA PILAR</t>
  </si>
  <si>
    <t>SALIDA LINEA ESTE 1</t>
  </si>
  <si>
    <t>CS2</t>
  </si>
  <si>
    <t>CS1</t>
  </si>
  <si>
    <t>MACACHIN</t>
  </si>
  <si>
    <t>R1L5MC</t>
  </si>
  <si>
    <t>CS4</t>
  </si>
  <si>
    <t>CS3</t>
  </si>
  <si>
    <t>OLAVARRIA</t>
  </si>
  <si>
    <t>R1B5OL</t>
  </si>
  <si>
    <t>RECREO</t>
  </si>
  <si>
    <t>R1B5RE</t>
  </si>
  <si>
    <t>CHOELE CHOEL</t>
  </si>
  <si>
    <t>K4CL</t>
  </si>
  <si>
    <t>SALTO GDE.ARG.</t>
  </si>
  <si>
    <t>R22011</t>
  </si>
  <si>
    <t>CAMPANA</t>
  </si>
  <si>
    <t>SALIDA A V. LIA</t>
  </si>
  <si>
    <t>BAHIA BLANCA</t>
  </si>
  <si>
    <t>SALIDA a Norte II</t>
  </si>
  <si>
    <t>SALIDA A DORREGO</t>
  </si>
  <si>
    <t>SALIDA A HENDERSON</t>
  </si>
  <si>
    <t>SALIDA A TANDIL</t>
  </si>
  <si>
    <t>SALIDA A G. CHAVES</t>
  </si>
  <si>
    <t>SALIDA PETROQUIMICA 2</t>
  </si>
  <si>
    <t>SALIDA PETROQUIMICA 3</t>
  </si>
  <si>
    <t>SALIDA A PRINGLES</t>
  </si>
  <si>
    <t>SALIDA A L. NEGRA</t>
  </si>
  <si>
    <t>P. DE LA PATRIA</t>
  </si>
  <si>
    <t>TRPP</t>
  </si>
  <si>
    <t>RIO CORONDA - SANTO TOMÉ</t>
  </si>
  <si>
    <t>ROSARIO OESTE - RIO CORONDA</t>
  </si>
  <si>
    <t>P - PROGRAMADA</t>
  </si>
  <si>
    <t>P - PROGRAMADA ;   F - FORZADA</t>
  </si>
  <si>
    <t>F - FORZADA</t>
  </si>
  <si>
    <t>P - PROGRAMADA ;   R - REDUCCIÓN FORZADA</t>
  </si>
  <si>
    <t>R3L5ST</t>
  </si>
  <si>
    <t>STO. TOME</t>
  </si>
  <si>
    <t xml:space="preserve"> F - FORZADA </t>
  </si>
  <si>
    <t>Valores remuneratorios según Res. ENRE 327/08 y Res. ENRE 328/08</t>
  </si>
  <si>
    <t>SISTEMA DE TRANSPORTE DE ENERGÍA ELÉCTRICA EN ALTA TENSION</t>
  </si>
  <si>
    <t>INDISPONIBILIDADES FORZADAS DE LÍNEAS - TASA DE FALLA</t>
  </si>
  <si>
    <t>Correspondiente al mes de noviembre de 2008 (provisoria)</t>
  </si>
  <si>
    <t>CLASE</t>
  </si>
  <si>
    <t xml:space="preserve">Longitud Total </t>
  </si>
  <si>
    <t xml:space="preserve">Indisponibilidades Forzadas </t>
  </si>
  <si>
    <t xml:space="preserve">TASA DE FALLA </t>
  </si>
  <si>
    <t xml:space="preserve"> Valores Provisorios</t>
  </si>
  <si>
    <t>TASA DE FALLA</t>
  </si>
  <si>
    <t>Salidas X Año / 100Km</t>
  </si>
  <si>
    <t>P - PROGRAMADA ;  F - FORZADA</t>
  </si>
  <si>
    <t>RF</t>
  </si>
  <si>
    <t>1.3.- Incendio de Campos - Aplicación Punto 6.1.6 del Acta Acuerdo</t>
  </si>
  <si>
    <t xml:space="preserve">P - PROGRAMADA                  </t>
  </si>
  <si>
    <t xml:space="preserve">FM - Fuerza  Mayor                       </t>
  </si>
  <si>
    <t>1.3.-</t>
  </si>
  <si>
    <t>Incendio de campos</t>
  </si>
  <si>
    <t>NO</t>
  </si>
  <si>
    <t>RP</t>
  </si>
  <si>
    <t>(*)</t>
  </si>
  <si>
    <t>(*): Según Nota S.E. N° 2492</t>
  </si>
  <si>
    <t>RM: Por Capacitores ET Bahía Blanca:</t>
  </si>
  <si>
    <t>100 MVAr</t>
  </si>
  <si>
    <t>(*):</t>
  </si>
  <si>
    <t>Según Resolución ENRE N° 157/07</t>
  </si>
  <si>
    <t>RM: Por Capacitores ET Paso de la Patria:</t>
  </si>
  <si>
    <t>75 MVAr</t>
  </si>
  <si>
    <t>Según Resolución ENRE N° 735/07</t>
  </si>
  <si>
    <t>TOTAL DE PENALIZACIONES A APLICAR</t>
  </si>
  <si>
    <t>2.1.2.-</t>
  </si>
  <si>
    <t>Indisp. Transformador N° 4 E.T. El Chocón</t>
  </si>
  <si>
    <t>2.1.2.- Indisponibilidad Transformador N° 4 E.T. El Chocón</t>
  </si>
  <si>
    <t>Equipamiento propio Res. S.E. N° 01/2003</t>
  </si>
  <si>
    <t xml:space="preserve">ANEXO VI al Memoràndum D.T.E.E. N°  366 / 2010          </t>
  </si>
</sst>
</file>

<file path=xl/styles.xml><?xml version="1.0" encoding="utf-8"?>
<styleSheet xmlns="http://schemas.openxmlformats.org/spreadsheetml/2006/main">
  <numFmts count="6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)"/>
    <numFmt numFmtId="173" formatCode="0.0_)"/>
    <numFmt numFmtId="174" formatCode="0.0000000_)"/>
    <numFmt numFmtId="175" formatCode="#,##0.0000"/>
    <numFmt numFmtId="176" formatCode="0.00_)"/>
    <numFmt numFmtId="177" formatCode="#,##0.00000"/>
    <numFmt numFmtId="178" formatCode="0.0"/>
    <numFmt numFmtId="179" formatCode="&quot;$&quot;\ #,##0.000;&quot;$&quot;\ \-#,##0.000"/>
    <numFmt numFmtId="180" formatCode="#,##0.0"/>
    <numFmt numFmtId="181" formatCode="0.000_)"/>
    <numFmt numFmtId="182" formatCode="0.000"/>
    <numFmt numFmtId="183" formatCode="0.0\ \k\V"/>
    <numFmt numFmtId="184" formatCode="0.00\ &quot;km&quot;"/>
    <numFmt numFmtId="185" formatCode="0.00\ &quot;MVA&quot;"/>
    <numFmt numFmtId="186" formatCode="dd/mm/yy"/>
    <numFmt numFmtId="187" formatCode="#,##0;[Red]#,##0"/>
    <numFmt numFmtId="188" formatCode="#,##0.000000"/>
    <numFmt numFmtId="189" formatCode="#&quot;.&quot;#&quot;.-&quot;"/>
    <numFmt numFmtId="190" formatCode="#&quot;.&quot;#&quot;.&quot;#&quot;.-&quot;"/>
    <numFmt numFmtId="191" formatCode="&quot;$&quot;#,##0.00;&quot;$&quot;\-#,##0.00"/>
    <numFmt numFmtId="192" formatCode="&quot;$&quot;#,##0.00"/>
    <numFmt numFmtId="193" formatCode="#,##0.00;[Red]#,##0.00"/>
    <numFmt numFmtId="194" formatCode="&quot;$&quot;\ #,##0.00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mmm\-yyyy"/>
    <numFmt numFmtId="204" formatCode="&quot;$&quot;\ #,##0.0;&quot;$&quot;\ \-#,##0.0"/>
    <numFmt numFmtId="205" formatCode="&quot;$&quot;\ #,##0.0000;&quot;$&quot;\ \-#,##0.0000"/>
    <numFmt numFmtId="206" formatCode="&quot;$&quot;\ #,##0.00000;&quot;$&quot;\ \-#,##0.00000"/>
    <numFmt numFmtId="207" formatCode="&quot;$&quot;\ #,##0.000000;&quot;$&quot;\ \-#,##0.000000"/>
    <numFmt numFmtId="208" formatCode="&quot;$&quot;#,##0.0;&quot;$&quot;\-#,##0.0"/>
    <numFmt numFmtId="209" formatCode="&quot;$&quot;#,##0;&quot;$&quot;\-#,##0"/>
    <numFmt numFmtId="210" formatCode="&quot;$&quot;\ #,##0.0000000;&quot;$&quot;\ \-#,##0.0000000"/>
    <numFmt numFmtId="211" formatCode="&quot;Sí&quot;;&quot;Sí&quot;;&quot;No&quot;"/>
    <numFmt numFmtId="212" formatCode="&quot;Verdadero&quot;;&quot;Verdadero&quot;;&quot;Falso&quot;"/>
    <numFmt numFmtId="213" formatCode="&quot;Activado&quot;;&quot;Activado&quot;;&quot;Desactivado&quot;"/>
    <numFmt numFmtId="214" formatCode="d\-m"/>
    <numFmt numFmtId="215" formatCode="dd/mm/\a\a\a\a\ hh:\n\n"/>
    <numFmt numFmtId="216" formatCode="d\-m\-yy\ h:mm"/>
    <numFmt numFmtId="217" formatCode="#,##0.000_);[Red]\(#,##0.000\)"/>
    <numFmt numFmtId="218" formatCode="#,##0.0000_);[Red]\(#,##0.0000\)"/>
    <numFmt numFmtId="219" formatCode="#,##0.00000_);[Red]\(#,##0.00000\)"/>
    <numFmt numFmtId="220" formatCode="#,##0.000000_);[Red]\(#,##0.000000\)"/>
    <numFmt numFmtId="221" formatCode="0.0000"/>
    <numFmt numFmtId="222" formatCode="[$€-2]\ #,##0.00_);[Red]\([$€-2]\ #,##0.00\)"/>
    <numFmt numFmtId="223" formatCode="[$-2C0A]dddd\,\ dd&quot; de &quot;mmmm&quot; de &quot;yyyy"/>
    <numFmt numFmtId="224" formatCode="[$-2C0A]hh:mm:ss\ \a\.m\./\p\.m\."/>
  </numFmts>
  <fonts count="12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u val="single"/>
      <sz val="16"/>
      <name val="Times New Roman"/>
      <family val="1"/>
    </font>
    <font>
      <sz val="10"/>
      <color indexed="1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1"/>
      <name val="MS Sans Serif"/>
      <family val="2"/>
    </font>
    <font>
      <sz val="11"/>
      <color indexed="13"/>
      <name val="Times New Roman"/>
      <family val="1"/>
    </font>
    <font>
      <sz val="11"/>
      <color indexed="8"/>
      <name val="Times New Roman"/>
      <family val="1"/>
    </font>
    <font>
      <sz val="14"/>
      <name val="MS Sans Serif"/>
      <family val="0"/>
    </font>
    <font>
      <sz val="10"/>
      <name val="Wingdings"/>
      <family val="0"/>
    </font>
    <font>
      <sz val="7"/>
      <name val="Times New Roman"/>
      <family val="1"/>
    </font>
    <font>
      <sz val="7"/>
      <name val="Wingdings"/>
      <family val="0"/>
    </font>
    <font>
      <sz val="7"/>
      <name val="Courier New"/>
      <family val="3"/>
    </font>
    <font>
      <sz val="11"/>
      <color indexed="48"/>
      <name val="MS Sans Serif"/>
      <family val="2"/>
    </font>
    <font>
      <sz val="10"/>
      <color indexed="48"/>
      <name val="Times New Roman"/>
      <family val="1"/>
    </font>
    <font>
      <b/>
      <sz val="10"/>
      <color indexed="10"/>
      <name val="Times New Roman"/>
      <family val="0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1"/>
      <color indexed="56"/>
      <name val="MS Sans Serif"/>
      <family val="2"/>
    </font>
    <font>
      <sz val="11"/>
      <color indexed="58"/>
      <name val="MS Sans Serif"/>
      <family val="2"/>
    </font>
    <font>
      <b/>
      <sz val="10"/>
      <color indexed="58"/>
      <name val="Times New Roman"/>
      <family val="0"/>
    </font>
    <font>
      <sz val="11"/>
      <color indexed="9"/>
      <name val="MS Sans Serif"/>
      <family val="2"/>
    </font>
    <font>
      <sz val="10"/>
      <color indexed="9"/>
      <name val="MS Sans Serif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26"/>
      <name val="MS Sans Serif"/>
      <family val="2"/>
    </font>
    <font>
      <b/>
      <sz val="10"/>
      <color indexed="26"/>
      <name val="Times New Roman"/>
      <family val="1"/>
    </font>
    <font>
      <sz val="11"/>
      <color indexed="8"/>
      <name val="MS Sans Serif"/>
      <family val="2"/>
    </font>
    <font>
      <sz val="11"/>
      <color indexed="62"/>
      <name val="MS Sans Serif"/>
      <family val="2"/>
    </font>
    <font>
      <b/>
      <sz val="10"/>
      <color indexed="62"/>
      <name val="Times New Roman"/>
      <family val="0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0"/>
    </font>
    <font>
      <sz val="16"/>
      <name val="MS Sans Serif"/>
      <family val="0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47"/>
      <name val="MS Sans Serif"/>
      <family val="2"/>
    </font>
    <font>
      <sz val="10"/>
      <color indexed="47"/>
      <name val="Times New Roman"/>
      <family val="1"/>
    </font>
    <font>
      <sz val="10"/>
      <color indexed="14"/>
      <name val="Times New Roman"/>
      <family val="1"/>
    </font>
    <font>
      <i/>
      <sz val="10"/>
      <name val="Times New Roman"/>
      <family val="1"/>
    </font>
    <font>
      <sz val="11"/>
      <color indexed="50"/>
      <name val="MS Sans Serif"/>
      <family val="2"/>
    </font>
    <font>
      <sz val="10"/>
      <color indexed="50"/>
      <name val="Times New Roman"/>
      <family val="1"/>
    </font>
    <font>
      <b/>
      <sz val="10"/>
      <color indexed="50"/>
      <name val="Times New Roman"/>
      <family val="0"/>
    </font>
    <font>
      <sz val="10"/>
      <color indexed="13"/>
      <name val="Times New Roman"/>
      <family val="1"/>
    </font>
    <font>
      <sz val="11"/>
      <color indexed="60"/>
      <name val="MS Sans Serif"/>
      <family val="2"/>
    </font>
    <font>
      <sz val="11"/>
      <color indexed="11"/>
      <name val="MS Sans Serif"/>
      <family val="2"/>
    </font>
    <font>
      <sz val="10"/>
      <color indexed="60"/>
      <name val="Times New Roman"/>
      <family val="1"/>
    </font>
    <font>
      <sz val="10"/>
      <color indexed="11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11"/>
      <name val="Times New Roman"/>
      <family val="1"/>
    </font>
    <font>
      <b/>
      <i/>
      <sz val="14"/>
      <name val="Times New Roman"/>
      <family val="1"/>
    </font>
    <font>
      <sz val="11"/>
      <color indexed="61"/>
      <name val="MS Sans Serif"/>
      <family val="2"/>
    </font>
    <font>
      <sz val="11"/>
      <color indexed="54"/>
      <name val="MS Sans Serif"/>
      <family val="2"/>
    </font>
    <font>
      <b/>
      <sz val="10"/>
      <color indexed="61"/>
      <name val="Times New Roman"/>
      <family val="0"/>
    </font>
    <font>
      <b/>
      <sz val="10"/>
      <color indexed="54"/>
      <name val="Times New Roman"/>
      <family val="0"/>
    </font>
    <font>
      <b/>
      <sz val="10"/>
      <color indexed="56"/>
      <name val="Times New Roman"/>
      <family val="1"/>
    </font>
    <font>
      <b/>
      <sz val="12"/>
      <color indexed="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0"/>
      <color indexed="18"/>
      <name val="Times New Roman"/>
      <family val="1"/>
    </font>
    <font>
      <b/>
      <sz val="10"/>
      <color indexed="8"/>
      <name val="Times New Roman"/>
      <family val="1"/>
    </font>
    <font>
      <sz val="11"/>
      <color indexed="27"/>
      <name val="MS Sans Serif"/>
      <family val="0"/>
    </font>
    <font>
      <b/>
      <sz val="10"/>
      <color indexed="27"/>
      <name val="Times New Roman"/>
      <family val="1"/>
    </font>
    <font>
      <b/>
      <u val="single"/>
      <sz val="18"/>
      <name val="Times New Roman"/>
      <family val="1"/>
    </font>
    <font>
      <sz val="12"/>
      <name val="MS Sans Serif"/>
      <family val="0"/>
    </font>
    <font>
      <sz val="10"/>
      <color indexed="27"/>
      <name val="Times New Roman"/>
      <family val="1"/>
    </font>
    <font>
      <sz val="24"/>
      <name val="Times New Roman"/>
      <family val="1"/>
    </font>
    <font>
      <b/>
      <u val="single"/>
      <sz val="24"/>
      <name val="Times New Roman"/>
      <family val="1"/>
    </font>
    <font>
      <b/>
      <i/>
      <u val="single"/>
      <sz val="12"/>
      <name val="Arial"/>
      <family val="0"/>
    </font>
    <font>
      <b/>
      <i/>
      <u val="single"/>
      <sz val="12"/>
      <name val="Times New Roman"/>
      <family val="1"/>
    </font>
    <font>
      <sz val="11"/>
      <color indexed="34"/>
      <name val="MS Sans Serif"/>
      <family val="2"/>
    </font>
    <font>
      <sz val="10"/>
      <color indexed="34"/>
      <name val="MS Sans Serif"/>
      <family val="2"/>
    </font>
    <font>
      <b/>
      <sz val="12"/>
      <color indexed="48"/>
      <name val="Times New Roman"/>
      <family val="0"/>
    </font>
    <font>
      <b/>
      <sz val="12"/>
      <color indexed="9"/>
      <name val="Times New Roman"/>
      <family val="0"/>
    </font>
    <font>
      <b/>
      <sz val="10"/>
      <color indexed="34"/>
      <name val="Times New Roman"/>
      <family val="1"/>
    </font>
    <font>
      <sz val="12"/>
      <color indexed="10"/>
      <name val="Times New Roman"/>
      <family val="1"/>
    </font>
    <font>
      <b/>
      <sz val="12"/>
      <color indexed="34"/>
      <name val="Times New Roman"/>
      <family val="0"/>
    </font>
    <font>
      <b/>
      <sz val="10"/>
      <color indexed="48"/>
      <name val="Times New Roman"/>
      <family val="0"/>
    </font>
    <font>
      <b/>
      <u val="single"/>
      <sz val="12"/>
      <color indexed="8"/>
      <name val="Times New Roman"/>
      <family val="1"/>
    </font>
    <font>
      <sz val="12"/>
      <color indexed="14"/>
      <name val="Times New Roman"/>
      <family val="1"/>
    </font>
    <font>
      <b/>
      <sz val="14"/>
      <color indexed="8"/>
      <name val="Times New Roman"/>
      <family val="0"/>
    </font>
    <font>
      <sz val="14"/>
      <color indexed="14"/>
      <name val="Times New Roman"/>
      <family val="1"/>
    </font>
    <font>
      <sz val="14"/>
      <color indexed="10"/>
      <name val="Times New Roman"/>
      <family val="1"/>
    </font>
    <font>
      <sz val="10"/>
      <color indexed="62"/>
      <name val="MS Sans Serif"/>
      <family val="2"/>
    </font>
    <font>
      <sz val="10"/>
      <color indexed="26"/>
      <name val="Times New Roman"/>
      <family val="1"/>
    </font>
    <font>
      <sz val="10"/>
      <color indexed="62"/>
      <name val="Times New Roman"/>
      <family val="1"/>
    </font>
    <font>
      <sz val="10"/>
      <color indexed="50"/>
      <name val="MS Sans Serif"/>
      <family val="2"/>
    </font>
    <font>
      <b/>
      <sz val="10"/>
      <color indexed="10"/>
      <name val="MS Sans Serif"/>
      <family val="2"/>
    </font>
    <font>
      <b/>
      <sz val="10"/>
      <color indexed="50"/>
      <name val="MS Sans Serif"/>
      <family val="2"/>
    </font>
    <font>
      <i/>
      <sz val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0"/>
      <color indexed="18"/>
      <name val="MS Sans Serif"/>
      <family val="2"/>
    </font>
    <font>
      <b/>
      <i/>
      <sz val="11"/>
      <name val="Times New Roman"/>
      <family val="1"/>
    </font>
    <font>
      <sz val="18"/>
      <name val="Times New Roman"/>
      <family val="1"/>
    </font>
    <font>
      <sz val="14"/>
      <name val="Arial Narrow"/>
      <family val="2"/>
    </font>
    <font>
      <b/>
      <sz val="14"/>
      <name val="Arial Narrow"/>
      <family val="2"/>
    </font>
    <font>
      <b/>
      <sz val="12"/>
      <name val="Arial"/>
      <family val="0"/>
    </font>
    <font>
      <sz val="7"/>
      <color indexed="10"/>
      <name val="Times New Roman"/>
      <family val="1"/>
    </font>
    <font>
      <sz val="7"/>
      <color indexed="14"/>
      <name val="Times New Roman"/>
      <family val="1"/>
    </font>
    <font>
      <b/>
      <sz val="7"/>
      <name val="Times New Roman"/>
      <family val="1"/>
    </font>
    <font>
      <b/>
      <sz val="8"/>
      <name val="MS Sans Serif"/>
      <family val="2"/>
    </font>
  </fonts>
  <fills count="2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lightGray"/>
    </fill>
  </fills>
  <borders count="74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ck"/>
    </border>
    <border>
      <left>
        <color indexed="63"/>
      </left>
      <right style="thick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ck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9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 horizontal="center"/>
    </xf>
    <xf numFmtId="176" fontId="7" fillId="0" borderId="2" xfId="0" applyNumberFormat="1" applyFont="1" applyBorder="1" applyAlignment="1" applyProtection="1" quotePrefix="1">
      <alignment horizontal="center"/>
      <protection/>
    </xf>
    <xf numFmtId="176" fontId="7" fillId="0" borderId="3" xfId="0" applyNumberFormat="1" applyFont="1" applyBorder="1" applyAlignment="1" applyProtection="1">
      <alignment horizontal="center"/>
      <protection/>
    </xf>
    <xf numFmtId="0" fontId="7" fillId="0" borderId="2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176" fontId="7" fillId="0" borderId="2" xfId="0" applyNumberFormat="1" applyFont="1" applyFill="1" applyBorder="1" applyAlignment="1" applyProtection="1">
      <alignment horizontal="center"/>
      <protection/>
    </xf>
    <xf numFmtId="3" fontId="7" fillId="0" borderId="2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/>
    </xf>
    <xf numFmtId="4" fontId="10" fillId="0" borderId="4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4" fillId="0" borderId="0" xfId="0" applyFont="1" applyFill="1" applyBorder="1" applyAlignment="1" applyProtection="1">
      <alignment horizontal="centerContinuous"/>
      <protection/>
    </xf>
    <xf numFmtId="0" fontId="18" fillId="0" borderId="0" xfId="0" applyNumberFormat="1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Fill="1" applyBorder="1" applyAlignment="1" applyProtection="1">
      <alignment horizontal="left"/>
      <protection/>
    </xf>
    <xf numFmtId="0" fontId="15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5" xfId="0" applyFont="1" applyBorder="1" applyAlignment="1">
      <alignment/>
    </xf>
    <xf numFmtId="0" fontId="22" fillId="0" borderId="6" xfId="0" applyFont="1" applyBorder="1" applyAlignment="1">
      <alignment/>
    </xf>
    <xf numFmtId="0" fontId="23" fillId="0" borderId="0" xfId="0" applyFont="1" applyAlignment="1">
      <alignment/>
    </xf>
    <xf numFmtId="0" fontId="24" fillId="0" borderId="7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23" fillId="0" borderId="0" xfId="0" applyNumberFormat="1" applyFont="1" applyAlignment="1">
      <alignment horizontal="centerContinuous"/>
    </xf>
    <xf numFmtId="0" fontId="24" fillId="0" borderId="0" xfId="0" applyFont="1" applyBorder="1" applyAlignment="1">
      <alignment horizontal="centerContinuous"/>
    </xf>
    <xf numFmtId="0" fontId="23" fillId="0" borderId="0" xfId="0" applyFont="1" applyBorder="1" applyAlignment="1">
      <alignment horizontal="centerContinuous"/>
    </xf>
    <xf numFmtId="0" fontId="23" fillId="0" borderId="1" xfId="0" applyFont="1" applyBorder="1" applyAlignment="1">
      <alignment horizontal="centerContinuous"/>
    </xf>
    <xf numFmtId="0" fontId="23" fillId="0" borderId="0" xfId="0" applyFont="1" applyBorder="1" applyAlignment="1">
      <alignment/>
    </xf>
    <xf numFmtId="0" fontId="23" fillId="0" borderId="7" xfId="0" applyFont="1" applyBorder="1" applyAlignment="1">
      <alignment/>
    </xf>
    <xf numFmtId="0" fontId="25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/>
    </xf>
    <xf numFmtId="0" fontId="23" fillId="0" borderId="1" xfId="0" applyFont="1" applyBorder="1" applyAlignment="1">
      <alignment/>
    </xf>
    <xf numFmtId="0" fontId="25" fillId="0" borderId="0" xfId="0" applyNumberFormat="1" applyFont="1" applyBorder="1" applyAlignment="1">
      <alignment horizontal="right"/>
    </xf>
    <xf numFmtId="7" fontId="25" fillId="0" borderId="0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26" fillId="0" borderId="0" xfId="0" applyFont="1" applyBorder="1" applyAlignment="1">
      <alignment/>
    </xf>
    <xf numFmtId="7" fontId="5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/>
    </xf>
    <xf numFmtId="0" fontId="25" fillId="0" borderId="8" xfId="0" applyFont="1" applyBorder="1" applyAlignment="1">
      <alignment horizontal="center"/>
    </xf>
    <xf numFmtId="7" fontId="25" fillId="0" borderId="9" xfId="0" applyNumberFormat="1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11" xfId="0" applyNumberFormat="1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0" xfId="0" applyFont="1" applyFill="1" applyBorder="1" applyAlignment="1">
      <alignment/>
    </xf>
    <xf numFmtId="4" fontId="22" fillId="0" borderId="0" xfId="0" applyNumberFormat="1" applyFont="1" applyFill="1" applyBorder="1" applyAlignment="1">
      <alignment/>
    </xf>
    <xf numFmtId="7" fontId="22" fillId="0" borderId="0" xfId="0" applyNumberFormat="1" applyFont="1" applyBorder="1" applyAlignment="1">
      <alignment/>
    </xf>
    <xf numFmtId="176" fontId="22" fillId="0" borderId="0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0" fillId="0" borderId="7" xfId="0" applyFont="1" applyBorder="1" applyAlignment="1">
      <alignment/>
    </xf>
    <xf numFmtId="0" fontId="20" fillId="0" borderId="1" xfId="0" applyFont="1" applyBorder="1" applyAlignment="1">
      <alignment/>
    </xf>
    <xf numFmtId="0" fontId="20" fillId="0" borderId="0" xfId="0" applyFont="1" applyBorder="1" applyAlignment="1" applyProtection="1">
      <alignment/>
      <protection/>
    </xf>
    <xf numFmtId="0" fontId="0" fillId="0" borderId="8" xfId="0" applyFont="1" applyBorder="1" applyAlignment="1" applyProtection="1">
      <alignment horizontal="center"/>
      <protection/>
    </xf>
    <xf numFmtId="0" fontId="8" fillId="0" borderId="0" xfId="0" applyFont="1" applyBorder="1" applyAlignment="1">
      <alignment horizontal="centerContinuous"/>
    </xf>
    <xf numFmtId="0" fontId="27" fillId="0" borderId="14" xfId="0" applyFont="1" applyBorder="1" applyAlignment="1">
      <alignment horizontal="center" vertical="center"/>
    </xf>
    <xf numFmtId="0" fontId="27" fillId="0" borderId="14" xfId="0" applyFont="1" applyBorder="1" applyAlignment="1" applyProtection="1">
      <alignment horizontal="center" vertical="center"/>
      <protection/>
    </xf>
    <xf numFmtId="0" fontId="27" fillId="0" borderId="14" xfId="0" applyFont="1" applyBorder="1" applyAlignment="1" applyProtection="1">
      <alignment horizontal="center" vertical="center" wrapText="1"/>
      <protection/>
    </xf>
    <xf numFmtId="0" fontId="27" fillId="0" borderId="15" xfId="0" applyFont="1" applyBorder="1" applyAlignment="1" applyProtection="1">
      <alignment horizontal="center" vertical="center" wrapText="1"/>
      <protection/>
    </xf>
    <xf numFmtId="0" fontId="27" fillId="0" borderId="8" xfId="0" applyFont="1" applyBorder="1" applyAlignment="1" applyProtection="1">
      <alignment horizontal="center" vertical="center" wrapText="1"/>
      <protection/>
    </xf>
    <xf numFmtId="0" fontId="27" fillId="0" borderId="9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7" fillId="0" borderId="13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center"/>
    </xf>
    <xf numFmtId="22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 applyProtection="1">
      <alignment horizontal="center"/>
      <protection/>
    </xf>
    <xf numFmtId="7" fontId="13" fillId="0" borderId="14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7" xfId="0" applyFont="1" applyFill="1" applyBorder="1" applyAlignment="1">
      <alignment/>
    </xf>
    <xf numFmtId="0" fontId="20" fillId="0" borderId="1" xfId="0" applyFont="1" applyFill="1" applyBorder="1" applyAlignment="1">
      <alignment/>
    </xf>
    <xf numFmtId="0" fontId="20" fillId="0" borderId="0" xfId="0" applyFont="1" applyFill="1" applyBorder="1" applyAlignment="1" applyProtection="1">
      <alignment/>
      <protection/>
    </xf>
    <xf numFmtId="0" fontId="23" fillId="0" borderId="0" xfId="0" applyFont="1" applyFill="1" applyAlignment="1">
      <alignment/>
    </xf>
    <xf numFmtId="0" fontId="0" fillId="0" borderId="8" xfId="0" applyFont="1" applyFill="1" applyBorder="1" applyAlignment="1" applyProtection="1" quotePrefix="1">
      <alignment horizontal="left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>
      <alignment horizontal="centerContinuous"/>
    </xf>
    <xf numFmtId="0" fontId="11" fillId="0" borderId="0" xfId="0" applyFont="1" applyFill="1" applyAlignment="1">
      <alignment/>
    </xf>
    <xf numFmtId="0" fontId="18" fillId="0" borderId="0" xfId="0" applyFont="1" applyFill="1" applyAlignment="1">
      <alignment horizontal="centerContinuous"/>
    </xf>
    <xf numFmtId="22" fontId="7" fillId="0" borderId="0" xfId="0" applyNumberFormat="1" applyFont="1" applyBorder="1" applyAlignment="1">
      <alignment/>
    </xf>
    <xf numFmtId="0" fontId="0" fillId="0" borderId="8" xfId="0" applyFont="1" applyBorder="1" applyAlignment="1" applyProtection="1">
      <alignment horizontal="left"/>
      <protection/>
    </xf>
    <xf numFmtId="0" fontId="0" fillId="0" borderId="14" xfId="0" applyFont="1" applyBorder="1" applyAlignment="1">
      <alignment horizontal="center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 wrapText="1"/>
      <protection/>
    </xf>
    <xf numFmtId="0" fontId="27" fillId="0" borderId="14" xfId="0" applyFont="1" applyFill="1" applyBorder="1" applyAlignment="1" applyProtection="1" quotePrefix="1">
      <alignment horizontal="center" vertical="center" wrapText="1"/>
      <protection/>
    </xf>
    <xf numFmtId="0" fontId="27" fillId="0" borderId="14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>
      <alignment horizontal="center" vertical="center"/>
    </xf>
    <xf numFmtId="0" fontId="18" fillId="0" borderId="0" xfId="0" applyFont="1" applyAlignment="1">
      <alignment horizontal="centerContinuous"/>
    </xf>
    <xf numFmtId="7" fontId="25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32" fillId="0" borderId="16" xfId="0" applyFont="1" applyBorder="1" applyAlignment="1">
      <alignment horizontal="center"/>
    </xf>
    <xf numFmtId="0" fontId="34" fillId="0" borderId="0" xfId="0" applyFont="1" applyBorder="1" applyAlignment="1" applyProtection="1">
      <alignment horizontal="left"/>
      <protection/>
    </xf>
    <xf numFmtId="0" fontId="35" fillId="2" borderId="14" xfId="0" applyFont="1" applyFill="1" applyBorder="1" applyAlignment="1" applyProtection="1">
      <alignment horizontal="center" vertical="center"/>
      <protection/>
    </xf>
    <xf numFmtId="176" fontId="36" fillId="2" borderId="2" xfId="0" applyNumberFormat="1" applyFont="1" applyFill="1" applyBorder="1" applyAlignment="1" applyProtection="1">
      <alignment horizontal="center"/>
      <protection/>
    </xf>
    <xf numFmtId="176" fontId="36" fillId="2" borderId="3" xfId="0" applyNumberFormat="1" applyFont="1" applyFill="1" applyBorder="1" applyAlignment="1" applyProtection="1">
      <alignment horizontal="center"/>
      <protection/>
    </xf>
    <xf numFmtId="0" fontId="27" fillId="0" borderId="14" xfId="0" applyFont="1" applyBorder="1" applyAlignment="1">
      <alignment horizontal="center" vertical="center" wrapText="1"/>
    </xf>
    <xf numFmtId="0" fontId="36" fillId="2" borderId="17" xfId="0" applyFont="1" applyFill="1" applyBorder="1" applyAlignment="1">
      <alignment horizontal="center"/>
    </xf>
    <xf numFmtId="0" fontId="43" fillId="3" borderId="14" xfId="0" applyFont="1" applyFill="1" applyBorder="1" applyAlignment="1">
      <alignment horizontal="center" vertical="center" wrapText="1"/>
    </xf>
    <xf numFmtId="0" fontId="43" fillId="4" borderId="14" xfId="0" applyFont="1" applyFill="1" applyBorder="1" applyAlignment="1" applyProtection="1">
      <alignment horizontal="center" vertical="center"/>
      <protection/>
    </xf>
    <xf numFmtId="0" fontId="47" fillId="3" borderId="14" xfId="0" applyFont="1" applyFill="1" applyBorder="1" applyAlignment="1">
      <alignment horizontal="center" vertical="center" wrapText="1"/>
    </xf>
    <xf numFmtId="0" fontId="43" fillId="5" borderId="14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/>
    </xf>
    <xf numFmtId="176" fontId="10" fillId="0" borderId="0" xfId="0" applyNumberFormat="1" applyFont="1" applyBorder="1" applyAlignment="1" applyProtection="1">
      <alignment horizontal="left"/>
      <protection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57" fillId="0" borderId="0" xfId="0" applyFont="1" applyAlignment="1">
      <alignment horizontal="right" vertical="top"/>
    </xf>
    <xf numFmtId="0" fontId="57" fillId="0" borderId="0" xfId="0" applyFont="1" applyFill="1" applyAlignment="1">
      <alignment horizontal="right" vertical="top"/>
    </xf>
    <xf numFmtId="0" fontId="7" fillId="0" borderId="2" xfId="0" applyFont="1" applyBorder="1" applyAlignment="1" applyProtection="1">
      <alignment horizontal="center"/>
      <protection locked="0"/>
    </xf>
    <xf numFmtId="0" fontId="12" fillId="0" borderId="18" xfId="0" applyFont="1" applyBorder="1" applyAlignment="1" applyProtection="1">
      <alignment horizontal="center"/>
      <protection locked="0"/>
    </xf>
    <xf numFmtId="172" fontId="7" fillId="0" borderId="2" xfId="0" applyNumberFormat="1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22" fontId="7" fillId="0" borderId="2" xfId="0" applyNumberFormat="1" applyFont="1" applyBorder="1" applyAlignment="1" applyProtection="1">
      <alignment horizontal="center"/>
      <protection locked="0"/>
    </xf>
    <xf numFmtId="176" fontId="7" fillId="0" borderId="3" xfId="0" applyNumberFormat="1" applyFont="1" applyBorder="1" applyAlignment="1" applyProtection="1">
      <alignment horizontal="center"/>
      <protection locked="0"/>
    </xf>
    <xf numFmtId="176" fontId="7" fillId="0" borderId="2" xfId="0" applyNumberFormat="1" applyFont="1" applyBorder="1" applyAlignment="1" applyProtection="1">
      <alignment horizontal="center"/>
      <protection locked="0"/>
    </xf>
    <xf numFmtId="176" fontId="7" fillId="0" borderId="2" xfId="0" applyNumberFormat="1" applyFont="1" applyBorder="1" applyAlignment="1" applyProtection="1" quotePrefix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22" fontId="7" fillId="0" borderId="2" xfId="0" applyNumberFormat="1" applyFont="1" applyFill="1" applyBorder="1" applyAlignment="1" applyProtection="1">
      <alignment horizontal="center"/>
      <protection locked="0"/>
    </xf>
    <xf numFmtId="176" fontId="7" fillId="0" borderId="2" xfId="0" applyNumberFormat="1" applyFont="1" applyFill="1" applyBorder="1" applyAlignment="1" applyProtection="1">
      <alignment horizontal="center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176" fontId="7" fillId="0" borderId="4" xfId="0" applyNumberFormat="1" applyFont="1" applyFill="1" applyBorder="1" applyAlignment="1" applyProtection="1">
      <alignment horizontal="center"/>
      <protection locked="0"/>
    </xf>
    <xf numFmtId="176" fontId="45" fillId="3" borderId="2" xfId="0" applyNumberFormat="1" applyFont="1" applyFill="1" applyBorder="1" applyAlignment="1" applyProtection="1" quotePrefix="1">
      <alignment horizontal="center"/>
      <protection locked="0"/>
    </xf>
    <xf numFmtId="176" fontId="7" fillId="0" borderId="20" xfId="0" applyNumberFormat="1" applyFont="1" applyFill="1" applyBorder="1" applyAlignment="1" applyProtection="1">
      <alignment horizontal="center"/>
      <protection locked="0"/>
    </xf>
    <xf numFmtId="176" fontId="45" fillId="3" borderId="3" xfId="0" applyNumberFormat="1" applyFont="1" applyFill="1" applyBorder="1" applyAlignment="1" applyProtection="1" quotePrefix="1">
      <alignment horizontal="center"/>
      <protection locked="0"/>
    </xf>
    <xf numFmtId="176" fontId="7" fillId="0" borderId="3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Border="1" applyAlignment="1">
      <alignment horizontal="center"/>
    </xf>
    <xf numFmtId="189" fontId="25" fillId="0" borderId="0" xfId="0" applyNumberFormat="1" applyFont="1" applyBorder="1" applyAlignment="1">
      <alignment horizontal="right"/>
    </xf>
    <xf numFmtId="190" fontId="25" fillId="0" borderId="0" xfId="0" applyNumberFormat="1" applyFont="1" applyBorder="1" applyAlignment="1">
      <alignment/>
    </xf>
    <xf numFmtId="190" fontId="25" fillId="0" borderId="0" xfId="0" applyNumberFormat="1" applyFont="1" applyBorder="1" applyAlignment="1">
      <alignment horizontal="right"/>
    </xf>
    <xf numFmtId="189" fontId="25" fillId="0" borderId="0" xfId="0" applyNumberFormat="1" applyFont="1" applyBorder="1" applyAlignment="1">
      <alignment horizontal="left"/>
    </xf>
    <xf numFmtId="190" fontId="23" fillId="0" borderId="0" xfId="0" applyNumberFormat="1" applyFont="1" applyBorder="1" applyAlignment="1">
      <alignment/>
    </xf>
    <xf numFmtId="0" fontId="63" fillId="0" borderId="0" xfId="0" applyNumberFormat="1" applyFont="1" applyBorder="1" applyAlignment="1">
      <alignment horizontal="left"/>
    </xf>
    <xf numFmtId="0" fontId="55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5" xfId="0" applyBorder="1" applyAlignment="1">
      <alignment/>
    </xf>
    <xf numFmtId="0" fontId="4" fillId="0" borderId="0" xfId="0" applyFont="1" applyBorder="1" applyAlignment="1">
      <alignment/>
    </xf>
    <xf numFmtId="172" fontId="27" fillId="0" borderId="9" xfId="0" applyNumberFormat="1" applyFont="1" applyBorder="1" applyAlignment="1" applyProtection="1">
      <alignment horizontal="center" vertical="center" wrapText="1"/>
      <protection/>
    </xf>
    <xf numFmtId="0" fontId="27" fillId="0" borderId="8" xfId="0" applyFont="1" applyBorder="1" applyAlignment="1" applyProtection="1">
      <alignment horizontal="center" vertical="center"/>
      <protection/>
    </xf>
    <xf numFmtId="0" fontId="64" fillId="6" borderId="8" xfId="0" applyFont="1" applyFill="1" applyBorder="1" applyAlignment="1" applyProtection="1">
      <alignment horizontal="centerContinuous" vertical="center" wrapText="1"/>
      <protection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172" fontId="7" fillId="0" borderId="2" xfId="0" applyNumberFormat="1" applyFont="1" applyFill="1" applyBorder="1" applyAlignment="1" applyProtection="1">
      <alignment horizontal="center"/>
      <protection locked="0"/>
    </xf>
    <xf numFmtId="22" fontId="7" fillId="0" borderId="4" xfId="0" applyNumberFormat="1" applyFont="1" applyBorder="1" applyAlignment="1" applyProtection="1">
      <alignment horizontal="center"/>
      <protection locked="0"/>
    </xf>
    <xf numFmtId="22" fontId="7" fillId="0" borderId="21" xfId="0" applyNumberFormat="1" applyFont="1" applyBorder="1" applyAlignment="1" applyProtection="1">
      <alignment horizontal="center"/>
      <protection locked="0"/>
    </xf>
    <xf numFmtId="4" fontId="7" fillId="7" borderId="2" xfId="0" applyNumberFormat="1" applyFont="1" applyFill="1" applyBorder="1" applyAlignment="1" applyProtection="1" quotePrefix="1">
      <alignment horizontal="center"/>
      <protection/>
    </xf>
    <xf numFmtId="172" fontId="7" fillId="7" borderId="2" xfId="0" applyNumberFormat="1" applyFont="1" applyFill="1" applyBorder="1" applyAlignment="1" applyProtection="1" quotePrefix="1">
      <alignment horizontal="center"/>
      <protection/>
    </xf>
    <xf numFmtId="181" fontId="7" fillId="0" borderId="2" xfId="0" applyNumberFormat="1" applyFont="1" applyBorder="1" applyAlignment="1" applyProtection="1" quotePrefix="1">
      <alignment horizontal="center"/>
      <protection locked="0"/>
    </xf>
    <xf numFmtId="176" fontId="66" fillId="6" borderId="22" xfId="0" applyNumberFormat="1" applyFont="1" applyFill="1" applyBorder="1" applyAlignment="1" applyProtection="1" quotePrefix="1">
      <alignment horizontal="center"/>
      <protection/>
    </xf>
    <xf numFmtId="181" fontId="7" fillId="0" borderId="3" xfId="0" applyNumberFormat="1" applyFont="1" applyBorder="1" applyAlignment="1" applyProtection="1" quotePrefix="1">
      <alignment horizontal="center"/>
      <protection locked="0"/>
    </xf>
    <xf numFmtId="176" fontId="7" fillId="0" borderId="0" xfId="0" applyNumberFormat="1" applyFont="1" applyBorder="1" applyAlignment="1" applyProtection="1">
      <alignment horizontal="center"/>
      <protection/>
    </xf>
    <xf numFmtId="176" fontId="7" fillId="0" borderId="0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7" fillId="0" borderId="5" xfId="0" applyFont="1" applyBorder="1" applyAlignment="1" applyProtection="1">
      <alignment horizontal="left"/>
      <protection/>
    </xf>
    <xf numFmtId="0" fontId="8" fillId="0" borderId="0" xfId="0" applyFont="1" applyBorder="1" applyAlignment="1">
      <alignment/>
    </xf>
    <xf numFmtId="0" fontId="23" fillId="0" borderId="1" xfId="0" applyFont="1" applyFill="1" applyBorder="1" applyAlignment="1">
      <alignment/>
    </xf>
    <xf numFmtId="0" fontId="24" fillId="0" borderId="0" xfId="0" applyFont="1" applyAlignment="1">
      <alignment horizontal="centerContinuous"/>
    </xf>
    <xf numFmtId="0" fontId="26" fillId="0" borderId="0" xfId="0" applyFont="1" applyBorder="1" applyAlignment="1">
      <alignment horizontal="left"/>
    </xf>
    <xf numFmtId="0" fontId="7" fillId="8" borderId="15" xfId="0" applyFont="1" applyFill="1" applyBorder="1" applyAlignment="1">
      <alignment/>
    </xf>
    <xf numFmtId="0" fontId="7" fillId="8" borderId="9" xfId="0" applyFont="1" applyFill="1" applyBorder="1" applyAlignment="1">
      <alignment/>
    </xf>
    <xf numFmtId="0" fontId="0" fillId="0" borderId="9" xfId="0" applyBorder="1" applyAlignment="1">
      <alignment horizontal="centerContinuous"/>
    </xf>
    <xf numFmtId="0" fontId="7" fillId="0" borderId="8" xfId="0" applyFont="1" applyBorder="1" applyAlignment="1">
      <alignment/>
    </xf>
    <xf numFmtId="0" fontId="7" fillId="0" borderId="15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7" fillId="8" borderId="8" xfId="0" applyFont="1" applyFill="1" applyBorder="1" applyAlignment="1">
      <alignment/>
    </xf>
    <xf numFmtId="0" fontId="54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182" fontId="0" fillId="0" borderId="0" xfId="0" applyNumberFormat="1" applyFont="1" applyBorder="1" applyAlignment="1">
      <alignment horizontal="centerContinuous"/>
    </xf>
    <xf numFmtId="0" fontId="7" fillId="8" borderId="0" xfId="0" applyFont="1" applyFill="1" applyBorder="1" applyAlignment="1">
      <alignment/>
    </xf>
    <xf numFmtId="0" fontId="7" fillId="0" borderId="0" xfId="0" applyFont="1" applyBorder="1" applyAlignment="1" applyProtection="1">
      <alignment horizontal="center"/>
      <protection/>
    </xf>
    <xf numFmtId="0" fontId="7" fillId="0" borderId="23" xfId="0" applyFont="1" applyBorder="1" applyAlignment="1">
      <alignment/>
    </xf>
    <xf numFmtId="0" fontId="27" fillId="0" borderId="14" xfId="23" applyFont="1" applyBorder="1" applyAlignment="1">
      <alignment horizontal="center" vertical="center"/>
      <protection/>
    </xf>
    <xf numFmtId="176" fontId="27" fillId="0" borderId="14" xfId="0" applyNumberFormat="1" applyFont="1" applyBorder="1" applyAlignment="1" applyProtection="1">
      <alignment horizontal="center" vertical="center"/>
      <protection/>
    </xf>
    <xf numFmtId="176" fontId="35" fillId="2" borderId="14" xfId="0" applyNumberFormat="1" applyFont="1" applyFill="1" applyBorder="1" applyAlignment="1" applyProtection="1">
      <alignment horizontal="center" vertical="center"/>
      <protection/>
    </xf>
    <xf numFmtId="0" fontId="38" fillId="2" borderId="8" xfId="0" applyFont="1" applyFill="1" applyBorder="1" applyAlignment="1" applyProtection="1">
      <alignment horizontal="centerContinuous" vertical="center" wrapText="1"/>
      <protection/>
    </xf>
    <xf numFmtId="0" fontId="39" fillId="2" borderId="15" xfId="0" applyFont="1" applyFill="1" applyBorder="1" applyAlignment="1">
      <alignment horizontal="centerContinuous"/>
    </xf>
    <xf numFmtId="0" fontId="38" fillId="2" borderId="9" xfId="0" applyFont="1" applyFill="1" applyBorder="1" applyAlignment="1">
      <alignment horizontal="centerContinuous" vertical="center"/>
    </xf>
    <xf numFmtId="0" fontId="68" fillId="9" borderId="14" xfId="0" applyFont="1" applyFill="1" applyBorder="1" applyAlignment="1">
      <alignment horizontal="center" vertical="center" wrapText="1"/>
    </xf>
    <xf numFmtId="0" fontId="69" fillId="10" borderId="1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22" fontId="7" fillId="0" borderId="4" xfId="0" applyNumberFormat="1" applyFont="1" applyBorder="1" applyAlignment="1">
      <alignment horizontal="center"/>
    </xf>
    <xf numFmtId="4" fontId="70" fillId="9" borderId="2" xfId="0" applyNumberFormat="1" applyFont="1" applyFill="1" applyBorder="1" applyAlignment="1" applyProtection="1">
      <alignment horizontal="center"/>
      <protection/>
    </xf>
    <xf numFmtId="4" fontId="71" fillId="10" borderId="2" xfId="0" applyNumberFormat="1" applyFont="1" applyFill="1" applyBorder="1" applyAlignment="1" applyProtection="1">
      <alignment horizontal="center"/>
      <protection/>
    </xf>
    <xf numFmtId="0" fontId="10" fillId="0" borderId="4" xfId="0" applyFont="1" applyBorder="1" applyAlignment="1">
      <alignment/>
    </xf>
    <xf numFmtId="0" fontId="36" fillId="2" borderId="2" xfId="0" applyFont="1" applyFill="1" applyBorder="1" applyAlignment="1" applyProtection="1">
      <alignment horizontal="center"/>
      <protection/>
    </xf>
    <xf numFmtId="22" fontId="7" fillId="0" borderId="24" xfId="0" applyNumberFormat="1" applyFont="1" applyBorder="1" applyAlignment="1" applyProtection="1">
      <alignment horizontal="center"/>
      <protection locked="0"/>
    </xf>
    <xf numFmtId="176" fontId="7" fillId="0" borderId="4" xfId="0" applyNumberFormat="1" applyFont="1" applyBorder="1" applyAlignment="1" applyProtection="1">
      <alignment horizontal="center"/>
      <protection locked="0"/>
    </xf>
    <xf numFmtId="181" fontId="7" fillId="0" borderId="4" xfId="0" applyNumberFormat="1" applyFont="1" applyBorder="1" applyAlignment="1" applyProtection="1" quotePrefix="1">
      <alignment horizontal="center"/>
      <protection locked="0"/>
    </xf>
    <xf numFmtId="176" fontId="7" fillId="0" borderId="2" xfId="0" applyNumberFormat="1" applyFont="1" applyBorder="1" applyAlignment="1" applyProtection="1">
      <alignment horizontal="center"/>
      <protection/>
    </xf>
    <xf numFmtId="176" fontId="37" fillId="2" borderId="22" xfId="0" applyNumberFormat="1" applyFont="1" applyFill="1" applyBorder="1" applyAlignment="1" applyProtection="1" quotePrefix="1">
      <alignment horizontal="center"/>
      <protection locked="0"/>
    </xf>
    <xf numFmtId="176" fontId="37" fillId="2" borderId="25" xfId="0" applyNumberFormat="1" applyFont="1" applyFill="1" applyBorder="1" applyAlignment="1" applyProtection="1" quotePrefix="1">
      <alignment horizontal="center"/>
      <protection locked="0"/>
    </xf>
    <xf numFmtId="4" fontId="37" fillId="2" borderId="4" xfId="0" applyNumberFormat="1" applyFont="1" applyFill="1" applyBorder="1" applyAlignment="1" applyProtection="1">
      <alignment horizontal="center"/>
      <protection locked="0"/>
    </xf>
    <xf numFmtId="4" fontId="72" fillId="9" borderId="2" xfId="0" applyNumberFormat="1" applyFont="1" applyFill="1" applyBorder="1" applyAlignment="1" applyProtection="1">
      <alignment horizontal="center"/>
      <protection locked="0"/>
    </xf>
    <xf numFmtId="4" fontId="73" fillId="10" borderId="2" xfId="0" applyNumberFormat="1" applyFont="1" applyFill="1" applyBorder="1" applyAlignment="1" applyProtection="1">
      <alignment horizontal="center"/>
      <protection locked="0"/>
    </xf>
    <xf numFmtId="4" fontId="7" fillId="0" borderId="1" xfId="0" applyNumberFormat="1" applyFont="1" applyFill="1" applyBorder="1" applyAlignment="1">
      <alignment horizontal="center"/>
    </xf>
    <xf numFmtId="172" fontId="9" fillId="0" borderId="3" xfId="0" applyNumberFormat="1" applyFont="1" applyBorder="1" applyAlignment="1" applyProtection="1">
      <alignment horizontal="center"/>
      <protection locked="0"/>
    </xf>
    <xf numFmtId="173" fontId="7" fillId="0" borderId="3" xfId="0" applyNumberFormat="1" applyFont="1" applyBorder="1" applyAlignment="1" applyProtection="1">
      <alignment horizontal="center"/>
      <protection locked="0"/>
    </xf>
    <xf numFmtId="176" fontId="37" fillId="2" borderId="26" xfId="0" applyNumberFormat="1" applyFont="1" applyFill="1" applyBorder="1" applyAlignment="1" applyProtection="1" quotePrefix="1">
      <alignment horizontal="center"/>
      <protection locked="0"/>
    </xf>
    <xf numFmtId="176" fontId="37" fillId="2" borderId="27" xfId="0" applyNumberFormat="1" applyFont="1" applyFill="1" applyBorder="1" applyAlignment="1" applyProtection="1" quotePrefix="1">
      <alignment horizontal="center"/>
      <protection locked="0"/>
    </xf>
    <xf numFmtId="4" fontId="37" fillId="2" borderId="28" xfId="0" applyNumberFormat="1" applyFont="1" applyFill="1" applyBorder="1" applyAlignment="1" applyProtection="1">
      <alignment horizontal="center"/>
      <protection locked="0"/>
    </xf>
    <xf numFmtId="4" fontId="72" fillId="9" borderId="3" xfId="0" applyNumberFormat="1" applyFont="1" applyFill="1" applyBorder="1" applyAlignment="1" applyProtection="1">
      <alignment horizontal="center"/>
      <protection locked="0"/>
    </xf>
    <xf numFmtId="4" fontId="73" fillId="10" borderId="3" xfId="0" applyNumberFormat="1" applyFont="1" applyFill="1" applyBorder="1" applyAlignment="1" applyProtection="1">
      <alignment horizontal="center"/>
      <protection locked="0"/>
    </xf>
    <xf numFmtId="2" fontId="10" fillId="0" borderId="29" xfId="0" applyNumberFormat="1" applyFont="1" applyFill="1" applyBorder="1" applyAlignment="1">
      <alignment horizontal="right"/>
    </xf>
    <xf numFmtId="172" fontId="9" fillId="0" borderId="0" xfId="0" applyNumberFormat="1" applyFont="1" applyBorder="1" applyAlignment="1" applyProtection="1">
      <alignment horizontal="center"/>
      <protection/>
    </xf>
    <xf numFmtId="173" fontId="7" fillId="0" borderId="0" xfId="0" applyNumberFormat="1" applyFont="1" applyBorder="1" applyAlignment="1" applyProtection="1">
      <alignment horizontal="center"/>
      <protection/>
    </xf>
    <xf numFmtId="181" fontId="7" fillId="0" borderId="0" xfId="0" applyNumberFormat="1" applyFont="1" applyBorder="1" applyAlignment="1" applyProtection="1" quotePrefix="1">
      <alignment horizontal="center"/>
      <protection/>
    </xf>
    <xf numFmtId="2" fontId="72" fillId="9" borderId="14" xfId="0" applyNumberFormat="1" applyFont="1" applyFill="1" applyBorder="1" applyAlignment="1" applyProtection="1">
      <alignment horizontal="center"/>
      <protection/>
    </xf>
    <xf numFmtId="2" fontId="73" fillId="10" borderId="14" xfId="0" applyNumberFormat="1" applyFont="1" applyFill="1" applyBorder="1" applyAlignment="1" applyProtection="1">
      <alignment horizontal="center"/>
      <protection/>
    </xf>
    <xf numFmtId="2" fontId="62" fillId="0" borderId="30" xfId="0" applyNumberFormat="1" applyFont="1" applyBorder="1" applyAlignment="1" applyProtection="1">
      <alignment horizontal="center"/>
      <protection/>
    </xf>
    <xf numFmtId="7" fontId="13" fillId="0" borderId="14" xfId="0" applyNumberFormat="1" applyFont="1" applyFill="1" applyBorder="1" applyAlignment="1" applyProtection="1">
      <alignment horizontal="right"/>
      <protection/>
    </xf>
    <xf numFmtId="0" fontId="16" fillId="0" borderId="0" xfId="0" applyFont="1" applyFill="1" applyAlignment="1">
      <alignment horizontal="centerContinuous"/>
    </xf>
    <xf numFmtId="0" fontId="14" fillId="0" borderId="0" xfId="0" applyFont="1" applyFill="1" applyAlignment="1">
      <alignment horizontal="centerContinuous"/>
    </xf>
    <xf numFmtId="0" fontId="11" fillId="0" borderId="0" xfId="0" applyFont="1" applyFill="1" applyBorder="1" applyAlignment="1">
      <alignment horizontal="left"/>
    </xf>
    <xf numFmtId="0" fontId="20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>
      <alignment horizontal="left"/>
    </xf>
    <xf numFmtId="0" fontId="24" fillId="0" borderId="0" xfId="0" applyFont="1" applyFill="1" applyAlignment="1">
      <alignment horizontal="centerContinuous"/>
    </xf>
    <xf numFmtId="0" fontId="74" fillId="0" borderId="1" xfId="0" applyFont="1" applyFill="1" applyBorder="1" applyAlignment="1">
      <alignment horizontal="centerContinuous"/>
    </xf>
    <xf numFmtId="0" fontId="7" fillId="0" borderId="8" xfId="0" applyFont="1" applyFill="1" applyBorder="1" applyAlignment="1" applyProtection="1">
      <alignment horizontal="left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>
      <alignment horizontal="center"/>
    </xf>
    <xf numFmtId="0" fontId="43" fillId="5" borderId="14" xfId="0" applyFont="1" applyFill="1" applyBorder="1" applyAlignment="1" applyProtection="1">
      <alignment horizontal="center" vertical="center"/>
      <protection/>
    </xf>
    <xf numFmtId="0" fontId="75" fillId="9" borderId="14" xfId="0" applyFont="1" applyFill="1" applyBorder="1" applyAlignment="1">
      <alignment horizontal="center" vertical="center" wrapText="1"/>
    </xf>
    <xf numFmtId="0" fontId="76" fillId="6" borderId="14" xfId="0" applyFont="1" applyFill="1" applyBorder="1" applyAlignment="1">
      <alignment horizontal="center" vertical="center" wrapText="1"/>
    </xf>
    <xf numFmtId="0" fontId="40" fillId="11" borderId="8" xfId="0" applyFont="1" applyFill="1" applyBorder="1" applyAlignment="1" applyProtection="1">
      <alignment horizontal="centerContinuous" vertical="center" wrapText="1"/>
      <protection/>
    </xf>
    <xf numFmtId="0" fontId="40" fillId="11" borderId="9" xfId="0" applyFont="1" applyFill="1" applyBorder="1" applyAlignment="1">
      <alignment horizontal="centerContinuous" vertical="center"/>
    </xf>
    <xf numFmtId="0" fontId="47" fillId="12" borderId="14" xfId="0" applyFont="1" applyFill="1" applyBorder="1" applyAlignment="1">
      <alignment horizontal="center" vertical="center" wrapText="1"/>
    </xf>
    <xf numFmtId="0" fontId="41" fillId="9" borderId="1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/>
    </xf>
    <xf numFmtId="172" fontId="7" fillId="0" borderId="31" xfId="0" applyNumberFormat="1" applyFont="1" applyFill="1" applyBorder="1" applyAlignment="1" applyProtection="1">
      <alignment horizontal="center"/>
      <protection/>
    </xf>
    <xf numFmtId="0" fontId="36" fillId="2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46" fillId="5" borderId="31" xfId="0" applyFont="1" applyFill="1" applyBorder="1" applyAlignment="1">
      <alignment horizontal="center"/>
    </xf>
    <xf numFmtId="0" fontId="77" fillId="9" borderId="31" xfId="0" applyFont="1" applyFill="1" applyBorder="1" applyAlignment="1">
      <alignment horizontal="center"/>
    </xf>
    <xf numFmtId="0" fontId="78" fillId="6" borderId="31" xfId="0" applyFont="1" applyFill="1" applyBorder="1" applyAlignment="1">
      <alignment horizontal="center"/>
    </xf>
    <xf numFmtId="0" fontId="37" fillId="2" borderId="33" xfId="0" applyFont="1" applyFill="1" applyBorder="1" applyAlignment="1">
      <alignment horizontal="center"/>
    </xf>
    <xf numFmtId="0" fontId="37" fillId="2" borderId="34" xfId="0" applyFont="1" applyFill="1" applyBorder="1" applyAlignment="1">
      <alignment horizontal="center"/>
    </xf>
    <xf numFmtId="0" fontId="79" fillId="11" borderId="35" xfId="0" applyFont="1" applyFill="1" applyBorder="1" applyAlignment="1">
      <alignment horizontal="center"/>
    </xf>
    <xf numFmtId="0" fontId="79" fillId="11" borderId="36" xfId="0" applyFont="1" applyFill="1" applyBorder="1" applyAlignment="1">
      <alignment horizontal="center"/>
    </xf>
    <xf numFmtId="0" fontId="48" fillId="12" borderId="31" xfId="0" applyFont="1" applyFill="1" applyBorder="1" applyAlignment="1">
      <alignment horizontal="center"/>
    </xf>
    <xf numFmtId="0" fontId="42" fillId="9" borderId="31" xfId="0" applyFont="1" applyFill="1" applyBorder="1" applyAlignment="1">
      <alignment horizontal="center"/>
    </xf>
    <xf numFmtId="7" fontId="10" fillId="0" borderId="32" xfId="0" applyNumberFormat="1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172" fontId="7" fillId="0" borderId="19" xfId="0" applyNumberFormat="1" applyFont="1" applyFill="1" applyBorder="1" applyAlignment="1" applyProtection="1">
      <alignment horizontal="center"/>
      <protection/>
    </xf>
    <xf numFmtId="0" fontId="36" fillId="2" borderId="19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46" fillId="5" borderId="19" xfId="0" applyFont="1" applyFill="1" applyBorder="1" applyAlignment="1">
      <alignment horizontal="center"/>
    </xf>
    <xf numFmtId="0" fontId="77" fillId="9" borderId="19" xfId="0" applyFont="1" applyFill="1" applyBorder="1" applyAlignment="1">
      <alignment horizontal="center"/>
    </xf>
    <xf numFmtId="0" fontId="78" fillId="6" borderId="19" xfId="0" applyFont="1" applyFill="1" applyBorder="1" applyAlignment="1">
      <alignment horizontal="center"/>
    </xf>
    <xf numFmtId="0" fontId="37" fillId="2" borderId="38" xfId="0" applyFont="1" applyFill="1" applyBorder="1" applyAlignment="1">
      <alignment horizontal="center"/>
    </xf>
    <xf numFmtId="0" fontId="37" fillId="2" borderId="39" xfId="0" applyFont="1" applyFill="1" applyBorder="1" applyAlignment="1">
      <alignment horizontal="center"/>
    </xf>
    <xf numFmtId="0" fontId="79" fillId="11" borderId="38" xfId="0" applyFont="1" applyFill="1" applyBorder="1" applyAlignment="1">
      <alignment horizontal="center"/>
    </xf>
    <xf numFmtId="0" fontId="79" fillId="11" borderId="39" xfId="0" applyFont="1" applyFill="1" applyBorder="1" applyAlignment="1">
      <alignment horizontal="center"/>
    </xf>
    <xf numFmtId="0" fontId="48" fillId="12" borderId="19" xfId="0" applyFont="1" applyFill="1" applyBorder="1" applyAlignment="1">
      <alignment horizontal="center"/>
    </xf>
    <xf numFmtId="0" fontId="42" fillId="9" borderId="19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7" fillId="0" borderId="24" xfId="0" applyFont="1" applyBorder="1" applyAlignment="1" applyProtection="1">
      <alignment horizontal="center"/>
      <protection locked="0"/>
    </xf>
    <xf numFmtId="172" fontId="7" fillId="0" borderId="19" xfId="0" applyNumberFormat="1" applyFont="1" applyBorder="1" applyAlignment="1" applyProtection="1">
      <alignment horizontal="center"/>
      <protection locked="0"/>
    </xf>
    <xf numFmtId="1" fontId="7" fillId="0" borderId="39" xfId="0" applyNumberFormat="1" applyFont="1" applyBorder="1" applyAlignment="1" applyProtection="1" quotePrefix="1">
      <alignment horizontal="center"/>
      <protection locked="0"/>
    </xf>
    <xf numFmtId="182" fontId="36" fillId="2" borderId="2" xfId="0" applyNumberFormat="1" applyFont="1" applyFill="1" applyBorder="1" applyAlignment="1" applyProtection="1">
      <alignment horizontal="center"/>
      <protection/>
    </xf>
    <xf numFmtId="4" fontId="7" fillId="0" borderId="2" xfId="0" applyNumberFormat="1" applyFont="1" applyFill="1" applyBorder="1" applyAlignment="1" applyProtection="1">
      <alignment horizontal="center"/>
      <protection/>
    </xf>
    <xf numFmtId="172" fontId="46" fillId="5" borderId="2" xfId="0" applyNumberFormat="1" applyFont="1" applyFill="1" applyBorder="1" applyAlignment="1" applyProtection="1">
      <alignment horizontal="center"/>
      <protection/>
    </xf>
    <xf numFmtId="2" fontId="77" fillId="9" borderId="2" xfId="0" applyNumberFormat="1" applyFont="1" applyFill="1" applyBorder="1" applyAlignment="1">
      <alignment horizontal="center"/>
    </xf>
    <xf numFmtId="2" fontId="78" fillId="6" borderId="2" xfId="0" applyNumberFormat="1" applyFont="1" applyFill="1" applyBorder="1" applyAlignment="1">
      <alignment horizontal="center"/>
    </xf>
    <xf numFmtId="176" fontId="37" fillId="2" borderId="38" xfId="0" applyNumberFormat="1" applyFont="1" applyFill="1" applyBorder="1" applyAlignment="1" applyProtection="1" quotePrefix="1">
      <alignment horizontal="center"/>
      <protection/>
    </xf>
    <xf numFmtId="176" fontId="37" fillId="2" borderId="39" xfId="0" applyNumberFormat="1" applyFont="1" applyFill="1" applyBorder="1" applyAlignment="1" applyProtection="1" quotePrefix="1">
      <alignment horizontal="center"/>
      <protection/>
    </xf>
    <xf numFmtId="176" fontId="79" fillId="11" borderId="38" xfId="0" applyNumberFormat="1" applyFont="1" applyFill="1" applyBorder="1" applyAlignment="1" applyProtection="1" quotePrefix="1">
      <alignment horizontal="center"/>
      <protection/>
    </xf>
    <xf numFmtId="176" fontId="79" fillId="11" borderId="39" xfId="0" applyNumberFormat="1" applyFont="1" applyFill="1" applyBorder="1" applyAlignment="1" applyProtection="1" quotePrefix="1">
      <alignment horizontal="center"/>
      <protection/>
    </xf>
    <xf numFmtId="176" fontId="48" fillId="12" borderId="2" xfId="0" applyNumberFormat="1" applyFont="1" applyFill="1" applyBorder="1" applyAlignment="1" applyProtection="1" quotePrefix="1">
      <alignment horizontal="center"/>
      <protection/>
    </xf>
    <xf numFmtId="176" fontId="42" fillId="9" borderId="19" xfId="0" applyNumberFormat="1" applyFont="1" applyFill="1" applyBorder="1" applyAlignment="1" applyProtection="1" quotePrefix="1">
      <alignment horizontal="center"/>
      <protection/>
    </xf>
    <xf numFmtId="176" fontId="7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horizontal="right"/>
    </xf>
    <xf numFmtId="0" fontId="7" fillId="0" borderId="37" xfId="0" applyFont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 quotePrefix="1">
      <alignment horizontal="center"/>
      <protection locked="0"/>
    </xf>
    <xf numFmtId="172" fontId="9" fillId="0" borderId="40" xfId="0" applyNumberFormat="1" applyFont="1" applyFill="1" applyBorder="1" applyAlignment="1" applyProtection="1">
      <alignment horizontal="center"/>
      <protection locked="0"/>
    </xf>
    <xf numFmtId="38" fontId="7" fillId="0" borderId="3" xfId="0" applyNumberFormat="1" applyFont="1" applyFill="1" applyBorder="1" applyAlignment="1" applyProtection="1">
      <alignment horizontal="center"/>
      <protection locked="0"/>
    </xf>
    <xf numFmtId="38" fontId="7" fillId="0" borderId="3" xfId="0" applyNumberFormat="1" applyFont="1" applyFill="1" applyBorder="1" applyAlignment="1" applyProtection="1">
      <alignment horizontal="center"/>
      <protection/>
    </xf>
    <xf numFmtId="172" fontId="7" fillId="0" borderId="3" xfId="0" applyNumberFormat="1" applyFont="1" applyFill="1" applyBorder="1" applyAlignment="1" applyProtection="1" quotePrefix="1">
      <alignment horizontal="center"/>
      <protection/>
    </xf>
    <xf numFmtId="172" fontId="46" fillId="5" borderId="3" xfId="0" applyNumberFormat="1" applyFont="1" applyFill="1" applyBorder="1" applyAlignment="1" applyProtection="1">
      <alignment horizontal="center"/>
      <protection/>
    </xf>
    <xf numFmtId="2" fontId="77" fillId="9" borderId="3" xfId="0" applyNumberFormat="1" applyFont="1" applyFill="1" applyBorder="1" applyAlignment="1">
      <alignment horizontal="center"/>
    </xf>
    <xf numFmtId="2" fontId="78" fillId="6" borderId="3" xfId="0" applyNumberFormat="1" applyFont="1" applyFill="1" applyBorder="1" applyAlignment="1">
      <alignment horizontal="center"/>
    </xf>
    <xf numFmtId="176" fontId="37" fillId="2" borderId="41" xfId="0" applyNumberFormat="1" applyFont="1" applyFill="1" applyBorder="1" applyAlignment="1" applyProtection="1" quotePrefix="1">
      <alignment horizontal="center"/>
      <protection/>
    </xf>
    <xf numFmtId="176" fontId="37" fillId="2" borderId="42" xfId="0" applyNumberFormat="1" applyFont="1" applyFill="1" applyBorder="1" applyAlignment="1" applyProtection="1" quotePrefix="1">
      <alignment horizontal="center"/>
      <protection/>
    </xf>
    <xf numFmtId="176" fontId="79" fillId="11" borderId="26" xfId="0" applyNumberFormat="1" applyFont="1" applyFill="1" applyBorder="1" applyAlignment="1" applyProtection="1" quotePrefix="1">
      <alignment horizontal="center"/>
      <protection/>
    </xf>
    <xf numFmtId="176" fontId="79" fillId="11" borderId="28" xfId="0" applyNumberFormat="1" applyFont="1" applyFill="1" applyBorder="1" applyAlignment="1" applyProtection="1" quotePrefix="1">
      <alignment horizontal="center"/>
      <protection/>
    </xf>
    <xf numFmtId="176" fontId="48" fillId="12" borderId="3" xfId="0" applyNumberFormat="1" applyFont="1" applyFill="1" applyBorder="1" applyAlignment="1" applyProtection="1" quotePrefix="1">
      <alignment horizontal="center"/>
      <protection/>
    </xf>
    <xf numFmtId="176" fontId="42" fillId="9" borderId="3" xfId="0" applyNumberFormat="1" applyFont="1" applyFill="1" applyBorder="1" applyAlignment="1" applyProtection="1" quotePrefix="1">
      <alignment horizontal="center"/>
      <protection/>
    </xf>
    <xf numFmtId="176" fontId="67" fillId="0" borderId="20" xfId="0" applyNumberFormat="1" applyFont="1" applyFill="1" applyBorder="1" applyAlignment="1">
      <alignment horizontal="center"/>
    </xf>
    <xf numFmtId="176" fontId="28" fillId="0" borderId="43" xfId="0" applyNumberFormat="1" applyFont="1" applyFill="1" applyBorder="1" applyAlignment="1">
      <alignment horizontal="center"/>
    </xf>
    <xf numFmtId="4" fontId="77" fillId="9" borderId="14" xfId="0" applyNumberFormat="1" applyFont="1" applyFill="1" applyBorder="1" applyAlignment="1">
      <alignment horizontal="center"/>
    </xf>
    <xf numFmtId="4" fontId="78" fillId="6" borderId="14" xfId="0" applyNumberFormat="1" applyFont="1" applyFill="1" applyBorder="1" applyAlignment="1">
      <alignment horizontal="center"/>
    </xf>
    <xf numFmtId="4" fontId="37" fillId="2" borderId="44" xfId="0" applyNumberFormat="1" applyFont="1" applyFill="1" applyBorder="1" applyAlignment="1">
      <alignment horizontal="center"/>
    </xf>
    <xf numFmtId="4" fontId="37" fillId="2" borderId="9" xfId="0" applyNumberFormat="1" applyFont="1" applyFill="1" applyBorder="1" applyAlignment="1">
      <alignment horizontal="center"/>
    </xf>
    <xf numFmtId="4" fontId="79" fillId="11" borderId="44" xfId="0" applyNumberFormat="1" applyFont="1" applyFill="1" applyBorder="1" applyAlignment="1">
      <alignment horizontal="center"/>
    </xf>
    <xf numFmtId="4" fontId="79" fillId="11" borderId="45" xfId="0" applyNumberFormat="1" applyFont="1" applyFill="1" applyBorder="1" applyAlignment="1">
      <alignment horizontal="center"/>
    </xf>
    <xf numFmtId="4" fontId="48" fillId="12" borderId="14" xfId="0" applyNumberFormat="1" applyFont="1" applyFill="1" applyBorder="1" applyAlignment="1">
      <alignment horizontal="center"/>
    </xf>
    <xf numFmtId="4" fontId="42" fillId="9" borderId="14" xfId="0" applyNumberFormat="1" applyFont="1" applyFill="1" applyBorder="1" applyAlignment="1">
      <alignment horizontal="center"/>
    </xf>
    <xf numFmtId="7" fontId="80" fillId="0" borderId="14" xfId="0" applyNumberFormat="1" applyFont="1" applyFill="1" applyBorder="1" applyAlignment="1">
      <alignment horizontal="right"/>
    </xf>
    <xf numFmtId="0" fontId="49" fillId="2" borderId="14" xfId="0" applyFont="1" applyFill="1" applyBorder="1" applyAlignment="1">
      <alignment horizontal="center" vertical="center" wrapText="1"/>
    </xf>
    <xf numFmtId="0" fontId="36" fillId="2" borderId="46" xfId="0" applyFont="1" applyFill="1" applyBorder="1" applyAlignment="1">
      <alignment horizontal="center"/>
    </xf>
    <xf numFmtId="7" fontId="29" fillId="2" borderId="31" xfId="0" applyNumberFormat="1" applyFont="1" applyFill="1" applyBorder="1" applyAlignment="1">
      <alignment horizontal="center"/>
    </xf>
    <xf numFmtId="2" fontId="77" fillId="9" borderId="2" xfId="0" applyNumberFormat="1" applyFont="1" applyFill="1" applyBorder="1" applyAlignment="1" applyProtection="1">
      <alignment horizontal="center"/>
      <protection locked="0"/>
    </xf>
    <xf numFmtId="2" fontId="78" fillId="6" borderId="2" xfId="0" applyNumberFormat="1" applyFont="1" applyFill="1" applyBorder="1" applyAlignment="1" applyProtection="1">
      <alignment horizontal="center"/>
      <protection locked="0"/>
    </xf>
    <xf numFmtId="176" fontId="37" fillId="2" borderId="38" xfId="0" applyNumberFormat="1" applyFont="1" applyFill="1" applyBorder="1" applyAlignment="1" applyProtection="1" quotePrefix="1">
      <alignment horizontal="center"/>
      <protection locked="0"/>
    </xf>
    <xf numFmtId="176" fontId="37" fillId="2" borderId="39" xfId="0" applyNumberFormat="1" applyFont="1" applyFill="1" applyBorder="1" applyAlignment="1" applyProtection="1" quotePrefix="1">
      <alignment horizontal="center"/>
      <protection locked="0"/>
    </xf>
    <xf numFmtId="176" fontId="79" fillId="11" borderId="38" xfId="0" applyNumberFormat="1" applyFont="1" applyFill="1" applyBorder="1" applyAlignment="1" applyProtection="1" quotePrefix="1">
      <alignment horizontal="center"/>
      <protection locked="0"/>
    </xf>
    <xf numFmtId="176" fontId="79" fillId="11" borderId="39" xfId="0" applyNumberFormat="1" applyFont="1" applyFill="1" applyBorder="1" applyAlignment="1" applyProtection="1" quotePrefix="1">
      <alignment horizontal="center"/>
      <protection locked="0"/>
    </xf>
    <xf numFmtId="176" fontId="48" fillId="12" borderId="2" xfId="0" applyNumberFormat="1" applyFont="1" applyFill="1" applyBorder="1" applyAlignment="1" applyProtection="1" quotePrefix="1">
      <alignment horizontal="center"/>
      <protection locked="0"/>
    </xf>
    <xf numFmtId="176" fontId="42" fillId="9" borderId="19" xfId="0" applyNumberFormat="1" applyFont="1" applyFill="1" applyBorder="1" applyAlignment="1" applyProtection="1" quotePrefix="1">
      <alignment horizontal="center"/>
      <protection locked="0"/>
    </xf>
    <xf numFmtId="2" fontId="77" fillId="9" borderId="3" xfId="0" applyNumberFormat="1" applyFont="1" applyFill="1" applyBorder="1" applyAlignment="1" applyProtection="1">
      <alignment horizontal="center"/>
      <protection locked="0"/>
    </xf>
    <xf numFmtId="2" fontId="78" fillId="6" borderId="3" xfId="0" applyNumberFormat="1" applyFont="1" applyFill="1" applyBorder="1" applyAlignment="1" applyProtection="1">
      <alignment horizontal="center"/>
      <protection locked="0"/>
    </xf>
    <xf numFmtId="176" fontId="37" fillId="2" borderId="41" xfId="0" applyNumberFormat="1" applyFont="1" applyFill="1" applyBorder="1" applyAlignment="1" applyProtection="1" quotePrefix="1">
      <alignment horizontal="center"/>
      <protection locked="0"/>
    </xf>
    <xf numFmtId="176" fontId="37" fillId="2" borderId="42" xfId="0" applyNumberFormat="1" applyFont="1" applyFill="1" applyBorder="1" applyAlignment="1" applyProtection="1" quotePrefix="1">
      <alignment horizontal="center"/>
      <protection locked="0"/>
    </xf>
    <xf numFmtId="176" fontId="79" fillId="11" borderId="26" xfId="0" applyNumberFormat="1" applyFont="1" applyFill="1" applyBorder="1" applyAlignment="1" applyProtection="1" quotePrefix="1">
      <alignment horizontal="center"/>
      <protection locked="0"/>
    </xf>
    <xf numFmtId="176" fontId="79" fillId="11" borderId="28" xfId="0" applyNumberFormat="1" applyFont="1" applyFill="1" applyBorder="1" applyAlignment="1" applyProtection="1" quotePrefix="1">
      <alignment horizontal="center"/>
      <protection locked="0"/>
    </xf>
    <xf numFmtId="176" fontId="48" fillId="12" borderId="3" xfId="0" applyNumberFormat="1" applyFont="1" applyFill="1" applyBorder="1" applyAlignment="1" applyProtection="1" quotePrefix="1">
      <alignment horizontal="center"/>
      <protection locked="0"/>
    </xf>
    <xf numFmtId="176" fontId="42" fillId="9" borderId="3" xfId="0" applyNumberFormat="1" applyFont="1" applyFill="1" applyBorder="1" applyAlignment="1" applyProtection="1" quotePrefix="1">
      <alignment horizontal="center"/>
      <protection locked="0"/>
    </xf>
    <xf numFmtId="176" fontId="67" fillId="0" borderId="20" xfId="0" applyNumberFormat="1" applyFont="1" applyFill="1" applyBorder="1" applyAlignment="1" applyProtection="1">
      <alignment horizontal="center"/>
      <protection locked="0"/>
    </xf>
    <xf numFmtId="176" fontId="29" fillId="2" borderId="29" xfId="0" applyNumberFormat="1" applyFont="1" applyFill="1" applyBorder="1" applyAlignment="1">
      <alignment horizontal="center"/>
    </xf>
    <xf numFmtId="172" fontId="46" fillId="5" borderId="2" xfId="0" applyNumberFormat="1" applyFont="1" applyFill="1" applyBorder="1" applyAlignment="1" applyProtection="1">
      <alignment horizontal="center"/>
      <protection locked="0"/>
    </xf>
    <xf numFmtId="172" fontId="46" fillId="5" borderId="3" xfId="0" applyNumberFormat="1" applyFont="1" applyFill="1" applyBorder="1" applyAlignment="1" applyProtection="1">
      <alignment horizontal="center"/>
      <protection locked="0"/>
    </xf>
    <xf numFmtId="0" fontId="5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4" fillId="0" borderId="0" xfId="0" applyFont="1" applyBorder="1" applyAlignment="1" applyProtection="1">
      <alignment horizontal="centerContinuous"/>
      <protection/>
    </xf>
    <xf numFmtId="0" fontId="24" fillId="0" borderId="1" xfId="0" applyFont="1" applyBorder="1" applyAlignment="1">
      <alignment horizontal="centerContinuous"/>
    </xf>
    <xf numFmtId="0" fontId="26" fillId="0" borderId="7" xfId="0" applyFont="1" applyBorder="1" applyAlignment="1">
      <alignment horizontal="centerContinuous"/>
    </xf>
    <xf numFmtId="0" fontId="26" fillId="0" borderId="0" xfId="0" applyFont="1" applyBorder="1" applyAlignment="1">
      <alignment horizontal="centerContinuous"/>
    </xf>
    <xf numFmtId="0" fontId="26" fillId="0" borderId="0" xfId="0" applyFont="1" applyBorder="1" applyAlignment="1" applyProtection="1">
      <alignment horizontal="centerContinuous"/>
      <protection/>
    </xf>
    <xf numFmtId="0" fontId="26" fillId="0" borderId="1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8" xfId="0" applyFont="1" applyBorder="1" applyAlignment="1" applyProtection="1">
      <alignment horizontal="left" vertical="center"/>
      <protection/>
    </xf>
    <xf numFmtId="182" fontId="0" fillId="0" borderId="9" xfId="0" applyNumberFormat="1" applyFont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182" fontId="0" fillId="0" borderId="9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7" fillId="0" borderId="47" xfId="0" applyFont="1" applyBorder="1" applyAlignment="1">
      <alignment horizontal="center"/>
    </xf>
    <xf numFmtId="0" fontId="12" fillId="0" borderId="47" xfId="0" applyFont="1" applyBorder="1" applyAlignment="1" applyProtection="1">
      <alignment horizontal="center"/>
      <protection/>
    </xf>
    <xf numFmtId="172" fontId="9" fillId="0" borderId="47" xfId="0" applyNumberFormat="1" applyFont="1" applyBorder="1" applyAlignment="1" applyProtection="1">
      <alignment horizontal="center"/>
      <protection/>
    </xf>
    <xf numFmtId="176" fontId="7" fillId="0" borderId="47" xfId="0" applyNumberFormat="1" applyFont="1" applyBorder="1" applyAlignment="1" applyProtection="1">
      <alignment horizontal="center"/>
      <protection/>
    </xf>
    <xf numFmtId="172" fontId="7" fillId="0" borderId="47" xfId="0" applyNumberFormat="1" applyFont="1" applyBorder="1" applyAlignment="1" applyProtection="1">
      <alignment horizontal="center"/>
      <protection/>
    </xf>
    <xf numFmtId="2" fontId="62" fillId="0" borderId="47" xfId="0" applyNumberFormat="1" applyFont="1" applyBorder="1" applyAlignment="1">
      <alignment horizontal="center"/>
    </xf>
    <xf numFmtId="176" fontId="9" fillId="0" borderId="47" xfId="0" applyNumberFormat="1" applyFont="1" applyBorder="1" applyAlignment="1" applyProtection="1" quotePrefix="1">
      <alignment horizontal="center"/>
      <protection/>
    </xf>
    <xf numFmtId="176" fontId="7" fillId="0" borderId="47" xfId="0" applyNumberFormat="1" applyFont="1" applyBorder="1" applyAlignment="1">
      <alignment horizontal="center"/>
    </xf>
    <xf numFmtId="176" fontId="67" fillId="0" borderId="47" xfId="0" applyNumberFormat="1" applyFont="1" applyFill="1" applyBorder="1" applyAlignment="1">
      <alignment horizontal="center"/>
    </xf>
    <xf numFmtId="0" fontId="27" fillId="0" borderId="9" xfId="0" applyFont="1" applyBorder="1" applyAlignment="1" applyProtection="1">
      <alignment horizontal="center" vertical="center"/>
      <protection/>
    </xf>
    <xf numFmtId="0" fontId="27" fillId="0" borderId="15" xfId="0" applyFont="1" applyBorder="1" applyAlignment="1">
      <alignment horizontal="center" vertical="center" wrapText="1"/>
    </xf>
    <xf numFmtId="0" fontId="27" fillId="0" borderId="9" xfId="0" applyFont="1" applyBorder="1" applyAlignment="1" applyProtection="1">
      <alignment horizontal="center" vertical="center" wrapText="1"/>
      <protection/>
    </xf>
    <xf numFmtId="0" fontId="40" fillId="11" borderId="14" xfId="0" applyFont="1" applyFill="1" applyBorder="1" applyAlignment="1">
      <alignment horizontal="center" vertical="center" wrapText="1"/>
    </xf>
    <xf numFmtId="0" fontId="64" fillId="6" borderId="9" xfId="0" applyFont="1" applyFill="1" applyBorder="1" applyAlignment="1">
      <alignment horizontal="centerContinuous" vertical="center"/>
    </xf>
    <xf numFmtId="0" fontId="12" fillId="0" borderId="2" xfId="0" applyFont="1" applyBorder="1" applyAlignment="1" applyProtection="1">
      <alignment horizontal="center"/>
      <protection/>
    </xf>
    <xf numFmtId="0" fontId="46" fillId="4" borderId="17" xfId="0" applyFont="1" applyFill="1" applyBorder="1" applyAlignment="1" applyProtection="1">
      <alignment horizontal="center"/>
      <protection/>
    </xf>
    <xf numFmtId="0" fontId="79" fillId="11" borderId="17" xfId="0" applyFont="1" applyFill="1" applyBorder="1" applyAlignment="1" applyProtection="1">
      <alignment horizontal="center"/>
      <protection/>
    </xf>
    <xf numFmtId="176" fontId="66" fillId="6" borderId="33" xfId="0" applyNumberFormat="1" applyFont="1" applyFill="1" applyBorder="1" applyAlignment="1" applyProtection="1" quotePrefix="1">
      <alignment horizontal="center"/>
      <protection/>
    </xf>
    <xf numFmtId="176" fontId="66" fillId="6" borderId="34" xfId="0" applyNumberFormat="1" applyFont="1" applyFill="1" applyBorder="1" applyAlignment="1" applyProtection="1" quotePrefix="1">
      <alignment horizontal="center"/>
      <protection/>
    </xf>
    <xf numFmtId="176" fontId="45" fillId="3" borderId="17" xfId="0" applyNumberFormat="1" applyFont="1" applyFill="1" applyBorder="1" applyAlignment="1" applyProtection="1" quotePrefix="1">
      <alignment horizontal="center"/>
      <protection/>
    </xf>
    <xf numFmtId="7" fontId="81" fillId="0" borderId="2" xfId="0" applyNumberFormat="1" applyFont="1" applyBorder="1" applyAlignment="1" applyProtection="1">
      <alignment/>
      <protection/>
    </xf>
    <xf numFmtId="0" fontId="12" fillId="0" borderId="21" xfId="0" applyFont="1" applyBorder="1" applyAlignment="1" applyProtection="1">
      <alignment horizontal="center"/>
      <protection/>
    </xf>
    <xf numFmtId="0" fontId="36" fillId="2" borderId="21" xfId="0" applyFont="1" applyFill="1" applyBorder="1" applyAlignment="1" applyProtection="1">
      <alignment horizontal="center"/>
      <protection/>
    </xf>
    <xf numFmtId="0" fontId="46" fillId="4" borderId="2" xfId="0" applyFont="1" applyFill="1" applyBorder="1" applyAlignment="1" applyProtection="1">
      <alignment horizontal="center"/>
      <protection/>
    </xf>
    <xf numFmtId="0" fontId="79" fillId="11" borderId="2" xfId="0" applyFont="1" applyFill="1" applyBorder="1" applyAlignment="1" applyProtection="1">
      <alignment horizontal="center"/>
      <protection/>
    </xf>
    <xf numFmtId="176" fontId="66" fillId="6" borderId="48" xfId="0" applyNumberFormat="1" applyFont="1" applyFill="1" applyBorder="1" applyAlignment="1" applyProtection="1" quotePrefix="1">
      <alignment horizontal="center"/>
      <protection/>
    </xf>
    <xf numFmtId="176" fontId="45" fillId="3" borderId="2" xfId="0" applyNumberFormat="1" applyFont="1" applyFill="1" applyBorder="1" applyAlignment="1" applyProtection="1" quotePrefix="1">
      <alignment horizontal="center"/>
      <protection/>
    </xf>
    <xf numFmtId="176" fontId="29" fillId="0" borderId="2" xfId="0" applyNumberFormat="1" applyFont="1" applyFill="1" applyBorder="1" applyAlignment="1">
      <alignment horizontal="center"/>
    </xf>
    <xf numFmtId="0" fontId="12" fillId="0" borderId="21" xfId="0" applyFont="1" applyBorder="1" applyAlignment="1" applyProtection="1">
      <alignment horizontal="center"/>
      <protection locked="0"/>
    </xf>
    <xf numFmtId="172" fontId="9" fillId="0" borderId="2" xfId="0" applyNumberFormat="1" applyFont="1" applyBorder="1" applyAlignment="1" applyProtection="1" quotePrefix="1">
      <alignment horizontal="center"/>
      <protection locked="0"/>
    </xf>
    <xf numFmtId="22" fontId="7" fillId="0" borderId="22" xfId="0" applyNumberFormat="1" applyFont="1" applyBorder="1" applyAlignment="1" applyProtection="1">
      <alignment horizontal="center"/>
      <protection locked="0"/>
    </xf>
    <xf numFmtId="2" fontId="7" fillId="0" borderId="2" xfId="0" applyNumberFormat="1" applyFont="1" applyFill="1" applyBorder="1" applyAlignment="1" applyProtection="1" quotePrefix="1">
      <alignment horizontal="center"/>
      <protection/>
    </xf>
    <xf numFmtId="172" fontId="7" fillId="0" borderId="2" xfId="0" applyNumberFormat="1" applyFont="1" applyFill="1" applyBorder="1" applyAlignment="1" applyProtection="1" quotePrefix="1">
      <alignment horizontal="center"/>
      <protection/>
    </xf>
    <xf numFmtId="172" fontId="46" fillId="4" borderId="2" xfId="0" applyNumberFormat="1" applyFont="1" applyFill="1" applyBorder="1" applyAlignment="1" applyProtection="1">
      <alignment horizontal="center"/>
      <protection locked="0"/>
    </xf>
    <xf numFmtId="2" fontId="79" fillId="11" borderId="2" xfId="0" applyNumberFormat="1" applyFont="1" applyFill="1" applyBorder="1" applyAlignment="1" applyProtection="1">
      <alignment horizontal="center"/>
      <protection locked="0"/>
    </xf>
    <xf numFmtId="176" fontId="66" fillId="6" borderId="22" xfId="0" applyNumberFormat="1" applyFont="1" applyFill="1" applyBorder="1" applyAlignment="1" applyProtection="1" quotePrefix="1">
      <alignment horizontal="center"/>
      <protection locked="0"/>
    </xf>
    <xf numFmtId="176" fontId="66" fillId="6" borderId="48" xfId="0" applyNumberFormat="1" applyFont="1" applyFill="1" applyBorder="1" applyAlignment="1" applyProtection="1" quotePrefix="1">
      <alignment horizontal="center"/>
      <protection locked="0"/>
    </xf>
    <xf numFmtId="4" fontId="29" fillId="0" borderId="2" xfId="0" applyNumberFormat="1" applyFont="1" applyFill="1" applyBorder="1" applyAlignment="1">
      <alignment horizontal="right"/>
    </xf>
    <xf numFmtId="176" fontId="7" fillId="0" borderId="20" xfId="0" applyNumberFormat="1" applyFont="1" applyBorder="1" applyAlignment="1" applyProtection="1">
      <alignment horizontal="center"/>
      <protection locked="0"/>
    </xf>
    <xf numFmtId="176" fontId="7" fillId="0" borderId="20" xfId="0" applyNumberFormat="1" applyFont="1" applyBorder="1" applyAlignment="1" applyProtection="1">
      <alignment horizontal="center"/>
      <protection/>
    </xf>
    <xf numFmtId="172" fontId="46" fillId="4" borderId="3" xfId="0" applyNumberFormat="1" applyFont="1" applyFill="1" applyBorder="1" applyAlignment="1" applyProtection="1">
      <alignment horizontal="center"/>
      <protection locked="0"/>
    </xf>
    <xf numFmtId="2" fontId="79" fillId="11" borderId="3" xfId="0" applyNumberFormat="1" applyFont="1" applyFill="1" applyBorder="1" applyAlignment="1" applyProtection="1">
      <alignment horizontal="center"/>
      <protection locked="0"/>
    </xf>
    <xf numFmtId="176" fontId="66" fillId="6" borderId="26" xfId="0" applyNumberFormat="1" applyFont="1" applyFill="1" applyBorder="1" applyAlignment="1" applyProtection="1" quotePrefix="1">
      <alignment horizontal="center"/>
      <protection locked="0"/>
    </xf>
    <xf numFmtId="176" fontId="66" fillId="6" borderId="28" xfId="0" applyNumberFormat="1" applyFont="1" applyFill="1" applyBorder="1" applyAlignment="1" applyProtection="1" quotePrefix="1">
      <alignment horizontal="center"/>
      <protection locked="0"/>
    </xf>
    <xf numFmtId="7" fontId="28" fillId="0" borderId="29" xfId="0" applyNumberFormat="1" applyFont="1" applyFill="1" applyBorder="1" applyAlignment="1">
      <alignment horizontal="right"/>
    </xf>
    <xf numFmtId="4" fontId="79" fillId="11" borderId="14" xfId="0" applyNumberFormat="1" applyFont="1" applyFill="1" applyBorder="1" applyAlignment="1">
      <alignment horizontal="center"/>
    </xf>
    <xf numFmtId="4" fontId="66" fillId="6" borderId="44" xfId="0" applyNumberFormat="1" applyFont="1" applyFill="1" applyBorder="1" applyAlignment="1">
      <alignment horizontal="center"/>
    </xf>
    <xf numFmtId="4" fontId="66" fillId="6" borderId="45" xfId="0" applyNumberFormat="1" applyFont="1" applyFill="1" applyBorder="1" applyAlignment="1">
      <alignment horizontal="center"/>
    </xf>
    <xf numFmtId="4" fontId="45" fillId="3" borderId="14" xfId="0" applyNumberFormat="1" applyFont="1" applyFill="1" applyBorder="1" applyAlignment="1">
      <alignment horizontal="center"/>
    </xf>
    <xf numFmtId="4" fontId="21" fillId="0" borderId="0" xfId="0" applyNumberFormat="1" applyFont="1" applyFill="1" applyBorder="1" applyAlignment="1">
      <alignment horizontal="center"/>
    </xf>
    <xf numFmtId="182" fontId="0" fillId="0" borderId="9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20" fillId="0" borderId="1" xfId="0" applyFont="1" applyBorder="1" applyAlignment="1">
      <alignment horizontal="centerContinuous"/>
    </xf>
    <xf numFmtId="0" fontId="11" fillId="0" borderId="0" xfId="0" applyFont="1" applyAlignment="1">
      <alignment/>
    </xf>
    <xf numFmtId="0" fontId="24" fillId="0" borderId="0" xfId="0" applyFont="1" applyBorder="1" applyAlignment="1">
      <alignment horizontal="centerContinuous"/>
    </xf>
    <xf numFmtId="0" fontId="24" fillId="0" borderId="0" xfId="0" applyFont="1" applyBorder="1" applyAlignment="1" applyProtection="1">
      <alignment horizontal="centerContinuous"/>
      <protection/>
    </xf>
    <xf numFmtId="0" fontId="24" fillId="0" borderId="1" xfId="0" applyFont="1" applyBorder="1" applyAlignment="1">
      <alignment horizontal="centerContinuous"/>
    </xf>
    <xf numFmtId="0" fontId="0" fillId="0" borderId="16" xfId="0" applyFont="1" applyBorder="1" applyAlignment="1" applyProtection="1">
      <alignment horizontal="center"/>
      <protection/>
    </xf>
    <xf numFmtId="0" fontId="0" fillId="0" borderId="8" xfId="0" applyFont="1" applyBorder="1" applyAlignment="1" applyProtection="1" quotePrefix="1">
      <alignment horizontal="left"/>
      <protection/>
    </xf>
    <xf numFmtId="0" fontId="0" fillId="0" borderId="15" xfId="0" applyFont="1" applyBorder="1" applyAlignment="1" applyProtection="1">
      <alignment horizontal="center"/>
      <protection/>
    </xf>
    <xf numFmtId="0" fontId="82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172" fontId="7" fillId="0" borderId="0" xfId="0" applyNumberFormat="1" applyFont="1" applyBorder="1" applyAlignment="1" applyProtection="1">
      <alignment horizontal="center"/>
      <protection/>
    </xf>
    <xf numFmtId="2" fontId="62" fillId="0" borderId="0" xfId="0" applyNumberFormat="1" applyFont="1" applyBorder="1" applyAlignment="1">
      <alignment horizontal="center"/>
    </xf>
    <xf numFmtId="176" fontId="9" fillId="0" borderId="0" xfId="0" applyNumberFormat="1" applyFont="1" applyBorder="1" applyAlignment="1" applyProtection="1" quotePrefix="1">
      <alignment horizontal="center"/>
      <protection/>
    </xf>
    <xf numFmtId="176" fontId="9" fillId="0" borderId="0" xfId="0" applyNumberFormat="1" applyFont="1" applyBorder="1" applyAlignment="1" applyProtection="1">
      <alignment horizontal="center"/>
      <protection/>
    </xf>
    <xf numFmtId="176" fontId="53" fillId="0" borderId="0" xfId="0" applyNumberFormat="1" applyFont="1" applyFill="1" applyBorder="1" applyAlignment="1">
      <alignment horizontal="center"/>
    </xf>
    <xf numFmtId="0" fontId="27" fillId="0" borderId="14" xfId="0" applyFont="1" applyBorder="1" applyAlignment="1" applyProtection="1" quotePrefix="1">
      <alignment horizontal="center" vertical="center" wrapText="1"/>
      <protection/>
    </xf>
    <xf numFmtId="0" fontId="49" fillId="9" borderId="14" xfId="0" applyFont="1" applyFill="1" applyBorder="1" applyAlignment="1">
      <alignment horizontal="center" vertical="center" wrapText="1"/>
    </xf>
    <xf numFmtId="0" fontId="47" fillId="13" borderId="8" xfId="0" applyFont="1" applyFill="1" applyBorder="1" applyAlignment="1" applyProtection="1">
      <alignment horizontal="centerContinuous" vertical="center" wrapText="1"/>
      <protection/>
    </xf>
    <xf numFmtId="0" fontId="47" fillId="13" borderId="9" xfId="0" applyFont="1" applyFill="1" applyBorder="1" applyAlignment="1">
      <alignment horizontal="centerContinuous" vertical="center"/>
    </xf>
    <xf numFmtId="0" fontId="50" fillId="6" borderId="14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7" fillId="0" borderId="46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36" fillId="2" borderId="0" xfId="0" applyFont="1" applyFill="1" applyBorder="1" applyAlignment="1">
      <alignment horizontal="center"/>
    </xf>
    <xf numFmtId="0" fontId="83" fillId="9" borderId="31" xfId="0" applyFont="1" applyFill="1" applyBorder="1" applyAlignment="1">
      <alignment horizontal="center"/>
    </xf>
    <xf numFmtId="0" fontId="48" fillId="13" borderId="33" xfId="0" applyFont="1" applyFill="1" applyBorder="1" applyAlignment="1">
      <alignment horizontal="center"/>
    </xf>
    <xf numFmtId="0" fontId="48" fillId="13" borderId="34" xfId="0" applyFont="1" applyFill="1" applyBorder="1" applyAlignment="1">
      <alignment horizontal="center"/>
    </xf>
    <xf numFmtId="0" fontId="51" fillId="6" borderId="31" xfId="0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7" fontId="29" fillId="0" borderId="31" xfId="0" applyNumberFormat="1" applyFont="1" applyFill="1" applyBorder="1" applyAlignment="1">
      <alignment horizontal="center"/>
    </xf>
    <xf numFmtId="0" fontId="12" fillId="0" borderId="24" xfId="0" applyFont="1" applyBorder="1" applyAlignment="1" applyProtection="1">
      <alignment horizontal="center"/>
      <protection/>
    </xf>
    <xf numFmtId="0" fontId="12" fillId="0" borderId="51" xfId="0" applyFont="1" applyBorder="1" applyAlignment="1" applyProtection="1">
      <alignment horizontal="center"/>
      <protection/>
    </xf>
    <xf numFmtId="0" fontId="12" fillId="0" borderId="19" xfId="0" applyFont="1" applyBorder="1" applyAlignment="1" applyProtection="1">
      <alignment horizontal="center"/>
      <protection/>
    </xf>
    <xf numFmtId="176" fontId="36" fillId="2" borderId="19" xfId="0" applyNumberFormat="1" applyFont="1" applyFill="1" applyBorder="1" applyAlignment="1" applyProtection="1">
      <alignment horizontal="center"/>
      <protection/>
    </xf>
    <xf numFmtId="22" fontId="7" fillId="0" borderId="38" xfId="0" applyNumberFormat="1" applyFont="1" applyBorder="1" applyAlignment="1">
      <alignment horizontal="center"/>
    </xf>
    <xf numFmtId="22" fontId="7" fillId="0" borderId="51" xfId="0" applyNumberFormat="1" applyFont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 quotePrefix="1">
      <alignment horizontal="center"/>
      <protection/>
    </xf>
    <xf numFmtId="172" fontId="7" fillId="0" borderId="19" xfId="0" applyNumberFormat="1" applyFont="1" applyFill="1" applyBorder="1" applyAlignment="1" applyProtection="1" quotePrefix="1">
      <alignment horizontal="center"/>
      <protection/>
    </xf>
    <xf numFmtId="176" fontId="7" fillId="0" borderId="37" xfId="0" applyNumberFormat="1" applyFont="1" applyBorder="1" applyAlignment="1" applyProtection="1">
      <alignment horizontal="center"/>
      <protection/>
    </xf>
    <xf numFmtId="176" fontId="7" fillId="0" borderId="19" xfId="0" applyNumberFormat="1" applyFont="1" applyBorder="1" applyAlignment="1" applyProtection="1">
      <alignment horizontal="center"/>
      <protection/>
    </xf>
    <xf numFmtId="172" fontId="36" fillId="2" borderId="24" xfId="0" applyNumberFormat="1" applyFont="1" applyFill="1" applyBorder="1" applyAlignment="1" applyProtection="1">
      <alignment horizontal="center"/>
      <protection/>
    </xf>
    <xf numFmtId="2" fontId="83" fillId="9" borderId="19" xfId="0" applyNumberFormat="1" applyFont="1" applyFill="1" applyBorder="1" applyAlignment="1">
      <alignment horizontal="center"/>
    </xf>
    <xf numFmtId="176" fontId="48" fillId="13" borderId="38" xfId="0" applyNumberFormat="1" applyFont="1" applyFill="1" applyBorder="1" applyAlignment="1" applyProtection="1" quotePrefix="1">
      <alignment horizontal="center"/>
      <protection/>
    </xf>
    <xf numFmtId="176" fontId="48" fillId="13" borderId="39" xfId="0" applyNumberFormat="1" applyFont="1" applyFill="1" applyBorder="1" applyAlignment="1" applyProtection="1" quotePrefix="1">
      <alignment horizontal="center"/>
      <protection/>
    </xf>
    <xf numFmtId="176" fontId="51" fillId="6" borderId="19" xfId="0" applyNumberFormat="1" applyFont="1" applyFill="1" applyBorder="1" applyAlignment="1" applyProtection="1" quotePrefix="1">
      <alignment horizontal="center"/>
      <protection/>
    </xf>
    <xf numFmtId="176" fontId="29" fillId="0" borderId="19" xfId="0" applyNumberFormat="1" applyFont="1" applyFill="1" applyBorder="1" applyAlignment="1">
      <alignment horizontal="center"/>
    </xf>
    <xf numFmtId="0" fontId="12" fillId="0" borderId="47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/>
      <protection locked="0"/>
    </xf>
    <xf numFmtId="172" fontId="36" fillId="2" borderId="47" xfId="0" applyNumberFormat="1" applyFont="1" applyFill="1" applyBorder="1" applyAlignment="1" applyProtection="1">
      <alignment horizontal="center"/>
      <protection locked="0"/>
    </xf>
    <xf numFmtId="2" fontId="83" fillId="9" borderId="2" xfId="0" applyNumberFormat="1" applyFont="1" applyFill="1" applyBorder="1" applyAlignment="1" applyProtection="1">
      <alignment horizontal="center"/>
      <protection locked="0"/>
    </xf>
    <xf numFmtId="176" fontId="48" fillId="13" borderId="38" xfId="0" applyNumberFormat="1" applyFont="1" applyFill="1" applyBorder="1" applyAlignment="1" applyProtection="1" quotePrefix="1">
      <alignment horizontal="center"/>
      <protection locked="0"/>
    </xf>
    <xf numFmtId="176" fontId="48" fillId="13" borderId="39" xfId="0" applyNumberFormat="1" applyFont="1" applyFill="1" applyBorder="1" applyAlignment="1" applyProtection="1" quotePrefix="1">
      <alignment horizontal="center"/>
      <protection locked="0"/>
    </xf>
    <xf numFmtId="176" fontId="51" fillId="6" borderId="19" xfId="0" applyNumberFormat="1" applyFont="1" applyFill="1" applyBorder="1" applyAlignment="1" applyProtection="1" quotePrefix="1">
      <alignment horizontal="center"/>
      <protection locked="0"/>
    </xf>
    <xf numFmtId="2" fontId="7" fillId="0" borderId="52" xfId="0" applyNumberFormat="1" applyFont="1" applyFill="1" applyBorder="1" applyAlignment="1" applyProtection="1" quotePrefix="1">
      <alignment horizontal="center"/>
      <protection/>
    </xf>
    <xf numFmtId="0" fontId="12" fillId="0" borderId="23" xfId="0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/>
      <protection locked="0"/>
    </xf>
    <xf numFmtId="172" fontId="36" fillId="2" borderId="23" xfId="0" applyNumberFormat="1" applyFont="1" applyFill="1" applyBorder="1" applyAlignment="1" applyProtection="1">
      <alignment horizontal="center"/>
      <protection locked="0"/>
    </xf>
    <xf numFmtId="2" fontId="83" fillId="9" borderId="3" xfId="0" applyNumberFormat="1" applyFont="1" applyFill="1" applyBorder="1" applyAlignment="1" applyProtection="1">
      <alignment horizontal="center"/>
      <protection locked="0"/>
    </xf>
    <xf numFmtId="176" fontId="48" fillId="13" borderId="41" xfId="0" applyNumberFormat="1" applyFont="1" applyFill="1" applyBorder="1" applyAlignment="1" applyProtection="1" quotePrefix="1">
      <alignment horizontal="center"/>
      <protection locked="0"/>
    </xf>
    <xf numFmtId="176" fontId="48" fillId="13" borderId="42" xfId="0" applyNumberFormat="1" applyFont="1" applyFill="1" applyBorder="1" applyAlignment="1" applyProtection="1" quotePrefix="1">
      <alignment horizontal="center"/>
      <protection locked="0"/>
    </xf>
    <xf numFmtId="176" fontId="51" fillId="6" borderId="3" xfId="0" applyNumberFormat="1" applyFont="1" applyFill="1" applyBorder="1" applyAlignment="1" applyProtection="1" quotePrefix="1">
      <alignment horizontal="center"/>
      <protection locked="0"/>
    </xf>
    <xf numFmtId="176" fontId="29" fillId="0" borderId="29" xfId="0" applyNumberFormat="1" applyFont="1" applyFill="1" applyBorder="1" applyAlignment="1">
      <alignment horizontal="center"/>
    </xf>
    <xf numFmtId="4" fontId="83" fillId="9" borderId="14" xfId="0" applyNumberFormat="1" applyFont="1" applyFill="1" applyBorder="1" applyAlignment="1">
      <alignment horizontal="center"/>
    </xf>
    <xf numFmtId="4" fontId="48" fillId="13" borderId="44" xfId="0" applyNumberFormat="1" applyFont="1" applyFill="1" applyBorder="1" applyAlignment="1">
      <alignment horizontal="center"/>
    </xf>
    <xf numFmtId="4" fontId="48" fillId="13" borderId="9" xfId="0" applyNumberFormat="1" applyFont="1" applyFill="1" applyBorder="1" applyAlignment="1">
      <alignment horizontal="center"/>
    </xf>
    <xf numFmtId="4" fontId="51" fillId="6" borderId="14" xfId="0" applyNumberFormat="1" applyFont="1" applyFill="1" applyBorder="1" applyAlignment="1">
      <alignment horizontal="center"/>
    </xf>
    <xf numFmtId="0" fontId="7" fillId="0" borderId="53" xfId="0" applyFont="1" applyBorder="1" applyAlignment="1">
      <alignment/>
    </xf>
    <xf numFmtId="0" fontId="0" fillId="0" borderId="0" xfId="0" applyFont="1" applyBorder="1" applyAlignment="1" applyProtection="1" quotePrefix="1">
      <alignment horizontal="left"/>
      <protection/>
    </xf>
    <xf numFmtId="172" fontId="0" fillId="0" borderId="0" xfId="0" applyNumberFormat="1" applyFont="1" applyBorder="1" applyAlignment="1" applyProtection="1">
      <alignment horizontal="center"/>
      <protection/>
    </xf>
    <xf numFmtId="0" fontId="84" fillId="14" borderId="14" xfId="0" applyFont="1" applyFill="1" applyBorder="1" applyAlignment="1">
      <alignment horizontal="center" vertical="center" wrapText="1"/>
    </xf>
    <xf numFmtId="0" fontId="41" fillId="6" borderId="8" xfId="0" applyFont="1" applyFill="1" applyBorder="1" applyAlignment="1" applyProtection="1">
      <alignment horizontal="centerContinuous" vertical="center" wrapText="1"/>
      <protection/>
    </xf>
    <xf numFmtId="0" fontId="41" fillId="6" borderId="9" xfId="0" applyFont="1" applyFill="1" applyBorder="1" applyAlignment="1">
      <alignment horizontal="centerContinuous" vertical="center"/>
    </xf>
    <xf numFmtId="0" fontId="43" fillId="9" borderId="14" xfId="0" applyFont="1" applyFill="1" applyBorder="1" applyAlignment="1">
      <alignment horizontal="center" vertical="center" wrapText="1"/>
    </xf>
    <xf numFmtId="0" fontId="85" fillId="14" borderId="31" xfId="0" applyFont="1" applyFill="1" applyBorder="1" applyAlignment="1">
      <alignment horizontal="center"/>
    </xf>
    <xf numFmtId="0" fontId="42" fillId="6" borderId="33" xfId="0" applyFont="1" applyFill="1" applyBorder="1" applyAlignment="1">
      <alignment horizontal="center"/>
    </xf>
    <xf numFmtId="0" fontId="42" fillId="6" borderId="34" xfId="0" applyFont="1" applyFill="1" applyBorder="1" applyAlignment="1">
      <alignment horizontal="center"/>
    </xf>
    <xf numFmtId="0" fontId="45" fillId="9" borderId="31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172" fontId="36" fillId="2" borderId="19" xfId="0" applyNumberFormat="1" applyFont="1" applyFill="1" applyBorder="1" applyAlignment="1" applyProtection="1">
      <alignment horizontal="center"/>
      <protection/>
    </xf>
    <xf numFmtId="2" fontId="85" fillId="14" borderId="19" xfId="0" applyNumberFormat="1" applyFont="1" applyFill="1" applyBorder="1" applyAlignment="1">
      <alignment horizontal="center"/>
    </xf>
    <xf numFmtId="176" fontId="42" fillId="6" borderId="38" xfId="0" applyNumberFormat="1" applyFont="1" applyFill="1" applyBorder="1" applyAlignment="1" applyProtection="1" quotePrefix="1">
      <alignment horizontal="center"/>
      <protection/>
    </xf>
    <xf numFmtId="176" fontId="42" fillId="6" borderId="39" xfId="0" applyNumberFormat="1" applyFont="1" applyFill="1" applyBorder="1" applyAlignment="1" applyProtection="1" quotePrefix="1">
      <alignment horizontal="center"/>
      <protection/>
    </xf>
    <xf numFmtId="176" fontId="45" fillId="9" borderId="19" xfId="0" applyNumberFormat="1" applyFont="1" applyFill="1" applyBorder="1" applyAlignment="1" applyProtection="1" quotePrefix="1">
      <alignment horizontal="center"/>
      <protection/>
    </xf>
    <xf numFmtId="176" fontId="7" fillId="0" borderId="51" xfId="0" applyNumberFormat="1" applyFont="1" applyBorder="1" applyAlignment="1" applyProtection="1">
      <alignment horizontal="center"/>
      <protection/>
    </xf>
    <xf numFmtId="176" fontId="29" fillId="2" borderId="19" xfId="0" applyNumberFormat="1" applyFont="1" applyFill="1" applyBorder="1" applyAlignment="1">
      <alignment horizontal="center"/>
    </xf>
    <xf numFmtId="172" fontId="36" fillId="2" borderId="2" xfId="0" applyNumberFormat="1" applyFont="1" applyFill="1" applyBorder="1" applyAlignment="1" applyProtection="1">
      <alignment horizontal="center"/>
      <protection locked="0"/>
    </xf>
    <xf numFmtId="2" fontId="85" fillId="14" borderId="2" xfId="0" applyNumberFormat="1" applyFont="1" applyFill="1" applyBorder="1" applyAlignment="1" applyProtection="1">
      <alignment horizontal="center"/>
      <protection locked="0"/>
    </xf>
    <xf numFmtId="176" fontId="42" fillId="6" borderId="38" xfId="0" applyNumberFormat="1" applyFont="1" applyFill="1" applyBorder="1" applyAlignment="1" applyProtection="1" quotePrefix="1">
      <alignment horizontal="center"/>
      <protection locked="0"/>
    </xf>
    <xf numFmtId="176" fontId="42" fillId="6" borderId="39" xfId="0" applyNumberFormat="1" applyFont="1" applyFill="1" applyBorder="1" applyAlignment="1" applyProtection="1" quotePrefix="1">
      <alignment horizontal="center"/>
      <protection locked="0"/>
    </xf>
    <xf numFmtId="176" fontId="45" fillId="9" borderId="19" xfId="0" applyNumberFormat="1" applyFont="1" applyFill="1" applyBorder="1" applyAlignment="1" applyProtection="1" quotePrefix="1">
      <alignment horizontal="center"/>
      <protection locked="0"/>
    </xf>
    <xf numFmtId="176" fontId="7" fillId="0" borderId="21" xfId="0" applyNumberFormat="1" applyFont="1" applyBorder="1" applyAlignment="1" applyProtection="1">
      <alignment horizontal="center"/>
      <protection locked="0"/>
    </xf>
    <xf numFmtId="4" fontId="29" fillId="2" borderId="2" xfId="0" applyNumberFormat="1" applyFont="1" applyFill="1" applyBorder="1" applyAlignment="1">
      <alignment horizontal="right"/>
    </xf>
    <xf numFmtId="172" fontId="36" fillId="2" borderId="3" xfId="0" applyNumberFormat="1" applyFont="1" applyFill="1" applyBorder="1" applyAlignment="1" applyProtection="1">
      <alignment horizontal="center"/>
      <protection locked="0"/>
    </xf>
    <xf numFmtId="2" fontId="85" fillId="14" borderId="3" xfId="0" applyNumberFormat="1" applyFont="1" applyFill="1" applyBorder="1" applyAlignment="1" applyProtection="1">
      <alignment horizontal="center"/>
      <protection locked="0"/>
    </xf>
    <xf numFmtId="176" fontId="42" fillId="6" borderId="41" xfId="0" applyNumberFormat="1" applyFont="1" applyFill="1" applyBorder="1" applyAlignment="1" applyProtection="1" quotePrefix="1">
      <alignment horizontal="center"/>
      <protection locked="0"/>
    </xf>
    <xf numFmtId="176" fontId="42" fillId="6" borderId="42" xfId="0" applyNumberFormat="1" applyFont="1" applyFill="1" applyBorder="1" applyAlignment="1" applyProtection="1" quotePrefix="1">
      <alignment horizontal="center"/>
      <protection locked="0"/>
    </xf>
    <xf numFmtId="176" fontId="45" fillId="9" borderId="3" xfId="0" applyNumberFormat="1" applyFont="1" applyFill="1" applyBorder="1" applyAlignment="1" applyProtection="1" quotePrefix="1">
      <alignment horizontal="center"/>
      <protection locked="0"/>
    </xf>
    <xf numFmtId="176" fontId="7" fillId="0" borderId="18" xfId="0" applyNumberFormat="1" applyFont="1" applyBorder="1" applyAlignment="1" applyProtection="1">
      <alignment horizontal="center"/>
      <protection locked="0"/>
    </xf>
    <xf numFmtId="4" fontId="85" fillId="14" borderId="8" xfId="0" applyNumberFormat="1" applyFont="1" applyFill="1" applyBorder="1" applyAlignment="1">
      <alignment horizontal="center"/>
    </xf>
    <xf numFmtId="4" fontId="42" fillId="6" borderId="44" xfId="0" applyNumberFormat="1" applyFont="1" applyFill="1" applyBorder="1" applyAlignment="1">
      <alignment horizontal="center"/>
    </xf>
    <xf numFmtId="4" fontId="42" fillId="6" borderId="9" xfId="0" applyNumberFormat="1" applyFont="1" applyFill="1" applyBorder="1" applyAlignment="1">
      <alignment horizontal="center"/>
    </xf>
    <xf numFmtId="4" fontId="45" fillId="9" borderId="14" xfId="0" applyNumberFormat="1" applyFont="1" applyFill="1" applyBorder="1" applyAlignment="1">
      <alignment horizontal="center"/>
    </xf>
    <xf numFmtId="7" fontId="13" fillId="2" borderId="14" xfId="0" applyNumberFormat="1" applyFont="1" applyFill="1" applyBorder="1" applyAlignment="1">
      <alignment horizontal="right"/>
    </xf>
    <xf numFmtId="0" fontId="86" fillId="0" borderId="0" xfId="0" applyFont="1" applyAlignment="1">
      <alignment horizontal="centerContinuous"/>
    </xf>
    <xf numFmtId="0" fontId="87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172" fontId="7" fillId="0" borderId="4" xfId="0" applyNumberFormat="1" applyFont="1" applyBorder="1" applyAlignment="1" applyProtection="1">
      <alignment horizontal="center"/>
      <protection/>
    </xf>
    <xf numFmtId="22" fontId="7" fillId="0" borderId="24" xfId="0" applyNumberFormat="1" applyFont="1" applyBorder="1" applyAlignment="1">
      <alignment horizontal="center"/>
    </xf>
    <xf numFmtId="0" fontId="89" fillId="0" borderId="0" xfId="0" applyFont="1" applyFill="1" applyAlignment="1">
      <alignment/>
    </xf>
    <xf numFmtId="0" fontId="90" fillId="0" borderId="0" xfId="0" applyFont="1" applyAlignment="1">
      <alignment horizontal="centerContinuous"/>
    </xf>
    <xf numFmtId="0" fontId="89" fillId="0" borderId="0" xfId="0" applyFont="1" applyAlignment="1">
      <alignment horizontal="centerContinuous"/>
    </xf>
    <xf numFmtId="0" fontId="89" fillId="0" borderId="0" xfId="0" applyFont="1" applyAlignment="1">
      <alignment/>
    </xf>
    <xf numFmtId="0" fontId="23" fillId="0" borderId="0" xfId="0" applyFont="1" applyAlignment="1">
      <alignment/>
    </xf>
    <xf numFmtId="0" fontId="91" fillId="0" borderId="0" xfId="0" applyFont="1" applyBorder="1" applyAlignment="1" quotePrefix="1">
      <alignment horizontal="left"/>
    </xf>
    <xf numFmtId="0" fontId="22" fillId="0" borderId="7" xfId="0" applyFont="1" applyBorder="1" applyAlignment="1">
      <alignment/>
    </xf>
    <xf numFmtId="0" fontId="22" fillId="0" borderId="0" xfId="0" applyFont="1" applyBorder="1" applyAlignment="1">
      <alignment horizontal="right"/>
    </xf>
    <xf numFmtId="7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92" fillId="0" borderId="0" xfId="0" applyFont="1" applyBorder="1" applyAlignment="1" quotePrefix="1">
      <alignment horizontal="left"/>
    </xf>
    <xf numFmtId="0" fontId="22" fillId="0" borderId="1" xfId="0" applyFont="1" applyFill="1" applyBorder="1" applyAlignment="1">
      <alignment/>
    </xf>
    <xf numFmtId="0" fontId="22" fillId="0" borderId="0" xfId="0" applyFont="1" applyBorder="1" applyAlignment="1" applyProtection="1">
      <alignment horizontal="left"/>
      <protection/>
    </xf>
    <xf numFmtId="182" fontId="22" fillId="0" borderId="0" xfId="0" applyNumberFormat="1" applyFont="1" applyBorder="1" applyAlignment="1">
      <alignment horizontal="center"/>
    </xf>
    <xf numFmtId="176" fontId="22" fillId="0" borderId="0" xfId="0" applyNumberFormat="1" applyFont="1" applyBorder="1" applyAlignment="1" applyProtection="1">
      <alignment horizontal="left"/>
      <protection/>
    </xf>
    <xf numFmtId="0" fontId="22" fillId="0" borderId="0" xfId="0" applyFont="1" applyAlignment="1">
      <alignment horizontal="right"/>
    </xf>
    <xf numFmtId="10" fontId="22" fillId="0" borderId="0" xfId="0" applyNumberFormat="1" applyFont="1" applyBorder="1" applyAlignment="1" applyProtection="1">
      <alignment horizontal="right"/>
      <protection/>
    </xf>
    <xf numFmtId="7" fontId="22" fillId="0" borderId="0" xfId="0" applyNumberFormat="1" applyFont="1" applyBorder="1" applyAlignment="1">
      <alignment horizontal="centerContinuous"/>
    </xf>
    <xf numFmtId="0" fontId="22" fillId="0" borderId="0" xfId="0" applyFont="1" applyBorder="1" applyAlignment="1" applyProtection="1">
      <alignment horizontal="center"/>
      <protection/>
    </xf>
    <xf numFmtId="176" fontId="13" fillId="0" borderId="8" xfId="0" applyNumberFormat="1" applyFont="1" applyBorder="1" applyAlignment="1" applyProtection="1">
      <alignment horizontal="center"/>
      <protection/>
    </xf>
    <xf numFmtId="191" fontId="22" fillId="0" borderId="9" xfId="0" applyNumberFormat="1" applyFont="1" applyBorder="1" applyAlignment="1" applyProtection="1">
      <alignment horizontal="centerContinuous"/>
      <protection/>
    </xf>
    <xf numFmtId="0" fontId="49" fillId="15" borderId="14" xfId="0" applyFont="1" applyFill="1" applyBorder="1" applyAlignment="1">
      <alignment horizontal="center" vertical="center" wrapText="1"/>
    </xf>
    <xf numFmtId="0" fontId="93" fillId="3" borderId="8" xfId="0" applyFont="1" applyFill="1" applyBorder="1" applyAlignment="1" applyProtection="1">
      <alignment horizontal="centerContinuous" vertical="center" wrapText="1"/>
      <protection/>
    </xf>
    <xf numFmtId="0" fontId="94" fillId="3" borderId="15" xfId="0" applyFont="1" applyFill="1" applyBorder="1" applyAlignment="1">
      <alignment horizontal="centerContinuous"/>
    </xf>
    <xf numFmtId="0" fontId="93" fillId="3" borderId="9" xfId="0" applyFont="1" applyFill="1" applyBorder="1" applyAlignment="1">
      <alignment horizontal="centerContinuous" vertical="center"/>
    </xf>
    <xf numFmtId="0" fontId="43" fillId="16" borderId="8" xfId="0" applyFont="1" applyFill="1" applyBorder="1" applyAlignment="1">
      <alignment horizontal="centerContinuous" vertical="center" wrapText="1"/>
    </xf>
    <xf numFmtId="0" fontId="44" fillId="16" borderId="15" xfId="0" applyFont="1" applyFill="1" applyBorder="1" applyAlignment="1">
      <alignment horizontal="centerContinuous"/>
    </xf>
    <xf numFmtId="0" fontId="43" fillId="16" borderId="9" xfId="0" applyFont="1" applyFill="1" applyBorder="1" applyAlignment="1">
      <alignment horizontal="centerContinuous" vertical="center"/>
    </xf>
    <xf numFmtId="0" fontId="43" fillId="9" borderId="14" xfId="0" applyFont="1" applyFill="1" applyBorder="1" applyAlignment="1">
      <alignment horizontal="centerContinuous" vertical="center" wrapText="1"/>
    </xf>
    <xf numFmtId="0" fontId="43" fillId="17" borderId="14" xfId="0" applyFont="1" applyFill="1" applyBorder="1" applyAlignment="1">
      <alignment horizontal="centerContinuous" vertical="center" wrapText="1"/>
    </xf>
    <xf numFmtId="0" fontId="22" fillId="0" borderId="2" xfId="0" applyFont="1" applyBorder="1" applyAlignment="1">
      <alignment/>
    </xf>
    <xf numFmtId="172" fontId="22" fillId="0" borderId="4" xfId="0" applyNumberFormat="1" applyFont="1" applyBorder="1" applyAlignment="1" applyProtection="1">
      <alignment/>
      <protection/>
    </xf>
    <xf numFmtId="172" fontId="22" fillId="0" borderId="2" xfId="0" applyNumberFormat="1" applyFont="1" applyBorder="1" applyAlignment="1" applyProtection="1">
      <alignment horizontal="center"/>
      <protection/>
    </xf>
    <xf numFmtId="172" fontId="22" fillId="0" borderId="17" xfId="0" applyNumberFormat="1" applyFont="1" applyBorder="1" applyAlignment="1" applyProtection="1">
      <alignment horizontal="center"/>
      <protection/>
    </xf>
    <xf numFmtId="172" fontId="95" fillId="2" borderId="17" xfId="0" applyNumberFormat="1" applyFont="1" applyFill="1" applyBorder="1" applyAlignment="1" applyProtection="1">
      <alignment horizontal="center"/>
      <protection/>
    </xf>
    <xf numFmtId="0" fontId="96" fillId="4" borderId="17" xfId="0" applyFont="1" applyFill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54" xfId="0" applyFont="1" applyBorder="1" applyAlignment="1">
      <alignment horizontal="center"/>
    </xf>
    <xf numFmtId="0" fontId="45" fillId="5" borderId="17" xfId="0" applyFont="1" applyFill="1" applyBorder="1" applyAlignment="1">
      <alignment horizontal="center"/>
    </xf>
    <xf numFmtId="0" fontId="83" fillId="15" borderId="17" xfId="0" applyFont="1" applyFill="1" applyBorder="1" applyAlignment="1">
      <alignment horizontal="center"/>
    </xf>
    <xf numFmtId="176" fontId="97" fillId="3" borderId="33" xfId="0" applyNumberFormat="1" applyFont="1" applyFill="1" applyBorder="1" applyAlignment="1" applyProtection="1" quotePrefix="1">
      <alignment horizontal="center"/>
      <protection/>
    </xf>
    <xf numFmtId="176" fontId="97" fillId="3" borderId="55" xfId="0" applyNumberFormat="1" applyFont="1" applyFill="1" applyBorder="1" applyAlignment="1" applyProtection="1" quotePrefix="1">
      <alignment horizontal="center"/>
      <protection/>
    </xf>
    <xf numFmtId="4" fontId="97" fillId="3" borderId="56" xfId="0" applyNumberFormat="1" applyFont="1" applyFill="1" applyBorder="1" applyAlignment="1" applyProtection="1">
      <alignment horizontal="center"/>
      <protection/>
    </xf>
    <xf numFmtId="176" fontId="45" fillId="16" borderId="33" xfId="0" applyNumberFormat="1" applyFont="1" applyFill="1" applyBorder="1" applyAlignment="1" applyProtection="1" quotePrefix="1">
      <alignment horizontal="center"/>
      <protection/>
    </xf>
    <xf numFmtId="176" fontId="45" fillId="16" borderId="55" xfId="0" applyNumberFormat="1" applyFont="1" applyFill="1" applyBorder="1" applyAlignment="1" applyProtection="1" quotePrefix="1">
      <alignment horizontal="center"/>
      <protection/>
    </xf>
    <xf numFmtId="4" fontId="45" fillId="16" borderId="56" xfId="0" applyNumberFormat="1" applyFont="1" applyFill="1" applyBorder="1" applyAlignment="1" applyProtection="1">
      <alignment horizontal="center"/>
      <protection/>
    </xf>
    <xf numFmtId="4" fontId="45" fillId="9" borderId="17" xfId="0" applyNumberFormat="1" applyFont="1" applyFill="1" applyBorder="1" applyAlignment="1" applyProtection="1">
      <alignment horizontal="center"/>
      <protection/>
    </xf>
    <xf numFmtId="4" fontId="45" fillId="17" borderId="17" xfId="0" applyNumberFormat="1" applyFont="1" applyFill="1" applyBorder="1" applyAlignment="1" applyProtection="1">
      <alignment horizontal="center"/>
      <protection/>
    </xf>
    <xf numFmtId="0" fontId="7" fillId="0" borderId="56" xfId="0" applyFont="1" applyBorder="1" applyAlignment="1">
      <alignment horizontal="left"/>
    </xf>
    <xf numFmtId="0" fontId="10" fillId="0" borderId="56" xfId="0" applyFont="1" applyBorder="1" applyAlignment="1">
      <alignment horizontal="center"/>
    </xf>
    <xf numFmtId="173" fontId="7" fillId="0" borderId="2" xfId="0" applyNumberFormat="1" applyFont="1" applyBorder="1" applyAlignment="1" applyProtection="1">
      <alignment horizontal="center"/>
      <protection/>
    </xf>
    <xf numFmtId="172" fontId="7" fillId="0" borderId="2" xfId="0" applyNumberFormat="1" applyFont="1" applyBorder="1" applyAlignment="1" applyProtection="1">
      <alignment horizontal="center"/>
      <protection/>
    </xf>
    <xf numFmtId="0" fontId="95" fillId="2" borderId="2" xfId="0" applyFont="1" applyFill="1" applyBorder="1" applyAlignment="1" applyProtection="1">
      <alignment horizontal="center"/>
      <protection/>
    </xf>
    <xf numFmtId="176" fontId="96" fillId="4" borderId="2" xfId="0" applyNumberFormat="1" applyFont="1" applyFill="1" applyBorder="1" applyAlignment="1" applyProtection="1">
      <alignment horizontal="center"/>
      <protection/>
    </xf>
    <xf numFmtId="22" fontId="7" fillId="0" borderId="2" xfId="0" applyNumberFormat="1" applyFont="1" applyBorder="1" applyAlignment="1">
      <alignment horizontal="center"/>
    </xf>
    <xf numFmtId="4" fontId="7" fillId="0" borderId="2" xfId="0" applyNumberFormat="1" applyFont="1" applyFill="1" applyBorder="1" applyAlignment="1" applyProtection="1" quotePrefix="1">
      <alignment horizontal="center"/>
      <protection/>
    </xf>
    <xf numFmtId="176" fontId="7" fillId="0" borderId="4" xfId="0" applyNumberFormat="1" applyFont="1" applyBorder="1" applyAlignment="1" applyProtection="1">
      <alignment horizontal="center"/>
      <protection/>
    </xf>
    <xf numFmtId="181" fontId="7" fillId="0" borderId="4" xfId="0" applyNumberFormat="1" applyFont="1" applyBorder="1" applyAlignment="1" applyProtection="1" quotePrefix="1">
      <alignment horizontal="center"/>
      <protection/>
    </xf>
    <xf numFmtId="2" fontId="45" fillId="5" borderId="2" xfId="0" applyNumberFormat="1" applyFont="1" applyFill="1" applyBorder="1" applyAlignment="1" applyProtection="1">
      <alignment horizontal="center"/>
      <protection/>
    </xf>
    <xf numFmtId="2" fontId="83" fillId="15" borderId="2" xfId="0" applyNumberFormat="1" applyFont="1" applyFill="1" applyBorder="1" applyAlignment="1" applyProtection="1">
      <alignment horizontal="center"/>
      <protection/>
    </xf>
    <xf numFmtId="176" fontId="97" fillId="3" borderId="22" xfId="0" applyNumberFormat="1" applyFont="1" applyFill="1" applyBorder="1" applyAlignment="1" applyProtection="1" quotePrefix="1">
      <alignment horizontal="center"/>
      <protection/>
    </xf>
    <xf numFmtId="176" fontId="97" fillId="3" borderId="25" xfId="0" applyNumberFormat="1" applyFont="1" applyFill="1" applyBorder="1" applyAlignment="1" applyProtection="1" quotePrefix="1">
      <alignment horizontal="center"/>
      <protection/>
    </xf>
    <xf numFmtId="4" fontId="97" fillId="3" borderId="4" xfId="0" applyNumberFormat="1" applyFont="1" applyFill="1" applyBorder="1" applyAlignment="1" applyProtection="1">
      <alignment horizontal="center"/>
      <protection/>
    </xf>
    <xf numFmtId="176" fontId="45" fillId="16" borderId="22" xfId="0" applyNumberFormat="1" applyFont="1" applyFill="1" applyBorder="1" applyAlignment="1" applyProtection="1" quotePrefix="1">
      <alignment horizontal="center"/>
      <protection/>
    </xf>
    <xf numFmtId="176" fontId="45" fillId="16" borderId="25" xfId="0" applyNumberFormat="1" applyFont="1" applyFill="1" applyBorder="1" applyAlignment="1" applyProtection="1" quotePrefix="1">
      <alignment horizontal="center"/>
      <protection/>
    </xf>
    <xf numFmtId="4" fontId="45" fillId="16" borderId="4" xfId="0" applyNumberFormat="1" applyFont="1" applyFill="1" applyBorder="1" applyAlignment="1" applyProtection="1">
      <alignment horizontal="center"/>
      <protection/>
    </xf>
    <xf numFmtId="4" fontId="45" fillId="9" borderId="2" xfId="0" applyNumberFormat="1" applyFont="1" applyFill="1" applyBorder="1" applyAlignment="1" applyProtection="1">
      <alignment horizontal="center"/>
      <protection/>
    </xf>
    <xf numFmtId="4" fontId="45" fillId="17" borderId="2" xfId="0" applyNumberFormat="1" applyFont="1" applyFill="1" applyBorder="1" applyAlignment="1" applyProtection="1">
      <alignment horizontal="center"/>
      <protection/>
    </xf>
    <xf numFmtId="4" fontId="7" fillId="0" borderId="4" xfId="0" applyNumberFormat="1" applyFont="1" applyBorder="1" applyAlignment="1" applyProtection="1">
      <alignment horizontal="center"/>
      <protection/>
    </xf>
    <xf numFmtId="0" fontId="22" fillId="0" borderId="3" xfId="0" applyFont="1" applyBorder="1" applyAlignment="1">
      <alignment horizontal="center"/>
    </xf>
    <xf numFmtId="172" fontId="98" fillId="0" borderId="3" xfId="0" applyNumberFormat="1" applyFont="1" applyBorder="1" applyAlignment="1" applyProtection="1">
      <alignment horizontal="center"/>
      <protection/>
    </xf>
    <xf numFmtId="0" fontId="22" fillId="0" borderId="3" xfId="0" applyFont="1" applyBorder="1" applyAlignment="1" applyProtection="1">
      <alignment horizontal="center"/>
      <protection/>
    </xf>
    <xf numFmtId="173" fontId="22" fillId="0" borderId="3" xfId="0" applyNumberFormat="1" applyFont="1" applyBorder="1" applyAlignment="1" applyProtection="1">
      <alignment horizontal="center"/>
      <protection/>
    </xf>
    <xf numFmtId="173" fontId="95" fillId="2" borderId="3" xfId="0" applyNumberFormat="1" applyFont="1" applyFill="1" applyBorder="1" applyAlignment="1" applyProtection="1">
      <alignment horizontal="center"/>
      <protection/>
    </xf>
    <xf numFmtId="176" fontId="96" fillId="4" borderId="3" xfId="0" applyNumberFormat="1" applyFont="1" applyFill="1" applyBorder="1" applyAlignment="1" applyProtection="1">
      <alignment horizontal="center"/>
      <protection/>
    </xf>
    <xf numFmtId="176" fontId="22" fillId="0" borderId="3" xfId="0" applyNumberFormat="1" applyFont="1" applyBorder="1" applyAlignment="1" applyProtection="1">
      <alignment horizontal="center"/>
      <protection/>
    </xf>
    <xf numFmtId="181" fontId="7" fillId="0" borderId="3" xfId="0" applyNumberFormat="1" applyFont="1" applyBorder="1" applyAlignment="1" applyProtection="1" quotePrefix="1">
      <alignment horizontal="center"/>
      <protection/>
    </xf>
    <xf numFmtId="2" fontId="45" fillId="5" borderId="3" xfId="0" applyNumberFormat="1" applyFont="1" applyFill="1" applyBorder="1" applyAlignment="1" applyProtection="1">
      <alignment horizontal="center"/>
      <protection/>
    </xf>
    <xf numFmtId="2" fontId="83" fillId="15" borderId="3" xfId="0" applyNumberFormat="1" applyFont="1" applyFill="1" applyBorder="1" applyAlignment="1" applyProtection="1">
      <alignment horizontal="center"/>
      <protection/>
    </xf>
    <xf numFmtId="176" fontId="97" fillId="3" borderId="26" xfId="0" applyNumberFormat="1" applyFont="1" applyFill="1" applyBorder="1" applyAlignment="1" applyProtection="1" quotePrefix="1">
      <alignment horizontal="center"/>
      <protection/>
    </xf>
    <xf numFmtId="176" fontId="97" fillId="3" borderId="57" xfId="0" applyNumberFormat="1" applyFont="1" applyFill="1" applyBorder="1" applyAlignment="1" applyProtection="1" quotePrefix="1">
      <alignment horizontal="center"/>
      <protection/>
    </xf>
    <xf numFmtId="4" fontId="97" fillId="3" borderId="20" xfId="0" applyNumberFormat="1" applyFont="1" applyFill="1" applyBorder="1" applyAlignment="1" applyProtection="1">
      <alignment horizontal="center"/>
      <protection/>
    </xf>
    <xf numFmtId="176" fontId="45" fillId="16" borderId="26" xfId="0" applyNumberFormat="1" applyFont="1" applyFill="1" applyBorder="1" applyAlignment="1" applyProtection="1" quotePrefix="1">
      <alignment horizontal="center"/>
      <protection/>
    </xf>
    <xf numFmtId="176" fontId="45" fillId="16" borderId="57" xfId="0" applyNumberFormat="1" applyFont="1" applyFill="1" applyBorder="1" applyAlignment="1" applyProtection="1" quotePrefix="1">
      <alignment horizontal="center"/>
      <protection/>
    </xf>
    <xf numFmtId="4" fontId="45" fillId="16" borderId="20" xfId="0" applyNumberFormat="1" applyFont="1" applyFill="1" applyBorder="1" applyAlignment="1" applyProtection="1">
      <alignment horizontal="center"/>
      <protection/>
    </xf>
    <xf numFmtId="4" fontId="45" fillId="9" borderId="3" xfId="0" applyNumberFormat="1" applyFont="1" applyFill="1" applyBorder="1" applyAlignment="1" applyProtection="1">
      <alignment horizontal="center"/>
      <protection/>
    </xf>
    <xf numFmtId="4" fontId="45" fillId="17" borderId="3" xfId="0" applyNumberFormat="1" applyFont="1" applyFill="1" applyBorder="1" applyAlignment="1" applyProtection="1">
      <alignment horizontal="center"/>
      <protection/>
    </xf>
    <xf numFmtId="4" fontId="9" fillId="0" borderId="3" xfId="0" applyNumberFormat="1" applyFont="1" applyBorder="1" applyAlignment="1" applyProtection="1">
      <alignment horizontal="center"/>
      <protection/>
    </xf>
    <xf numFmtId="176" fontId="28" fillId="0" borderId="3" xfId="0" applyNumberFormat="1" applyFont="1" applyFill="1" applyBorder="1" applyAlignment="1">
      <alignment horizontal="center"/>
    </xf>
    <xf numFmtId="172" fontId="98" fillId="0" borderId="0" xfId="0" applyNumberFormat="1" applyFont="1" applyBorder="1" applyAlignment="1" applyProtection="1">
      <alignment horizontal="center"/>
      <protection/>
    </xf>
    <xf numFmtId="173" fontId="22" fillId="0" borderId="0" xfId="0" applyNumberFormat="1" applyFont="1" applyBorder="1" applyAlignment="1" applyProtection="1">
      <alignment horizontal="center"/>
      <protection/>
    </xf>
    <xf numFmtId="176" fontId="22" fillId="0" borderId="0" xfId="0" applyNumberFormat="1" applyFont="1" applyBorder="1" applyAlignment="1" applyProtection="1">
      <alignment horizontal="center"/>
      <protection/>
    </xf>
    <xf numFmtId="181" fontId="22" fillId="0" borderId="0" xfId="0" applyNumberFormat="1" applyFont="1" applyBorder="1" applyAlignment="1" applyProtection="1" quotePrefix="1">
      <alignment horizontal="center"/>
      <protection/>
    </xf>
    <xf numFmtId="2" fontId="96" fillId="5" borderId="14" xfId="0" applyNumberFormat="1" applyFont="1" applyFill="1" applyBorder="1" applyAlignment="1" applyProtection="1">
      <alignment horizontal="center"/>
      <protection/>
    </xf>
    <xf numFmtId="2" fontId="80" fillId="15" borderId="14" xfId="0" applyNumberFormat="1" applyFont="1" applyFill="1" applyBorder="1" applyAlignment="1" applyProtection="1">
      <alignment horizontal="center"/>
      <protection/>
    </xf>
    <xf numFmtId="2" fontId="99" fillId="3" borderId="14" xfId="0" applyNumberFormat="1" applyFont="1" applyFill="1" applyBorder="1" applyAlignment="1" applyProtection="1">
      <alignment horizontal="center"/>
      <protection/>
    </xf>
    <xf numFmtId="2" fontId="96" fillId="16" borderId="14" xfId="0" applyNumberFormat="1" applyFont="1" applyFill="1" applyBorder="1" applyAlignment="1" applyProtection="1">
      <alignment horizontal="center"/>
      <protection/>
    </xf>
    <xf numFmtId="2" fontId="96" fillId="9" borderId="14" xfId="0" applyNumberFormat="1" applyFont="1" applyFill="1" applyBorder="1" applyAlignment="1" applyProtection="1">
      <alignment horizontal="center"/>
      <protection/>
    </xf>
    <xf numFmtId="2" fontId="96" fillId="17" borderId="14" xfId="0" applyNumberFormat="1" applyFont="1" applyFill="1" applyBorder="1" applyAlignment="1" applyProtection="1">
      <alignment horizontal="center"/>
      <protection/>
    </xf>
    <xf numFmtId="2" fontId="22" fillId="0" borderId="32" xfId="0" applyNumberFormat="1" applyFont="1" applyBorder="1" applyAlignment="1" applyProtection="1">
      <alignment horizontal="center"/>
      <protection/>
    </xf>
    <xf numFmtId="7" fontId="10" fillId="0" borderId="14" xfId="0" applyNumberFormat="1" applyFont="1" applyBorder="1" applyAlignment="1" applyProtection="1">
      <alignment horizontal="right"/>
      <protection/>
    </xf>
    <xf numFmtId="2" fontId="96" fillId="0" borderId="15" xfId="0" applyNumberFormat="1" applyFont="1" applyFill="1" applyBorder="1" applyAlignment="1" applyProtection="1">
      <alignment horizontal="center"/>
      <protection/>
    </xf>
    <xf numFmtId="2" fontId="80" fillId="0" borderId="15" xfId="0" applyNumberFormat="1" applyFont="1" applyFill="1" applyBorder="1" applyAlignment="1" applyProtection="1">
      <alignment horizontal="center"/>
      <protection/>
    </xf>
    <xf numFmtId="2" fontId="99" fillId="0" borderId="15" xfId="0" applyNumberFormat="1" applyFont="1" applyFill="1" applyBorder="1" applyAlignment="1" applyProtection="1">
      <alignment horizontal="center"/>
      <protection/>
    </xf>
    <xf numFmtId="2" fontId="22" fillId="0" borderId="0" xfId="0" applyNumberFormat="1" applyFont="1" applyBorder="1" applyAlignment="1" applyProtection="1">
      <alignment horizontal="center"/>
      <protection/>
    </xf>
    <xf numFmtId="7" fontId="22" fillId="0" borderId="0" xfId="0" applyNumberFormat="1" applyFont="1" applyBorder="1" applyAlignment="1" applyProtection="1">
      <alignment horizontal="center"/>
      <protection/>
    </xf>
    <xf numFmtId="0" fontId="35" fillId="18" borderId="14" xfId="0" applyFont="1" applyFill="1" applyBorder="1" applyAlignment="1" applyProtection="1">
      <alignment horizontal="center" vertical="center"/>
      <protection/>
    </xf>
    <xf numFmtId="0" fontId="27" fillId="0" borderId="8" xfId="0" applyFont="1" applyFill="1" applyBorder="1" applyAlignment="1" applyProtection="1">
      <alignment horizontal="centerContinuous" vertical="center"/>
      <protection/>
    </xf>
    <xf numFmtId="0" fontId="27" fillId="0" borderId="15" xfId="0" applyFont="1" applyFill="1" applyBorder="1" applyAlignment="1" applyProtection="1">
      <alignment horizontal="centerContinuous" vertical="center"/>
      <protection/>
    </xf>
    <xf numFmtId="0" fontId="43" fillId="19" borderId="14" xfId="0" applyFont="1" applyFill="1" applyBorder="1" applyAlignment="1">
      <alignment horizontal="center" vertical="center" wrapText="1"/>
    </xf>
    <xf numFmtId="0" fontId="43" fillId="14" borderId="8" xfId="0" applyFont="1" applyFill="1" applyBorder="1" applyAlignment="1" applyProtection="1">
      <alignment horizontal="centerContinuous" vertical="center" wrapText="1"/>
      <protection/>
    </xf>
    <xf numFmtId="0" fontId="43" fillId="14" borderId="9" xfId="0" applyFont="1" applyFill="1" applyBorder="1" applyAlignment="1">
      <alignment horizontal="centerContinuous" vertical="center"/>
    </xf>
    <xf numFmtId="0" fontId="43" fillId="3" borderId="14" xfId="0" applyFont="1" applyFill="1" applyBorder="1" applyAlignment="1">
      <alignment horizontal="centerContinuous" vertical="center" wrapText="1"/>
    </xf>
    <xf numFmtId="0" fontId="43" fillId="18" borderId="58" xfId="0" applyFont="1" applyFill="1" applyBorder="1" applyAlignment="1">
      <alignment vertical="center" wrapText="1"/>
    </xf>
    <xf numFmtId="0" fontId="43" fillId="18" borderId="16" xfId="0" applyFont="1" applyFill="1" applyBorder="1" applyAlignment="1">
      <alignment vertical="center" wrapText="1"/>
    </xf>
    <xf numFmtId="0" fontId="43" fillId="18" borderId="32" xfId="0" applyFont="1" applyFill="1" applyBorder="1" applyAlignment="1">
      <alignment vertical="center" wrapText="1"/>
    </xf>
    <xf numFmtId="172" fontId="7" fillId="0" borderId="2" xfId="0" applyNumberFormat="1" applyFont="1" applyFill="1" applyBorder="1" applyAlignment="1" applyProtection="1">
      <alignment horizontal="center"/>
      <protection/>
    </xf>
    <xf numFmtId="0" fontId="100" fillId="2" borderId="2" xfId="0" applyFont="1" applyFill="1" applyBorder="1" applyAlignment="1">
      <alignment horizontal="center"/>
    </xf>
    <xf numFmtId="0" fontId="100" fillId="18" borderId="2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Continuous"/>
    </xf>
    <xf numFmtId="0" fontId="7" fillId="0" borderId="4" xfId="0" applyFont="1" applyFill="1" applyBorder="1" applyAlignment="1">
      <alignment horizontal="centerContinuous"/>
    </xf>
    <xf numFmtId="0" fontId="46" fillId="19" borderId="17" xfId="0" applyFont="1" applyFill="1" applyBorder="1" applyAlignment="1">
      <alignment horizontal="center"/>
    </xf>
    <xf numFmtId="0" fontId="46" fillId="14" borderId="33" xfId="0" applyFont="1" applyFill="1" applyBorder="1" applyAlignment="1">
      <alignment horizontal="center"/>
    </xf>
    <xf numFmtId="0" fontId="46" fillId="14" borderId="34" xfId="0" applyFont="1" applyFill="1" applyBorder="1" applyAlignment="1">
      <alignment horizontal="left"/>
    </xf>
    <xf numFmtId="0" fontId="46" fillId="3" borderId="17" xfId="0" applyFont="1" applyFill="1" applyBorder="1" applyAlignment="1">
      <alignment horizontal="left"/>
    </xf>
    <xf numFmtId="0" fontId="46" fillId="18" borderId="50" xfId="0" applyFont="1" applyFill="1" applyBorder="1" applyAlignment="1">
      <alignment horizontal="left"/>
    </xf>
    <xf numFmtId="0" fontId="46" fillId="18" borderId="0" xfId="0" applyFont="1" applyFill="1" applyBorder="1" applyAlignment="1">
      <alignment horizontal="left"/>
    </xf>
    <xf numFmtId="0" fontId="46" fillId="18" borderId="49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center"/>
    </xf>
    <xf numFmtId="0" fontId="7" fillId="0" borderId="19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172" fontId="7" fillId="0" borderId="19" xfId="0" applyNumberFormat="1" applyFont="1" applyBorder="1" applyAlignment="1" applyProtection="1">
      <alignment horizontal="center"/>
      <protection/>
    </xf>
    <xf numFmtId="1" fontId="7" fillId="0" borderId="39" xfId="0" applyNumberFormat="1" applyFont="1" applyBorder="1" applyAlignment="1" applyProtection="1" quotePrefix="1">
      <alignment horizontal="center"/>
      <protection/>
    </xf>
    <xf numFmtId="176" fontId="100" fillId="2" borderId="2" xfId="0" applyNumberFormat="1" applyFont="1" applyFill="1" applyBorder="1" applyAlignment="1" applyProtection="1">
      <alignment horizontal="center"/>
      <protection/>
    </xf>
    <xf numFmtId="176" fontId="100" fillId="18" borderId="2" xfId="0" applyNumberFormat="1" applyFont="1" applyFill="1" applyBorder="1" applyAlignment="1" applyProtection="1">
      <alignment horizontal="center"/>
      <protection/>
    </xf>
    <xf numFmtId="22" fontId="7" fillId="0" borderId="2" xfId="0" applyNumberFormat="1" applyFont="1" applyFill="1" applyBorder="1" applyAlignment="1" applyProtection="1">
      <alignment horizontal="center"/>
      <protection/>
    </xf>
    <xf numFmtId="176" fontId="7" fillId="0" borderId="21" xfId="0" applyNumberFormat="1" applyFont="1" applyBorder="1" applyAlignment="1" applyProtection="1">
      <alignment horizontal="centerContinuous"/>
      <protection/>
    </xf>
    <xf numFmtId="176" fontId="7" fillId="0" borderId="4" xfId="0" applyNumberFormat="1" applyFont="1" applyBorder="1" applyAlignment="1" applyProtection="1">
      <alignment horizontal="centerContinuous"/>
      <protection/>
    </xf>
    <xf numFmtId="172" fontId="36" fillId="2" borderId="2" xfId="0" applyNumberFormat="1" applyFont="1" applyFill="1" applyBorder="1" applyAlignment="1" applyProtection="1">
      <alignment horizontal="center"/>
      <protection/>
    </xf>
    <xf numFmtId="2" fontId="45" fillId="19" borderId="2" xfId="0" applyNumberFormat="1" applyFont="1" applyFill="1" applyBorder="1" applyAlignment="1">
      <alignment horizontal="center"/>
    </xf>
    <xf numFmtId="176" fontId="45" fillId="14" borderId="38" xfId="0" applyNumberFormat="1" applyFont="1" applyFill="1" applyBorder="1" applyAlignment="1" applyProtection="1" quotePrefix="1">
      <alignment horizontal="center"/>
      <protection/>
    </xf>
    <xf numFmtId="176" fontId="45" fillId="14" borderId="39" xfId="0" applyNumberFormat="1" applyFont="1" applyFill="1" applyBorder="1" applyAlignment="1" applyProtection="1" quotePrefix="1">
      <alignment horizontal="center"/>
      <protection/>
    </xf>
    <xf numFmtId="176" fontId="45" fillId="18" borderId="50" xfId="0" applyNumberFormat="1" applyFont="1" applyFill="1" applyBorder="1" applyAlignment="1" applyProtection="1" quotePrefix="1">
      <alignment horizontal="center"/>
      <protection/>
    </xf>
    <xf numFmtId="176" fontId="45" fillId="18" borderId="0" xfId="0" applyNumberFormat="1" applyFont="1" applyFill="1" applyBorder="1" applyAlignment="1" applyProtection="1" quotePrefix="1">
      <alignment horizontal="center"/>
      <protection/>
    </xf>
    <xf numFmtId="176" fontId="45" fillId="18" borderId="49" xfId="0" applyNumberFormat="1" applyFont="1" applyFill="1" applyBorder="1" applyAlignment="1" applyProtection="1" quotePrefix="1">
      <alignment horizontal="center"/>
      <protection/>
    </xf>
    <xf numFmtId="0" fontId="7" fillId="0" borderId="3" xfId="0" applyFont="1" applyFill="1" applyBorder="1" applyAlignment="1">
      <alignment horizontal="center"/>
    </xf>
    <xf numFmtId="0" fontId="7" fillId="0" borderId="40" xfId="0" applyFont="1" applyBorder="1" applyAlignment="1" applyProtection="1">
      <alignment horizontal="center"/>
      <protection/>
    </xf>
    <xf numFmtId="0" fontId="7" fillId="0" borderId="59" xfId="0" applyFont="1" applyBorder="1" applyAlignment="1" applyProtection="1">
      <alignment horizontal="center"/>
      <protection/>
    </xf>
    <xf numFmtId="172" fontId="7" fillId="0" borderId="40" xfId="0" applyNumberFormat="1" applyFont="1" applyBorder="1" applyAlignment="1" applyProtection="1">
      <alignment horizontal="center"/>
      <protection/>
    </xf>
    <xf numFmtId="1" fontId="7" fillId="0" borderId="42" xfId="0" applyNumberFormat="1" applyFont="1" applyBorder="1" applyAlignment="1" applyProtection="1" quotePrefix="1">
      <alignment horizontal="center"/>
      <protection/>
    </xf>
    <xf numFmtId="176" fontId="100" fillId="2" borderId="3" xfId="0" applyNumberFormat="1" applyFont="1" applyFill="1" applyBorder="1" applyAlignment="1" applyProtection="1">
      <alignment horizontal="center"/>
      <protection/>
    </xf>
    <xf numFmtId="176" fontId="100" fillId="18" borderId="3" xfId="0" applyNumberFormat="1" applyFont="1" applyFill="1" applyBorder="1" applyAlignment="1" applyProtection="1">
      <alignment horizontal="center"/>
      <protection/>
    </xf>
    <xf numFmtId="22" fontId="7" fillId="0" borderId="3" xfId="0" applyNumberFormat="1" applyFont="1" applyFill="1" applyBorder="1" applyAlignment="1">
      <alignment horizontal="center"/>
    </xf>
    <xf numFmtId="22" fontId="7" fillId="0" borderId="3" xfId="0" applyNumberFormat="1" applyFont="1" applyFill="1" applyBorder="1" applyAlignment="1" applyProtection="1">
      <alignment horizontal="center"/>
      <protection/>
    </xf>
    <xf numFmtId="4" fontId="7" fillId="0" borderId="3" xfId="0" applyNumberFormat="1" applyFont="1" applyFill="1" applyBorder="1" applyAlignment="1" applyProtection="1">
      <alignment horizontal="center"/>
      <protection/>
    </xf>
    <xf numFmtId="3" fontId="7" fillId="0" borderId="3" xfId="0" applyNumberFormat="1" applyFont="1" applyFill="1" applyBorder="1" applyAlignment="1" applyProtection="1">
      <alignment horizontal="center"/>
      <protection/>
    </xf>
    <xf numFmtId="176" fontId="7" fillId="0" borderId="3" xfId="0" applyNumberFormat="1" applyFont="1" applyFill="1" applyBorder="1" applyAlignment="1" applyProtection="1">
      <alignment horizontal="center"/>
      <protection/>
    </xf>
    <xf numFmtId="176" fontId="7" fillId="0" borderId="18" xfId="0" applyNumberFormat="1" applyFont="1" applyBorder="1" applyAlignment="1" applyProtection="1">
      <alignment horizontal="centerContinuous"/>
      <protection/>
    </xf>
    <xf numFmtId="176" fontId="7" fillId="0" borderId="20" xfId="0" applyNumberFormat="1" applyFont="1" applyBorder="1" applyAlignment="1" applyProtection="1">
      <alignment horizontal="centerContinuous"/>
      <protection/>
    </xf>
    <xf numFmtId="172" fontId="36" fillId="2" borderId="3" xfId="0" applyNumberFormat="1" applyFont="1" applyFill="1" applyBorder="1" applyAlignment="1" applyProtection="1">
      <alignment horizontal="center"/>
      <protection/>
    </xf>
    <xf numFmtId="2" fontId="46" fillId="19" borderId="3" xfId="0" applyNumberFormat="1" applyFont="1" applyFill="1" applyBorder="1" applyAlignment="1">
      <alignment horizontal="center"/>
    </xf>
    <xf numFmtId="176" fontId="46" fillId="14" borderId="41" xfId="0" applyNumberFormat="1" applyFont="1" applyFill="1" applyBorder="1" applyAlignment="1" applyProtection="1" quotePrefix="1">
      <alignment horizontal="center"/>
      <protection/>
    </xf>
    <xf numFmtId="176" fontId="46" fillId="14" borderId="42" xfId="0" applyNumberFormat="1" applyFont="1" applyFill="1" applyBorder="1" applyAlignment="1" applyProtection="1" quotePrefix="1">
      <alignment horizontal="center"/>
      <protection/>
    </xf>
    <xf numFmtId="176" fontId="46" fillId="3" borderId="3" xfId="0" applyNumberFormat="1" applyFont="1" applyFill="1" applyBorder="1" applyAlignment="1" applyProtection="1" quotePrefix="1">
      <alignment horizontal="center"/>
      <protection/>
    </xf>
    <xf numFmtId="176" fontId="46" fillId="18" borderId="18" xfId="0" applyNumberFormat="1" applyFont="1" applyFill="1" applyBorder="1" applyAlignment="1" applyProtection="1" quotePrefix="1">
      <alignment horizontal="center"/>
      <protection/>
    </xf>
    <xf numFmtId="176" fontId="46" fillId="18" borderId="23" xfId="0" applyNumberFormat="1" applyFont="1" applyFill="1" applyBorder="1" applyAlignment="1" applyProtection="1" quotePrefix="1">
      <alignment horizontal="center"/>
      <protection/>
    </xf>
    <xf numFmtId="176" fontId="46" fillId="18" borderId="20" xfId="0" applyNumberFormat="1" applyFont="1" applyFill="1" applyBorder="1" applyAlignment="1" applyProtection="1" quotePrefix="1">
      <alignment horizontal="center"/>
      <protection/>
    </xf>
    <xf numFmtId="176" fontId="7" fillId="0" borderId="20" xfId="0" applyNumberFormat="1" applyFont="1" applyFill="1" applyBorder="1" applyAlignment="1">
      <alignment horizontal="center"/>
    </xf>
    <xf numFmtId="4" fontId="29" fillId="0" borderId="20" xfId="0" applyNumberFormat="1" applyFont="1" applyFill="1" applyBorder="1" applyAlignment="1">
      <alignment horizontal="right"/>
    </xf>
    <xf numFmtId="1" fontId="7" fillId="0" borderId="0" xfId="0" applyNumberFormat="1" applyFont="1" applyBorder="1" applyAlignment="1" applyProtection="1" quotePrefix="1">
      <alignment horizontal="center"/>
      <protection/>
    </xf>
    <xf numFmtId="176" fontId="7" fillId="0" borderId="0" xfId="0" applyNumberFormat="1" applyFont="1" applyFill="1" applyBorder="1" applyAlignment="1" applyProtection="1">
      <alignment horizontal="center"/>
      <protection/>
    </xf>
    <xf numFmtId="22" fontId="7" fillId="0" borderId="0" xfId="0" applyNumberFormat="1" applyFont="1" applyFill="1" applyBorder="1" applyAlignment="1">
      <alignment horizontal="center"/>
    </xf>
    <xf numFmtId="22" fontId="7" fillId="0" borderId="0" xfId="0" applyNumberFormat="1" applyFont="1" applyFill="1" applyBorder="1" applyAlignment="1" applyProtection="1">
      <alignment horizontal="center"/>
      <protection/>
    </xf>
    <xf numFmtId="4" fontId="7" fillId="0" borderId="0" xfId="0" applyNumberFormat="1" applyFont="1" applyFill="1" applyBorder="1" applyAlignment="1" applyProtection="1">
      <alignment horizontal="center"/>
      <protection/>
    </xf>
    <xf numFmtId="3" fontId="7" fillId="0" borderId="0" xfId="0" applyNumberFormat="1" applyFont="1" applyFill="1" applyBorder="1" applyAlignment="1" applyProtection="1">
      <alignment horizontal="center"/>
      <protection/>
    </xf>
    <xf numFmtId="176" fontId="7" fillId="0" borderId="0" xfId="0" applyNumberFormat="1" applyFont="1" applyBorder="1" applyAlignment="1" applyProtection="1" quotePrefix="1">
      <alignment horizontal="center"/>
      <protection/>
    </xf>
    <xf numFmtId="172" fontId="7" fillId="0" borderId="0" xfId="0" applyNumberFormat="1" applyFont="1" applyFill="1" applyBorder="1" applyAlignment="1" applyProtection="1">
      <alignment horizontal="center"/>
      <protection/>
    </xf>
    <xf numFmtId="2" fontId="62" fillId="0" borderId="0" xfId="0" applyNumberFormat="1" applyFont="1" applyFill="1" applyBorder="1" applyAlignment="1">
      <alignment horizontal="center"/>
    </xf>
    <xf numFmtId="176" fontId="9" fillId="0" borderId="0" xfId="0" applyNumberFormat="1" applyFont="1" applyFill="1" applyBorder="1" applyAlignment="1" applyProtection="1" quotePrefix="1">
      <alignment horizontal="center"/>
      <protection/>
    </xf>
    <xf numFmtId="4" fontId="29" fillId="0" borderId="14" xfId="0" applyNumberFormat="1" applyFont="1" applyFill="1" applyBorder="1" applyAlignment="1">
      <alignment horizontal="right"/>
    </xf>
    <xf numFmtId="176" fontId="7" fillId="0" borderId="0" xfId="0" applyNumberFormat="1" applyFont="1" applyBorder="1" applyAlignment="1" applyProtection="1" quotePrefix="1">
      <alignment horizontal="centerContinuous"/>
      <protection/>
    </xf>
    <xf numFmtId="176" fontId="7" fillId="0" borderId="0" xfId="0" applyNumberFormat="1" applyFont="1" applyBorder="1" applyAlignment="1" applyProtection="1">
      <alignment horizontal="centerContinuous"/>
      <protection/>
    </xf>
    <xf numFmtId="4" fontId="29" fillId="0" borderId="0" xfId="0" applyNumberFormat="1" applyFont="1" applyFill="1" applyBorder="1" applyAlignment="1">
      <alignment horizontal="right"/>
    </xf>
    <xf numFmtId="2" fontId="56" fillId="0" borderId="0" xfId="0" applyNumberFormat="1" applyFont="1" applyBorder="1" applyAlignment="1" applyProtection="1">
      <alignment horizontal="left"/>
      <protection/>
    </xf>
    <xf numFmtId="176" fontId="56" fillId="0" borderId="0" xfId="0" applyNumberFormat="1" applyFont="1" applyBorder="1" applyAlignment="1" applyProtection="1">
      <alignment horizontal="center"/>
      <protection/>
    </xf>
    <xf numFmtId="0" fontId="56" fillId="0" borderId="0" xfId="0" applyFont="1" applyBorder="1" applyAlignment="1" applyProtection="1">
      <alignment horizontal="center"/>
      <protection/>
    </xf>
    <xf numFmtId="173" fontId="56" fillId="0" borderId="0" xfId="0" applyNumberFormat="1" applyFont="1" applyBorder="1" applyAlignment="1" applyProtection="1">
      <alignment horizontal="center"/>
      <protection/>
    </xf>
    <xf numFmtId="181" fontId="56" fillId="0" borderId="0" xfId="0" applyNumberFormat="1" applyFont="1" applyBorder="1" applyAlignment="1" applyProtection="1" quotePrefix="1">
      <alignment horizontal="center"/>
      <protection/>
    </xf>
    <xf numFmtId="0" fontId="56" fillId="0" borderId="0" xfId="0" applyFont="1" applyAlignment="1">
      <alignment/>
    </xf>
    <xf numFmtId="2" fontId="56" fillId="0" borderId="0" xfId="0" applyNumberFormat="1" applyFont="1" applyBorder="1" applyAlignment="1" applyProtection="1">
      <alignment horizontal="center"/>
      <protection/>
    </xf>
    <xf numFmtId="176" fontId="56" fillId="0" borderId="0" xfId="0" applyNumberFormat="1" applyFont="1" applyBorder="1" applyAlignment="1" applyProtection="1" quotePrefix="1">
      <alignment horizontal="center"/>
      <protection/>
    </xf>
    <xf numFmtId="4" fontId="22" fillId="0" borderId="1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2" fontId="101" fillId="0" borderId="0" xfId="0" applyNumberFormat="1" applyFont="1" applyBorder="1" applyAlignment="1" applyProtection="1">
      <alignment horizontal="left"/>
      <protection/>
    </xf>
    <xf numFmtId="0" fontId="22" fillId="0" borderId="0" xfId="0" applyFont="1" applyAlignment="1">
      <alignment horizontal="center"/>
    </xf>
    <xf numFmtId="181" fontId="13" fillId="0" borderId="0" xfId="0" applyNumberFormat="1" applyFont="1" applyBorder="1" applyAlignment="1" applyProtection="1">
      <alignment horizontal="left"/>
      <protection/>
    </xf>
    <xf numFmtId="176" fontId="13" fillId="0" borderId="0" xfId="0" applyNumberFormat="1" applyFont="1" applyBorder="1" applyAlignment="1" applyProtection="1">
      <alignment horizontal="left"/>
      <protection/>
    </xf>
    <xf numFmtId="2" fontId="102" fillId="0" borderId="0" xfId="0" applyNumberFormat="1" applyFont="1" applyBorder="1" applyAlignment="1" applyProtection="1">
      <alignment horizontal="center"/>
      <protection/>
    </xf>
    <xf numFmtId="176" fontId="98" fillId="0" borderId="0" xfId="0" applyNumberFormat="1" applyFont="1" applyBorder="1" applyAlignment="1" applyProtection="1" quotePrefix="1">
      <alignment horizontal="center"/>
      <protection/>
    </xf>
    <xf numFmtId="4" fontId="98" fillId="0" borderId="0" xfId="0" applyNumberFormat="1" applyFont="1" applyBorder="1" applyAlignment="1" applyProtection="1">
      <alignment horizontal="center"/>
      <protection/>
    </xf>
    <xf numFmtId="7" fontId="13" fillId="0" borderId="0" xfId="0" applyNumberFormat="1" applyFont="1" applyBorder="1" applyAlignment="1">
      <alignment horizontal="centerContinuous"/>
    </xf>
    <xf numFmtId="1" fontId="22" fillId="0" borderId="0" xfId="0" applyNumberFormat="1" applyFont="1" applyBorder="1" applyAlignment="1" applyProtection="1">
      <alignment horizontal="center"/>
      <protection/>
    </xf>
    <xf numFmtId="191" fontId="22" fillId="0" borderId="0" xfId="0" applyNumberFormat="1" applyFont="1" applyBorder="1" applyAlignment="1" applyProtection="1">
      <alignment horizontal="centerContinuous"/>
      <protection/>
    </xf>
    <xf numFmtId="191" fontId="56" fillId="0" borderId="0" xfId="0" applyNumberFormat="1" applyFont="1" applyBorder="1" applyAlignment="1" applyProtection="1">
      <alignment horizontal="centerContinuous"/>
      <protection/>
    </xf>
    <xf numFmtId="176" fontId="56" fillId="0" borderId="0" xfId="0" applyNumberFormat="1" applyFont="1" applyBorder="1" applyAlignment="1" applyProtection="1" quotePrefix="1">
      <alignment horizontal="left"/>
      <protection/>
    </xf>
    <xf numFmtId="176" fontId="22" fillId="0" borderId="0" xfId="0" applyNumberFormat="1" applyFont="1" applyBorder="1" applyAlignment="1">
      <alignment/>
    </xf>
    <xf numFmtId="0" fontId="22" fillId="0" borderId="0" xfId="0" applyFont="1" applyAlignment="1">
      <alignment horizontal="centerContinuous"/>
    </xf>
    <xf numFmtId="176" fontId="22" fillId="0" borderId="0" xfId="0" applyNumberFormat="1" applyFont="1" applyBorder="1" applyAlignment="1" applyProtection="1">
      <alignment horizontal="centerContinuous"/>
      <protection/>
    </xf>
    <xf numFmtId="176" fontId="56" fillId="0" borderId="0" xfId="0" applyNumberFormat="1" applyFont="1" applyBorder="1" applyAlignment="1" applyProtection="1" quotePrefix="1">
      <alignment horizontal="right"/>
      <protection/>
    </xf>
    <xf numFmtId="7" fontId="22" fillId="0" borderId="0" xfId="0" applyNumberFormat="1" applyFont="1" applyBorder="1" applyAlignment="1">
      <alignment horizontal="right"/>
    </xf>
    <xf numFmtId="176" fontId="6" fillId="0" borderId="0" xfId="0" applyNumberFormat="1" applyFont="1" applyBorder="1" applyAlignment="1" applyProtection="1">
      <alignment horizontal="left"/>
      <protection/>
    </xf>
    <xf numFmtId="10" fontId="22" fillId="0" borderId="0" xfId="0" applyNumberFormat="1" applyFont="1" applyBorder="1" applyAlignment="1" applyProtection="1">
      <alignment horizontal="center"/>
      <protection/>
    </xf>
    <xf numFmtId="7" fontId="22" fillId="0" borderId="0" xfId="0" applyNumberFormat="1" applyFont="1" applyAlignment="1">
      <alignment horizontal="right"/>
    </xf>
    <xf numFmtId="0" fontId="22" fillId="0" borderId="0" xfId="0" applyFont="1" applyAlignment="1" quotePrefix="1">
      <alignment/>
    </xf>
    <xf numFmtId="176" fontId="22" fillId="0" borderId="0" xfId="0" applyNumberFormat="1" applyFont="1" applyBorder="1" applyAlignment="1" applyProtection="1" quotePrefix="1">
      <alignment horizontal="center"/>
      <protection/>
    </xf>
    <xf numFmtId="7" fontId="22" fillId="0" borderId="0" xfId="0" applyNumberFormat="1" applyFont="1" applyBorder="1" applyAlignment="1" applyProtection="1">
      <alignment horizontal="left"/>
      <protection/>
    </xf>
    <xf numFmtId="0" fontId="87" fillId="0" borderId="0" xfId="0" applyFont="1" applyAlignment="1" quotePrefix="1">
      <alignment/>
    </xf>
    <xf numFmtId="0" fontId="30" fillId="0" borderId="0" xfId="0" applyFont="1" applyAlignment="1">
      <alignment vertical="center"/>
    </xf>
    <xf numFmtId="0" fontId="23" fillId="0" borderId="7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176" fontId="23" fillId="0" borderId="0" xfId="0" applyNumberFormat="1" applyFont="1" applyBorder="1" applyAlignment="1" applyProtection="1">
      <alignment horizontal="left" vertical="center"/>
      <protection/>
    </xf>
    <xf numFmtId="0" fontId="30" fillId="0" borderId="0" xfId="0" applyFont="1" applyAlignment="1" quotePrefix="1">
      <alignment vertical="center"/>
    </xf>
    <xf numFmtId="0" fontId="23" fillId="0" borderId="0" xfId="0" applyFont="1" applyBorder="1" applyAlignment="1" applyProtection="1">
      <alignment horizontal="center" vertical="center"/>
      <protection/>
    </xf>
    <xf numFmtId="173" fontId="23" fillId="0" borderId="0" xfId="0" applyNumberFormat="1" applyFont="1" applyBorder="1" applyAlignment="1" applyProtection="1">
      <alignment horizontal="center" vertical="center"/>
      <protection/>
    </xf>
    <xf numFmtId="4" fontId="25" fillId="0" borderId="8" xfId="0" applyNumberFormat="1" applyFont="1" applyBorder="1" applyAlignment="1" applyProtection="1">
      <alignment horizontal="center" vertical="center"/>
      <protection/>
    </xf>
    <xf numFmtId="7" fontId="103" fillId="0" borderId="9" xfId="0" applyNumberFormat="1" applyFont="1" applyFill="1" applyBorder="1" applyAlignment="1">
      <alignment horizontal="center" vertical="center"/>
    </xf>
    <xf numFmtId="176" fontId="23" fillId="0" borderId="0" xfId="0" applyNumberFormat="1" applyFont="1" applyBorder="1" applyAlignment="1" applyProtection="1">
      <alignment horizontal="center" vertical="center"/>
      <protection/>
    </xf>
    <xf numFmtId="181" fontId="23" fillId="0" borderId="0" xfId="0" applyNumberFormat="1" applyFont="1" applyBorder="1" applyAlignment="1" applyProtection="1" quotePrefix="1">
      <alignment horizontal="center" vertical="center"/>
      <protection/>
    </xf>
    <xf numFmtId="2" fontId="104" fillId="0" borderId="0" xfId="0" applyNumberFormat="1" applyFont="1" applyBorder="1" applyAlignment="1" applyProtection="1">
      <alignment horizontal="center" vertical="center"/>
      <protection/>
    </xf>
    <xf numFmtId="176" fontId="105" fillId="0" borderId="0" xfId="0" applyNumberFormat="1" applyFont="1" applyBorder="1" applyAlignment="1" applyProtection="1" quotePrefix="1">
      <alignment horizontal="center" vertical="center"/>
      <protection/>
    </xf>
    <xf numFmtId="4" fontId="23" fillId="0" borderId="1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/>
    </xf>
    <xf numFmtId="0" fontId="14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left"/>
      <protection/>
    </xf>
    <xf numFmtId="191" fontId="22" fillId="0" borderId="0" xfId="0" applyNumberFormat="1" applyFont="1" applyBorder="1" applyAlignment="1">
      <alignment/>
    </xf>
    <xf numFmtId="4" fontId="56" fillId="0" borderId="0" xfId="0" applyNumberFormat="1" applyFont="1" applyBorder="1" applyAlignment="1" applyProtection="1">
      <alignment horizontal="center"/>
      <protection/>
    </xf>
    <xf numFmtId="7" fontId="56" fillId="0" borderId="0" xfId="0" applyNumberFormat="1" applyFont="1" applyFill="1" applyBorder="1" applyAlignment="1">
      <alignment horizontal="center"/>
    </xf>
    <xf numFmtId="1" fontId="22" fillId="0" borderId="0" xfId="0" applyNumberFormat="1" applyFont="1" applyBorder="1" applyAlignment="1" applyProtection="1">
      <alignment horizontal="left"/>
      <protection/>
    </xf>
    <xf numFmtId="1" fontId="22" fillId="0" borderId="0" xfId="0" applyNumberFormat="1" applyFont="1" applyBorder="1" applyAlignment="1" applyProtection="1">
      <alignment horizontal="centerContinuous"/>
      <protection/>
    </xf>
    <xf numFmtId="7" fontId="56" fillId="0" borderId="47" xfId="0" applyNumberFormat="1" applyFont="1" applyFill="1" applyBorder="1" applyAlignment="1">
      <alignment horizontal="center"/>
    </xf>
    <xf numFmtId="0" fontId="57" fillId="0" borderId="0" xfId="0" applyFont="1" applyAlignment="1">
      <alignment horizontal="right" vertical="top"/>
    </xf>
    <xf numFmtId="1" fontId="0" fillId="0" borderId="60" xfId="0" applyNumberFormat="1" applyBorder="1" applyAlignment="1">
      <alignment horizontal="center"/>
    </xf>
    <xf numFmtId="0" fontId="10" fillId="0" borderId="61" xfId="0" applyFont="1" applyBorder="1" applyAlignment="1">
      <alignment horizontal="centerContinuous"/>
    </xf>
    <xf numFmtId="0" fontId="10" fillId="0" borderId="62" xfId="0" applyFont="1" applyBorder="1" applyAlignment="1">
      <alignment horizontal="centerContinuous"/>
    </xf>
    <xf numFmtId="182" fontId="10" fillId="0" borderId="63" xfId="0" applyNumberFormat="1" applyFont="1" applyBorder="1" applyAlignment="1">
      <alignment horizontal="center"/>
    </xf>
    <xf numFmtId="1" fontId="10" fillId="0" borderId="63" xfId="0" applyNumberFormat="1" applyFont="1" applyBorder="1" applyAlignment="1">
      <alignment horizontal="center"/>
    </xf>
    <xf numFmtId="0" fontId="10" fillId="0" borderId="64" xfId="0" applyFont="1" applyBorder="1" applyAlignment="1">
      <alignment horizontal="centerContinuous"/>
    </xf>
    <xf numFmtId="0" fontId="10" fillId="0" borderId="65" xfId="0" applyFont="1" applyBorder="1" applyAlignment="1">
      <alignment horizontal="centerContinuous"/>
    </xf>
    <xf numFmtId="182" fontId="10" fillId="0" borderId="66" xfId="0" applyNumberFormat="1" applyFont="1" applyBorder="1" applyAlignment="1">
      <alignment horizontal="center"/>
    </xf>
    <xf numFmtId="1" fontId="10" fillId="0" borderId="66" xfId="0" applyNumberFormat="1" applyFont="1" applyBorder="1" applyAlignment="1">
      <alignment horizontal="center"/>
    </xf>
    <xf numFmtId="0" fontId="10" fillId="0" borderId="67" xfId="0" applyFont="1" applyBorder="1" applyAlignment="1">
      <alignment horizontal="centerContinuous"/>
    </xf>
    <xf numFmtId="0" fontId="10" fillId="0" borderId="68" xfId="0" applyFont="1" applyBorder="1" applyAlignment="1">
      <alignment horizontal="centerContinuous"/>
    </xf>
    <xf numFmtId="182" fontId="10" fillId="0" borderId="69" xfId="0" applyNumberFormat="1" applyFont="1" applyFill="1" applyBorder="1" applyAlignment="1">
      <alignment horizontal="center"/>
    </xf>
    <xf numFmtId="1" fontId="10" fillId="0" borderId="69" xfId="0" applyNumberFormat="1" applyFont="1" applyFill="1" applyBorder="1" applyAlignment="1">
      <alignment horizontal="center"/>
    </xf>
    <xf numFmtId="191" fontId="13" fillId="0" borderId="9" xfId="0" applyNumberFormat="1" applyFont="1" applyBorder="1" applyAlignment="1" applyProtection="1">
      <alignment horizontal="centerContinuous"/>
      <protection/>
    </xf>
    <xf numFmtId="2" fontId="96" fillId="0" borderId="23" xfId="0" applyNumberFormat="1" applyFont="1" applyFill="1" applyBorder="1" applyAlignment="1" applyProtection="1">
      <alignment horizontal="center"/>
      <protection/>
    </xf>
    <xf numFmtId="2" fontId="80" fillId="0" borderId="23" xfId="0" applyNumberFormat="1" applyFont="1" applyFill="1" applyBorder="1" applyAlignment="1" applyProtection="1">
      <alignment horizontal="center"/>
      <protection/>
    </xf>
    <xf numFmtId="2" fontId="99" fillId="0" borderId="23" xfId="0" applyNumberFormat="1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>
      <alignment horizontal="centerContinuous"/>
    </xf>
    <xf numFmtId="176" fontId="7" fillId="0" borderId="2" xfId="0" applyNumberFormat="1" applyFont="1" applyBorder="1" applyAlignment="1" applyProtection="1">
      <alignment horizontal="centerContinuous"/>
      <protection/>
    </xf>
    <xf numFmtId="176" fontId="7" fillId="0" borderId="3" xfId="0" applyNumberFormat="1" applyFont="1" applyBorder="1" applyAlignment="1" applyProtection="1">
      <alignment horizontal="centerContinuous"/>
      <protection/>
    </xf>
    <xf numFmtId="0" fontId="12" fillId="0" borderId="56" xfId="0" applyFont="1" applyBorder="1" applyAlignment="1" applyProtection="1">
      <alignment horizontal="center"/>
      <protection/>
    </xf>
    <xf numFmtId="172" fontId="9" fillId="0" borderId="2" xfId="0" applyNumberFormat="1" applyFont="1" applyBorder="1" applyAlignment="1" applyProtection="1" quotePrefix="1">
      <alignment horizontal="center"/>
      <protection/>
    </xf>
    <xf numFmtId="22" fontId="7" fillId="0" borderId="22" xfId="0" applyNumberFormat="1" applyFont="1" applyBorder="1" applyAlignment="1">
      <alignment horizontal="center"/>
    </xf>
    <xf numFmtId="22" fontId="7" fillId="0" borderId="2" xfId="0" applyNumberFormat="1" applyFont="1" applyBorder="1" applyAlignment="1" applyProtection="1">
      <alignment horizontal="center"/>
      <protection/>
    </xf>
    <xf numFmtId="172" fontId="46" fillId="4" borderId="2" xfId="0" applyNumberFormat="1" applyFont="1" applyFill="1" applyBorder="1" applyAlignment="1" applyProtection="1">
      <alignment horizontal="center"/>
      <protection/>
    </xf>
    <xf numFmtId="2" fontId="79" fillId="11" borderId="2" xfId="0" applyNumberFormat="1" applyFont="1" applyFill="1" applyBorder="1" applyAlignment="1">
      <alignment horizontal="center"/>
    </xf>
    <xf numFmtId="176" fontId="7" fillId="0" borderId="2" xfId="0" applyNumberFormat="1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12" fillId="0" borderId="70" xfId="0" applyFont="1" applyBorder="1" applyAlignment="1" applyProtection="1">
      <alignment horizontal="center"/>
      <protection/>
    </xf>
    <xf numFmtId="172" fontId="9" fillId="0" borderId="40" xfId="0" applyNumberFormat="1" applyFont="1" applyBorder="1" applyAlignment="1" applyProtection="1" quotePrefix="1">
      <alignment horizontal="center"/>
      <protection/>
    </xf>
    <xf numFmtId="176" fontId="36" fillId="2" borderId="40" xfId="0" applyNumberFormat="1" applyFont="1" applyFill="1" applyBorder="1" applyAlignment="1" applyProtection="1">
      <alignment horizontal="center"/>
      <protection/>
    </xf>
    <xf numFmtId="22" fontId="7" fillId="0" borderId="41" xfId="0" applyNumberFormat="1" applyFont="1" applyBorder="1" applyAlignment="1">
      <alignment horizontal="center"/>
    </xf>
    <xf numFmtId="22" fontId="7" fillId="0" borderId="40" xfId="0" applyNumberFormat="1" applyFont="1" applyBorder="1" applyAlignment="1" applyProtection="1">
      <alignment horizontal="center"/>
      <protection/>
    </xf>
    <xf numFmtId="2" fontId="7" fillId="0" borderId="40" xfId="0" applyNumberFormat="1" applyFont="1" applyFill="1" applyBorder="1" applyAlignment="1" applyProtection="1" quotePrefix="1">
      <alignment horizontal="center"/>
      <protection/>
    </xf>
    <xf numFmtId="172" fontId="7" fillId="0" borderId="40" xfId="0" applyNumberFormat="1" applyFont="1" applyFill="1" applyBorder="1" applyAlignment="1" applyProtection="1" quotePrefix="1">
      <alignment horizontal="center"/>
      <protection/>
    </xf>
    <xf numFmtId="176" fontId="7" fillId="0" borderId="71" xfId="0" applyNumberFormat="1" applyFont="1" applyBorder="1" applyAlignment="1" applyProtection="1">
      <alignment horizontal="center"/>
      <protection/>
    </xf>
    <xf numFmtId="176" fontId="7" fillId="0" borderId="70" xfId="0" applyNumberFormat="1" applyFont="1" applyBorder="1" applyAlignment="1" applyProtection="1">
      <alignment horizontal="center"/>
      <protection/>
    </xf>
    <xf numFmtId="172" fontId="46" fillId="4" borderId="40" xfId="0" applyNumberFormat="1" applyFont="1" applyFill="1" applyBorder="1" applyAlignment="1" applyProtection="1">
      <alignment horizontal="center"/>
      <protection/>
    </xf>
    <xf numFmtId="2" fontId="79" fillId="11" borderId="40" xfId="0" applyNumberFormat="1" applyFont="1" applyFill="1" applyBorder="1" applyAlignment="1">
      <alignment horizontal="center"/>
    </xf>
    <xf numFmtId="176" fontId="66" fillId="6" borderId="41" xfId="0" applyNumberFormat="1" applyFont="1" applyFill="1" applyBorder="1" applyAlignment="1" applyProtection="1" quotePrefix="1">
      <alignment horizontal="center"/>
      <protection/>
    </xf>
    <xf numFmtId="176" fontId="66" fillId="6" borderId="42" xfId="0" applyNumberFormat="1" applyFont="1" applyFill="1" applyBorder="1" applyAlignment="1" applyProtection="1" quotePrefix="1">
      <alignment horizontal="center"/>
      <protection/>
    </xf>
    <xf numFmtId="176" fontId="45" fillId="3" borderId="40" xfId="0" applyNumberFormat="1" applyFont="1" applyFill="1" applyBorder="1" applyAlignment="1" applyProtection="1" quotePrefix="1">
      <alignment horizontal="center"/>
      <protection/>
    </xf>
    <xf numFmtId="176" fontId="7" fillId="0" borderId="40" xfId="0" applyNumberFormat="1" applyFont="1" applyBorder="1" applyAlignment="1">
      <alignment horizontal="center"/>
    </xf>
    <xf numFmtId="4" fontId="29" fillId="0" borderId="40" xfId="0" applyNumberFormat="1" applyFont="1" applyFill="1" applyBorder="1" applyAlignment="1">
      <alignment horizontal="right"/>
    </xf>
    <xf numFmtId="172" fontId="10" fillId="0" borderId="0" xfId="0" applyNumberFormat="1" applyFont="1" applyBorder="1" applyAlignment="1" applyProtection="1" quotePrefix="1">
      <alignment horizontal="center"/>
      <protection/>
    </xf>
    <xf numFmtId="0" fontId="10" fillId="0" borderId="0" xfId="0" applyFont="1" applyFill="1" applyBorder="1" applyAlignment="1">
      <alignment horizontal="centerContinuous"/>
    </xf>
    <xf numFmtId="172" fontId="10" fillId="0" borderId="0" xfId="0" applyNumberFormat="1" applyFont="1" applyBorder="1" applyAlignment="1" applyProtection="1">
      <alignment horizontal="center"/>
      <protection/>
    </xf>
    <xf numFmtId="172" fontId="27" fillId="0" borderId="14" xfId="0" applyNumberFormat="1" applyFont="1" applyBorder="1" applyAlignment="1" applyProtection="1">
      <alignment horizontal="center" vertical="center" wrapText="1"/>
      <protection/>
    </xf>
    <xf numFmtId="176" fontId="84" fillId="20" borderId="14" xfId="0" applyNumberFormat="1" applyFont="1" applyFill="1" applyBorder="1" applyAlignment="1" applyProtection="1">
      <alignment horizontal="center" vertical="center"/>
      <protection/>
    </xf>
    <xf numFmtId="0" fontId="60" fillId="4" borderId="14" xfId="0" applyFont="1" applyFill="1" applyBorder="1" applyAlignment="1" applyProtection="1">
      <alignment horizontal="center" vertical="center"/>
      <protection/>
    </xf>
    <xf numFmtId="0" fontId="64" fillId="6" borderId="14" xfId="0" applyFont="1" applyFill="1" applyBorder="1" applyAlignment="1">
      <alignment horizontal="center" vertical="center" wrapText="1"/>
    </xf>
    <xf numFmtId="0" fontId="50" fillId="21" borderId="8" xfId="0" applyFont="1" applyFill="1" applyBorder="1" applyAlignment="1">
      <alignment horizontal="centerContinuous" vertical="center" wrapText="1"/>
    </xf>
    <xf numFmtId="0" fontId="106" fillId="21" borderId="15" xfId="0" applyFont="1" applyFill="1" applyBorder="1" applyAlignment="1">
      <alignment horizontal="centerContinuous"/>
    </xf>
    <xf numFmtId="0" fontId="50" fillId="21" borderId="9" xfId="0" applyFont="1" applyFill="1" applyBorder="1" applyAlignment="1">
      <alignment horizontal="centerContinuous" vertical="center"/>
    </xf>
    <xf numFmtId="7" fontId="10" fillId="0" borderId="17" xfId="0" applyNumberFormat="1" applyFont="1" applyBorder="1" applyAlignment="1">
      <alignment/>
    </xf>
    <xf numFmtId="0" fontId="88" fillId="20" borderId="2" xfId="0" applyFont="1" applyFill="1" applyBorder="1" applyAlignment="1">
      <alignment/>
    </xf>
    <xf numFmtId="0" fontId="61" fillId="4" borderId="2" xfId="0" applyFont="1" applyFill="1" applyBorder="1" applyAlignment="1">
      <alignment/>
    </xf>
    <xf numFmtId="0" fontId="107" fillId="3" borderId="2" xfId="0" applyFont="1" applyFill="1" applyBorder="1" applyAlignment="1">
      <alignment/>
    </xf>
    <xf numFmtId="0" fontId="65" fillId="6" borderId="4" xfId="0" applyFont="1" applyFill="1" applyBorder="1" applyAlignment="1">
      <alignment/>
    </xf>
    <xf numFmtId="176" fontId="9" fillId="2" borderId="22" xfId="0" applyNumberFormat="1" applyFont="1" applyFill="1" applyBorder="1" applyAlignment="1" applyProtection="1" quotePrefix="1">
      <alignment horizontal="center"/>
      <protection/>
    </xf>
    <xf numFmtId="176" fontId="9" fillId="2" borderId="25" xfId="0" applyNumberFormat="1" applyFont="1" applyFill="1" applyBorder="1" applyAlignment="1" applyProtection="1" quotePrefix="1">
      <alignment horizontal="center"/>
      <protection/>
    </xf>
    <xf numFmtId="4" fontId="9" fillId="2" borderId="4" xfId="0" applyNumberFormat="1" applyFont="1" applyFill="1" applyBorder="1" applyAlignment="1" applyProtection="1">
      <alignment horizontal="center"/>
      <protection/>
    </xf>
    <xf numFmtId="176" fontId="108" fillId="21" borderId="22" xfId="0" applyNumberFormat="1" applyFont="1" applyFill="1" applyBorder="1" applyAlignment="1" applyProtection="1" quotePrefix="1">
      <alignment horizontal="center"/>
      <protection/>
    </xf>
    <xf numFmtId="176" fontId="108" fillId="21" borderId="25" xfId="0" applyNumberFormat="1" applyFont="1" applyFill="1" applyBorder="1" applyAlignment="1" applyProtection="1" quotePrefix="1">
      <alignment horizontal="center"/>
      <protection/>
    </xf>
    <xf numFmtId="4" fontId="108" fillId="21" borderId="4" xfId="0" applyNumberFormat="1" applyFont="1" applyFill="1" applyBorder="1" applyAlignment="1" applyProtection="1">
      <alignment horizontal="center"/>
      <protection/>
    </xf>
    <xf numFmtId="0" fontId="88" fillId="20" borderId="2" xfId="0" applyFont="1" applyFill="1" applyBorder="1" applyAlignment="1" applyProtection="1">
      <alignment horizontal="center"/>
      <protection/>
    </xf>
    <xf numFmtId="182" fontId="61" fillId="4" borderId="2" xfId="0" applyNumberFormat="1" applyFont="1" applyFill="1" applyBorder="1" applyAlignment="1" applyProtection="1">
      <alignment horizontal="center"/>
      <protection/>
    </xf>
    <xf numFmtId="22" fontId="7" fillId="0" borderId="4" xfId="0" applyNumberFormat="1" applyFont="1" applyFill="1" applyBorder="1" applyAlignment="1" applyProtection="1">
      <alignment horizontal="center"/>
      <protection locked="0"/>
    </xf>
    <xf numFmtId="22" fontId="7" fillId="0" borderId="24" xfId="0" applyNumberFormat="1" applyFont="1" applyFill="1" applyBorder="1" applyAlignment="1" applyProtection="1">
      <alignment horizontal="center"/>
      <protection locked="0"/>
    </xf>
    <xf numFmtId="2" fontId="48" fillId="3" borderId="2" xfId="0" applyNumberFormat="1" applyFont="1" applyFill="1" applyBorder="1" applyAlignment="1" applyProtection="1">
      <alignment horizontal="center"/>
      <protection locked="0"/>
    </xf>
    <xf numFmtId="2" fontId="66" fillId="6" borderId="4" xfId="0" applyNumberFormat="1" applyFont="1" applyFill="1" applyBorder="1" applyAlignment="1" applyProtection="1">
      <alignment horizontal="center"/>
      <protection locked="0"/>
    </xf>
    <xf numFmtId="176" fontId="51" fillId="21" borderId="22" xfId="0" applyNumberFormat="1" applyFont="1" applyFill="1" applyBorder="1" applyAlignment="1" applyProtection="1" quotePrefix="1">
      <alignment horizontal="center"/>
      <protection locked="0"/>
    </xf>
    <xf numFmtId="176" fontId="51" fillId="21" borderId="25" xfId="0" applyNumberFormat="1" applyFont="1" applyFill="1" applyBorder="1" applyAlignment="1" applyProtection="1" quotePrefix="1">
      <alignment horizontal="center"/>
      <protection locked="0"/>
    </xf>
    <xf numFmtId="4" fontId="51" fillId="21" borderId="4" xfId="0" applyNumberFormat="1" applyFont="1" applyFill="1" applyBorder="1" applyAlignment="1" applyProtection="1">
      <alignment horizontal="center"/>
      <protection locked="0"/>
    </xf>
    <xf numFmtId="4" fontId="9" fillId="0" borderId="2" xfId="0" applyNumberFormat="1" applyFont="1" applyBorder="1" applyAlignment="1" applyProtection="1">
      <alignment horizontal="center"/>
      <protection locked="0"/>
    </xf>
    <xf numFmtId="2" fontId="7" fillId="0" borderId="1" xfId="0" applyNumberFormat="1" applyFont="1" applyFill="1" applyBorder="1" applyAlignment="1">
      <alignment horizontal="center"/>
    </xf>
    <xf numFmtId="0" fontId="7" fillId="0" borderId="2" xfId="25" applyFont="1" applyFill="1" applyBorder="1" applyAlignment="1" applyProtection="1">
      <alignment horizontal="center"/>
      <protection locked="0"/>
    </xf>
    <xf numFmtId="172" fontId="7" fillId="0" borderId="2" xfId="25" applyNumberFormat="1" applyFont="1" applyFill="1" applyBorder="1" applyAlignment="1" applyProtection="1">
      <alignment horizontal="center"/>
      <protection locked="0"/>
    </xf>
    <xf numFmtId="22" fontId="7" fillId="0" borderId="4" xfId="25" applyNumberFormat="1" applyFont="1" applyFill="1" applyBorder="1" applyAlignment="1" applyProtection="1">
      <alignment horizontal="center"/>
      <protection locked="0"/>
    </xf>
    <xf numFmtId="22" fontId="7" fillId="0" borderId="21" xfId="25" applyNumberFormat="1" applyFont="1" applyFill="1" applyBorder="1" applyAlignment="1" applyProtection="1">
      <alignment horizontal="center"/>
      <protection locked="0"/>
    </xf>
    <xf numFmtId="0" fontId="88" fillId="20" borderId="3" xfId="0" applyFont="1" applyFill="1" applyBorder="1" applyAlignment="1" applyProtection="1">
      <alignment horizontal="center"/>
      <protection/>
    </xf>
    <xf numFmtId="182" fontId="61" fillId="4" borderId="3" xfId="0" applyNumberFormat="1" applyFont="1" applyFill="1" applyBorder="1" applyAlignment="1" applyProtection="1">
      <alignment horizontal="center"/>
      <protection/>
    </xf>
    <xf numFmtId="2" fontId="107" fillId="3" borderId="3" xfId="0" applyNumberFormat="1" applyFont="1" applyFill="1" applyBorder="1" applyAlignment="1" applyProtection="1">
      <alignment horizontal="center"/>
      <protection locked="0"/>
    </xf>
    <xf numFmtId="2" fontId="66" fillId="6" borderId="3" xfId="0" applyNumberFormat="1" applyFont="1" applyFill="1" applyBorder="1" applyAlignment="1" applyProtection="1">
      <alignment horizontal="center"/>
      <protection locked="0"/>
    </xf>
    <xf numFmtId="176" fontId="51" fillId="21" borderId="26" xfId="0" applyNumberFormat="1" applyFont="1" applyFill="1" applyBorder="1" applyAlignment="1" applyProtection="1" quotePrefix="1">
      <alignment horizontal="center"/>
      <protection locked="0"/>
    </xf>
    <xf numFmtId="176" fontId="51" fillId="21" borderId="27" xfId="0" applyNumberFormat="1" applyFont="1" applyFill="1" applyBorder="1" applyAlignment="1" applyProtection="1" quotePrefix="1">
      <alignment horizontal="center"/>
      <protection locked="0"/>
    </xf>
    <xf numFmtId="4" fontId="51" fillId="21" borderId="28" xfId="0" applyNumberFormat="1" applyFont="1" applyFill="1" applyBorder="1" applyAlignment="1" applyProtection="1">
      <alignment horizontal="center"/>
      <protection locked="0"/>
    </xf>
    <xf numFmtId="4" fontId="9" fillId="0" borderId="3" xfId="0" applyNumberFormat="1" applyFont="1" applyBorder="1" applyAlignment="1" applyProtection="1">
      <alignment horizontal="center"/>
      <protection locked="0"/>
    </xf>
    <xf numFmtId="2" fontId="48" fillId="3" borderId="14" xfId="0" applyNumberFormat="1" applyFont="1" applyFill="1" applyBorder="1" applyAlignment="1" applyProtection="1">
      <alignment horizontal="center"/>
      <protection/>
    </xf>
    <xf numFmtId="2" fontId="66" fillId="6" borderId="14" xfId="0" applyNumberFormat="1" applyFont="1" applyFill="1" applyBorder="1" applyAlignment="1" applyProtection="1">
      <alignment horizontal="center"/>
      <protection/>
    </xf>
    <xf numFmtId="2" fontId="37" fillId="2" borderId="14" xfId="0" applyNumberFormat="1" applyFont="1" applyFill="1" applyBorder="1" applyAlignment="1" applyProtection="1">
      <alignment horizontal="center"/>
      <protection/>
    </xf>
    <xf numFmtId="2" fontId="51" fillId="21" borderId="14" xfId="0" applyNumberFormat="1" applyFont="1" applyFill="1" applyBorder="1" applyAlignment="1" applyProtection="1">
      <alignment horizontal="center"/>
      <protection/>
    </xf>
    <xf numFmtId="0" fontId="22" fillId="0" borderId="13" xfId="0" applyFont="1" applyBorder="1" applyAlignment="1">
      <alignment/>
    </xf>
    <xf numFmtId="190" fontId="22" fillId="0" borderId="5" xfId="0" applyNumberFormat="1" applyFont="1" applyBorder="1" applyAlignment="1">
      <alignment/>
    </xf>
    <xf numFmtId="190" fontId="24" fillId="0" borderId="0" xfId="0" applyNumberFormat="1" applyFont="1" applyBorder="1" applyAlignment="1">
      <alignment horizontal="centerContinuous"/>
    </xf>
    <xf numFmtId="190" fontId="7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22" borderId="0" xfId="0" applyFont="1" applyFill="1" applyAlignment="1">
      <alignment/>
    </xf>
    <xf numFmtId="0" fontId="0" fillId="22" borderId="0" xfId="0" applyNumberFormat="1" applyFont="1" applyFill="1" applyAlignment="1">
      <alignment/>
    </xf>
    <xf numFmtId="0" fontId="0" fillId="22" borderId="0" xfId="22" applyFont="1" applyFill="1" applyAlignment="1">
      <alignment/>
      <protection/>
    </xf>
    <xf numFmtId="0" fontId="0" fillId="0" borderId="65" xfId="0" applyFont="1" applyBorder="1" applyAlignment="1">
      <alignment/>
    </xf>
    <xf numFmtId="0" fontId="0" fillId="2" borderId="65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88" fillId="0" borderId="17" xfId="0" applyFont="1" applyFill="1" applyBorder="1" applyAlignment="1">
      <alignment/>
    </xf>
    <xf numFmtId="0" fontId="61" fillId="0" borderId="17" xfId="0" applyFont="1" applyFill="1" applyBorder="1" applyAlignment="1">
      <alignment/>
    </xf>
    <xf numFmtId="0" fontId="107" fillId="0" borderId="17" xfId="0" applyFont="1" applyFill="1" applyBorder="1" applyAlignment="1">
      <alignment/>
    </xf>
    <xf numFmtId="0" fontId="65" fillId="0" borderId="17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7" fillId="0" borderId="72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0" fontId="108" fillId="0" borderId="33" xfId="0" applyFont="1" applyFill="1" applyBorder="1" applyAlignment="1">
      <alignment/>
    </xf>
    <xf numFmtId="0" fontId="108" fillId="0" borderId="72" xfId="0" applyFont="1" applyFill="1" applyBorder="1" applyAlignment="1">
      <alignment/>
    </xf>
    <xf numFmtId="0" fontId="108" fillId="0" borderId="34" xfId="0" applyFont="1" applyFill="1" applyBorder="1" applyAlignment="1">
      <alignment/>
    </xf>
    <xf numFmtId="0" fontId="70" fillId="0" borderId="17" xfId="0" applyFont="1" applyFill="1" applyBorder="1" applyAlignment="1">
      <alignment/>
    </xf>
    <xf numFmtId="0" fontId="71" fillId="0" borderId="17" xfId="0" applyFont="1" applyFill="1" applyBorder="1" applyAlignment="1">
      <alignment/>
    </xf>
    <xf numFmtId="0" fontId="0" fillId="0" borderId="65" xfId="0" applyFont="1" applyBorder="1" applyAlignment="1" quotePrefix="1">
      <alignment/>
    </xf>
    <xf numFmtId="22" fontId="7" fillId="0" borderId="17" xfId="0" applyNumberFormat="1" applyFont="1" applyFill="1" applyBorder="1" applyAlignment="1">
      <alignment/>
    </xf>
    <xf numFmtId="22" fontId="7" fillId="0" borderId="3" xfId="0" applyNumberFormat="1" applyFont="1" applyBorder="1" applyAlignment="1" applyProtection="1">
      <alignment horizontal="center"/>
      <protection locked="0"/>
    </xf>
    <xf numFmtId="0" fontId="15" fillId="0" borderId="0" xfId="0" applyFont="1" applyAlignment="1" quotePrefix="1">
      <alignment/>
    </xf>
    <xf numFmtId="0" fontId="39" fillId="0" borderId="65" xfId="0" applyFont="1" applyBorder="1" applyAlignment="1">
      <alignment/>
    </xf>
    <xf numFmtId="0" fontId="39" fillId="0" borderId="65" xfId="0" applyFont="1" applyFill="1" applyBorder="1" applyAlignment="1">
      <alignment/>
    </xf>
    <xf numFmtId="0" fontId="39" fillId="0" borderId="73" xfId="0" applyFont="1" applyBorder="1" applyAlignment="1">
      <alignment/>
    </xf>
    <xf numFmtId="178" fontId="7" fillId="0" borderId="3" xfId="0" applyNumberFormat="1" applyFont="1" applyBorder="1" applyAlignment="1" applyProtection="1">
      <alignment horizontal="center"/>
      <protection locked="0"/>
    </xf>
    <xf numFmtId="182" fontId="4" fillId="0" borderId="8" xfId="0" applyNumberFormat="1" applyFont="1" applyBorder="1" applyAlignment="1">
      <alignment horizontal="centerContinuous"/>
    </xf>
    <xf numFmtId="178" fontId="7" fillId="0" borderId="17" xfId="0" applyNumberFormat="1" applyFont="1" applyFill="1" applyBorder="1" applyAlignment="1">
      <alignment/>
    </xf>
    <xf numFmtId="178" fontId="7" fillId="0" borderId="2" xfId="0" applyNumberFormat="1" applyFont="1" applyBorder="1" applyAlignment="1">
      <alignment/>
    </xf>
    <xf numFmtId="178" fontId="7" fillId="0" borderId="2" xfId="0" applyNumberFormat="1" applyFont="1" applyFill="1" applyBorder="1" applyAlignment="1" applyProtection="1">
      <alignment horizontal="center"/>
      <protection locked="0"/>
    </xf>
    <xf numFmtId="178" fontId="7" fillId="0" borderId="2" xfId="25" applyNumberFormat="1" applyFont="1" applyFill="1" applyBorder="1" applyAlignment="1" applyProtection="1">
      <alignment horizontal="center"/>
      <protection locked="0"/>
    </xf>
    <xf numFmtId="178" fontId="7" fillId="0" borderId="2" xfId="0" applyNumberFormat="1" applyFont="1" applyBorder="1" applyAlignment="1" applyProtection="1">
      <alignment horizontal="center"/>
      <protection locked="0"/>
    </xf>
    <xf numFmtId="0" fontId="7" fillId="0" borderId="2" xfId="21" applyFont="1" applyBorder="1" applyAlignment="1" applyProtection="1">
      <alignment horizontal="center"/>
      <protection locked="0"/>
    </xf>
    <xf numFmtId="0" fontId="12" fillId="0" borderId="37" xfId="0" applyFont="1" applyBorder="1" applyAlignment="1" applyProtection="1">
      <alignment horizontal="center"/>
      <protection/>
    </xf>
    <xf numFmtId="0" fontId="0" fillId="2" borderId="65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172" fontId="0" fillId="0" borderId="14" xfId="0" applyNumberFormat="1" applyFont="1" applyFill="1" applyBorder="1" applyAlignment="1" applyProtection="1">
      <alignment horizontal="center"/>
      <protection/>
    </xf>
    <xf numFmtId="182" fontId="0" fillId="0" borderId="14" xfId="0" applyNumberFormat="1" applyFont="1" applyBorder="1" applyAlignment="1">
      <alignment horizontal="center"/>
    </xf>
    <xf numFmtId="172" fontId="0" fillId="0" borderId="14" xfId="0" applyNumberFormat="1" applyFont="1" applyBorder="1" applyAlignment="1" applyProtection="1">
      <alignment horizontal="center"/>
      <protection/>
    </xf>
    <xf numFmtId="0" fontId="109" fillId="0" borderId="65" xfId="0" applyFont="1" applyBorder="1" applyAlignment="1">
      <alignment/>
    </xf>
    <xf numFmtId="0" fontId="109" fillId="0" borderId="73" xfId="0" applyFont="1" applyBorder="1" applyAlignment="1">
      <alignment/>
    </xf>
    <xf numFmtId="0" fontId="110" fillId="0" borderId="65" xfId="0" applyFont="1" applyBorder="1" applyAlignment="1">
      <alignment/>
    </xf>
    <xf numFmtId="0" fontId="110" fillId="0" borderId="73" xfId="0" applyFont="1" applyBorder="1" applyAlignment="1">
      <alignment/>
    </xf>
    <xf numFmtId="0" fontId="111" fillId="0" borderId="65" xfId="0" applyFont="1" applyBorder="1" applyAlignment="1">
      <alignment/>
    </xf>
    <xf numFmtId="0" fontId="111" fillId="0" borderId="65" xfId="0" applyFont="1" applyFill="1" applyBorder="1" applyAlignment="1">
      <alignment/>
    </xf>
    <xf numFmtId="0" fontId="110" fillId="0" borderId="65" xfId="0" applyFont="1" applyFill="1" applyBorder="1" applyAlignment="1">
      <alignment/>
    </xf>
    <xf numFmtId="0" fontId="74" fillId="0" borderId="0" xfId="0" applyFont="1" applyBorder="1" applyAlignment="1">
      <alignment/>
    </xf>
    <xf numFmtId="0" fontId="112" fillId="0" borderId="0" xfId="0" applyFont="1" applyAlignment="1">
      <alignment/>
    </xf>
    <xf numFmtId="0" fontId="20" fillId="0" borderId="0" xfId="0" applyFont="1" applyBorder="1" applyAlignment="1">
      <alignment vertical="top"/>
    </xf>
    <xf numFmtId="0" fontId="20" fillId="0" borderId="0" xfId="0" applyFont="1" applyAlignment="1">
      <alignment vertical="top"/>
    </xf>
    <xf numFmtId="0" fontId="20" fillId="0" borderId="7" xfId="0" applyFont="1" applyBorder="1" applyAlignment="1">
      <alignment vertical="top"/>
    </xf>
    <xf numFmtId="0" fontId="20" fillId="0" borderId="1" xfId="0" applyFont="1" applyFill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7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1" xfId="0" applyFont="1" applyFill="1" applyBorder="1" applyAlignment="1">
      <alignment vertical="top"/>
    </xf>
    <xf numFmtId="0" fontId="20" fillId="0" borderId="0" xfId="0" applyFont="1" applyFill="1" applyAlignment="1">
      <alignment vertical="center"/>
    </xf>
    <xf numFmtId="0" fontId="20" fillId="0" borderId="7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1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top"/>
    </xf>
    <xf numFmtId="0" fontId="52" fillId="0" borderId="0" xfId="0" applyFont="1" applyFill="1" applyAlignment="1">
      <alignment vertical="top"/>
    </xf>
    <xf numFmtId="0" fontId="20" fillId="0" borderId="0" xfId="0" applyFont="1" applyFill="1" applyAlignment="1">
      <alignment vertical="top"/>
    </xf>
    <xf numFmtId="0" fontId="20" fillId="0" borderId="0" xfId="0" applyFont="1" applyFill="1" applyBorder="1" applyAlignment="1" applyProtection="1">
      <alignment vertical="top"/>
      <protection/>
    </xf>
    <xf numFmtId="0" fontId="20" fillId="0" borderId="1" xfId="0" applyFont="1" applyBorder="1" applyAlignment="1">
      <alignment vertical="top"/>
    </xf>
    <xf numFmtId="0" fontId="5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7" fillId="0" borderId="0" xfId="0" applyFont="1" applyFill="1" applyBorder="1" applyAlignment="1" applyProtection="1">
      <alignment vertical="top"/>
      <protection/>
    </xf>
    <xf numFmtId="0" fontId="26" fillId="0" borderId="0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20" fillId="0" borderId="7" xfId="0" applyFont="1" applyFill="1" applyBorder="1" applyAlignment="1">
      <alignment vertical="top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vertical="top"/>
    </xf>
    <xf numFmtId="0" fontId="7" fillId="0" borderId="7" xfId="0" applyFont="1" applyFill="1" applyBorder="1" applyAlignment="1">
      <alignment vertical="top"/>
    </xf>
    <xf numFmtId="0" fontId="11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0" fontId="0" fillId="0" borderId="0" xfId="0" applyFont="1" applyBorder="1" applyAlignment="1" applyProtection="1">
      <alignment horizontal="left"/>
      <protection/>
    </xf>
    <xf numFmtId="221" fontId="0" fillId="0" borderId="0" xfId="0" applyNumberFormat="1" applyFont="1" applyBorder="1" applyAlignment="1">
      <alignment horizontal="center"/>
    </xf>
    <xf numFmtId="176" fontId="9" fillId="0" borderId="16" xfId="0" applyNumberFormat="1" applyFont="1" applyFill="1" applyBorder="1" applyAlignment="1" applyProtection="1" quotePrefix="1">
      <alignment horizontal="center"/>
      <protection/>
    </xf>
    <xf numFmtId="176" fontId="7" fillId="0" borderId="16" xfId="0" applyNumberFormat="1" applyFont="1" applyFill="1" applyBorder="1" applyAlignment="1">
      <alignment horizontal="center"/>
    </xf>
    <xf numFmtId="0" fontId="43" fillId="23" borderId="14" xfId="0" applyFont="1" applyFill="1" applyBorder="1" applyAlignment="1">
      <alignment vertical="center" wrapText="1"/>
    </xf>
    <xf numFmtId="0" fontId="46" fillId="23" borderId="17" xfId="0" applyFont="1" applyFill="1" applyBorder="1" applyAlignment="1">
      <alignment horizontal="left"/>
    </xf>
    <xf numFmtId="2" fontId="45" fillId="23" borderId="2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172" fontId="7" fillId="0" borderId="16" xfId="0" applyNumberFormat="1" applyFont="1" applyFill="1" applyBorder="1" applyAlignment="1" applyProtection="1">
      <alignment horizontal="center"/>
      <protection/>
    </xf>
    <xf numFmtId="2" fontId="62" fillId="0" borderId="16" xfId="0" applyNumberFormat="1" applyFont="1" applyFill="1" applyBorder="1" applyAlignment="1">
      <alignment horizontal="center"/>
    </xf>
    <xf numFmtId="176" fontId="22" fillId="0" borderId="23" xfId="0" applyNumberFormat="1" applyFont="1" applyBorder="1" applyAlignment="1" applyProtection="1">
      <alignment horizontal="center"/>
      <protection/>
    </xf>
    <xf numFmtId="2" fontId="22" fillId="0" borderId="23" xfId="0" applyNumberFormat="1" applyFont="1" applyBorder="1" applyAlignment="1" applyProtection="1">
      <alignment horizontal="center"/>
      <protection/>
    </xf>
    <xf numFmtId="2" fontId="45" fillId="23" borderId="40" xfId="0" applyNumberFormat="1" applyFont="1" applyFill="1" applyBorder="1" applyAlignment="1">
      <alignment horizontal="center"/>
    </xf>
    <xf numFmtId="0" fontId="115" fillId="0" borderId="0" xfId="22" applyFont="1" applyFill="1" applyAlignment="1">
      <alignment/>
      <protection/>
    </xf>
    <xf numFmtId="176" fontId="79" fillId="11" borderId="39" xfId="0" applyNumberFormat="1" applyFont="1" applyFill="1" applyBorder="1" applyAlignment="1" applyProtection="1">
      <alignment horizontal="center"/>
      <protection/>
    </xf>
    <xf numFmtId="4" fontId="51" fillId="6" borderId="31" xfId="0" applyNumberFormat="1" applyFont="1" applyFill="1" applyBorder="1" applyAlignment="1">
      <alignment horizontal="center"/>
    </xf>
    <xf numFmtId="0" fontId="116" fillId="0" borderId="0" xfId="0" applyFont="1" applyAlignment="1">
      <alignment horizontal="right" vertical="top"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86" fillId="0" borderId="0" xfId="0" applyFont="1" applyAlignment="1">
      <alignment/>
    </xf>
    <xf numFmtId="0" fontId="117" fillId="0" borderId="0" xfId="0" applyFont="1" applyAlignment="1">
      <alignment horizontal="centerContinuous"/>
    </xf>
    <xf numFmtId="0" fontId="86" fillId="0" borderId="0" xfId="0" applyFont="1" applyAlignment="1">
      <alignment/>
    </xf>
    <xf numFmtId="0" fontId="117" fillId="0" borderId="0" xfId="0" applyFont="1" applyAlignment="1">
      <alignment/>
    </xf>
    <xf numFmtId="0" fontId="117" fillId="0" borderId="0" xfId="0" applyFont="1" applyAlignment="1">
      <alignment/>
    </xf>
    <xf numFmtId="0" fontId="22" fillId="0" borderId="13" xfId="0" applyFont="1" applyBorder="1" applyAlignment="1">
      <alignment horizontal="centerContinuous"/>
    </xf>
    <xf numFmtId="0" fontId="22" fillId="0" borderId="5" xfId="0" applyFont="1" applyBorder="1" applyAlignment="1">
      <alignment horizontal="centerContinuous"/>
    </xf>
    <xf numFmtId="0" fontId="22" fillId="0" borderId="6" xfId="0" applyFont="1" applyBorder="1" applyAlignment="1">
      <alignment horizontal="centerContinuous"/>
    </xf>
    <xf numFmtId="0" fontId="22" fillId="0" borderId="0" xfId="0" applyFont="1" applyBorder="1" applyAlignment="1">
      <alignment horizontal="centerContinuous"/>
    </xf>
    <xf numFmtId="0" fontId="22" fillId="0" borderId="1" xfId="0" applyFont="1" applyBorder="1" applyAlignment="1">
      <alignment/>
    </xf>
    <xf numFmtId="0" fontId="22" fillId="0" borderId="1" xfId="0" applyFont="1" applyBorder="1" applyAlignment="1">
      <alignment/>
    </xf>
    <xf numFmtId="17" fontId="27" fillId="0" borderId="14" xfId="0" applyNumberFormat="1" applyFont="1" applyBorder="1" applyAlignment="1">
      <alignment horizontal="center" vertical="center"/>
    </xf>
    <xf numFmtId="0" fontId="118" fillId="0" borderId="0" xfId="0" applyFont="1" applyAlignment="1">
      <alignment vertical="center"/>
    </xf>
    <xf numFmtId="0" fontId="118" fillId="0" borderId="7" xfId="0" applyFont="1" applyBorder="1" applyAlignment="1">
      <alignment vertical="center"/>
    </xf>
    <xf numFmtId="0" fontId="118" fillId="0" borderId="21" xfId="0" applyFont="1" applyBorder="1" applyAlignment="1">
      <alignment vertical="center"/>
    </xf>
    <xf numFmtId="0" fontId="118" fillId="0" borderId="2" xfId="0" applyFont="1" applyBorder="1" applyAlignment="1">
      <alignment vertical="center"/>
    </xf>
    <xf numFmtId="0" fontId="118" fillId="24" borderId="2" xfId="0" applyFont="1" applyFill="1" applyBorder="1" applyAlignment="1">
      <alignment vertical="center"/>
    </xf>
    <xf numFmtId="0" fontId="118" fillId="0" borderId="31" xfId="0" applyFont="1" applyBorder="1" applyAlignment="1">
      <alignment vertical="center"/>
    </xf>
    <xf numFmtId="0" fontId="118" fillId="0" borderId="1" xfId="0" applyFont="1" applyBorder="1" applyAlignment="1">
      <alignment vertical="center"/>
    </xf>
    <xf numFmtId="0" fontId="118" fillId="1" borderId="22" xfId="0" applyFont="1" applyFill="1" applyBorder="1" applyAlignment="1">
      <alignment horizontal="center" vertical="center"/>
    </xf>
    <xf numFmtId="0" fontId="118" fillId="1" borderId="2" xfId="0" applyFont="1" applyFill="1" applyBorder="1" applyAlignment="1">
      <alignment horizontal="center" vertical="center"/>
    </xf>
    <xf numFmtId="0" fontId="118" fillId="24" borderId="19" xfId="0" applyFont="1" applyFill="1" applyBorder="1" applyAlignment="1">
      <alignment horizontal="center" vertical="center"/>
    </xf>
    <xf numFmtId="0" fontId="118" fillId="0" borderId="46" xfId="0" applyFont="1" applyBorder="1" applyAlignment="1">
      <alignment vertical="center"/>
    </xf>
    <xf numFmtId="0" fontId="118" fillId="0" borderId="38" xfId="0" applyFont="1" applyBorder="1" applyAlignment="1">
      <alignment horizontal="center" vertical="center"/>
    </xf>
    <xf numFmtId="0" fontId="118" fillId="0" borderId="19" xfId="0" applyFont="1" applyBorder="1" applyAlignment="1">
      <alignment horizontal="center" vertical="center"/>
    </xf>
    <xf numFmtId="0" fontId="118" fillId="1" borderId="38" xfId="0" applyFont="1" applyFill="1" applyBorder="1" applyAlignment="1">
      <alignment horizontal="center" vertical="center"/>
    </xf>
    <xf numFmtId="0" fontId="118" fillId="1" borderId="19" xfId="0" applyFont="1" applyFill="1" applyBorder="1" applyAlignment="1">
      <alignment horizontal="center" vertical="center"/>
    </xf>
    <xf numFmtId="0" fontId="118" fillId="0" borderId="41" xfId="0" applyFont="1" applyBorder="1" applyAlignment="1">
      <alignment horizontal="center" vertical="center"/>
    </xf>
    <xf numFmtId="0" fontId="118" fillId="0" borderId="40" xfId="0" applyFont="1" applyBorder="1" applyAlignment="1">
      <alignment horizontal="center" vertical="center"/>
    </xf>
    <xf numFmtId="0" fontId="118" fillId="24" borderId="40" xfId="0" applyFont="1" applyFill="1" applyBorder="1" applyAlignment="1">
      <alignment horizontal="center" vertical="center"/>
    </xf>
    <xf numFmtId="0" fontId="118" fillId="0" borderId="0" xfId="0" applyFont="1" applyFill="1" applyBorder="1" applyAlignment="1">
      <alignment horizontal="center" vertical="center"/>
    </xf>
    <xf numFmtId="0" fontId="118" fillId="0" borderId="0" xfId="0" applyFont="1" applyFill="1" applyBorder="1" applyAlignment="1">
      <alignment vertical="center"/>
    </xf>
    <xf numFmtId="0" fontId="119" fillId="0" borderId="0" xfId="0" applyFont="1" applyFill="1" applyBorder="1" applyAlignment="1">
      <alignment horizontal="right" vertical="center"/>
    </xf>
    <xf numFmtId="178" fontId="119" fillId="0" borderId="14" xfId="0" applyNumberFormat="1" applyFont="1" applyFill="1" applyBorder="1" applyAlignment="1">
      <alignment horizontal="center" vertical="center"/>
    </xf>
    <xf numFmtId="0" fontId="118" fillId="0" borderId="8" xfId="0" applyFont="1" applyFill="1" applyBorder="1" applyAlignment="1">
      <alignment horizontal="center" vertical="center"/>
    </xf>
    <xf numFmtId="0" fontId="118" fillId="0" borderId="15" xfId="0" applyFont="1" applyFill="1" applyBorder="1" applyAlignment="1">
      <alignment horizontal="center" vertical="center"/>
    </xf>
    <xf numFmtId="0" fontId="118" fillId="0" borderId="0" xfId="0" applyFont="1" applyBorder="1" applyAlignment="1">
      <alignment horizontal="center" vertical="center"/>
    </xf>
    <xf numFmtId="0" fontId="118" fillId="0" borderId="0" xfId="0" applyFont="1" applyBorder="1" applyAlignment="1">
      <alignment vertical="center"/>
    </xf>
    <xf numFmtId="0" fontId="118" fillId="0" borderId="0" xfId="0" applyFont="1" applyBorder="1" applyAlignment="1">
      <alignment horizontal="right" vertical="center"/>
    </xf>
    <xf numFmtId="0" fontId="119" fillId="0" borderId="0" xfId="0" applyFont="1" applyBorder="1" applyAlignment="1">
      <alignment horizontal="right" vertical="center"/>
    </xf>
    <xf numFmtId="0" fontId="118" fillId="0" borderId="14" xfId="0" applyFont="1" applyBorder="1" applyAlignment="1">
      <alignment horizontal="center" vertical="center"/>
    </xf>
    <xf numFmtId="2" fontId="119" fillId="24" borderId="14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0" xfId="24" applyFont="1" applyBorder="1" applyAlignment="1">
      <alignment horizontal="left" vertical="center"/>
      <protection/>
    </xf>
    <xf numFmtId="0" fontId="7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120" fillId="24" borderId="60" xfId="0" applyFont="1" applyFill="1" applyBorder="1" applyAlignment="1" applyProtection="1">
      <alignment horizontal="right"/>
      <protection/>
    </xf>
    <xf numFmtId="0" fontId="7" fillId="0" borderId="15" xfId="0" applyFont="1" applyBorder="1" applyAlignment="1">
      <alignment horizontal="center"/>
    </xf>
    <xf numFmtId="2" fontId="25" fillId="0" borderId="15" xfId="0" applyNumberFormat="1" applyFont="1" applyBorder="1" applyAlignment="1">
      <alignment horizontal="center"/>
    </xf>
    <xf numFmtId="0" fontId="22" fillId="0" borderId="15" xfId="0" applyFont="1" applyBorder="1" applyAlignment="1">
      <alignment/>
    </xf>
    <xf numFmtId="0" fontId="0" fillId="0" borderId="9" xfId="0" applyBorder="1" applyAlignment="1">
      <alignment/>
    </xf>
    <xf numFmtId="0" fontId="22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Border="1" applyAlignment="1">
      <alignment horizontal="center"/>
    </xf>
    <xf numFmtId="182" fontId="7" fillId="0" borderId="0" xfId="0" applyNumberFormat="1" applyFont="1" applyBorder="1" applyAlignment="1">
      <alignment horizontal="center"/>
    </xf>
    <xf numFmtId="173" fontId="7" fillId="0" borderId="2" xfId="0" applyNumberFormat="1" applyFont="1" applyBorder="1" applyAlignment="1" applyProtection="1">
      <alignment horizontal="center"/>
      <protection locked="0"/>
    </xf>
    <xf numFmtId="0" fontId="32" fillId="0" borderId="0" xfId="0" applyFont="1" applyAlignment="1">
      <alignment/>
    </xf>
    <xf numFmtId="0" fontId="32" fillId="0" borderId="7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34" fillId="0" borderId="0" xfId="0" applyFont="1" applyBorder="1" applyAlignment="1" applyProtection="1">
      <alignment horizontal="left" vertical="top"/>
      <protection/>
    </xf>
    <xf numFmtId="172" fontId="121" fillId="0" borderId="0" xfId="0" applyNumberFormat="1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/>
      <protection/>
    </xf>
    <xf numFmtId="173" fontId="32" fillId="0" borderId="0" xfId="0" applyNumberFormat="1" applyFont="1" applyBorder="1" applyAlignment="1" applyProtection="1">
      <alignment horizontal="center"/>
      <protection/>
    </xf>
    <xf numFmtId="176" fontId="32" fillId="0" borderId="0" xfId="0" applyNumberFormat="1" applyFont="1" applyBorder="1" applyAlignment="1" applyProtection="1">
      <alignment horizontal="center"/>
      <protection/>
    </xf>
    <xf numFmtId="181" fontId="32" fillId="0" borderId="0" xfId="0" applyNumberFormat="1" applyFont="1" applyBorder="1" applyAlignment="1" applyProtection="1" quotePrefix="1">
      <alignment horizontal="center"/>
      <protection/>
    </xf>
    <xf numFmtId="2" fontId="122" fillId="0" borderId="0" xfId="0" applyNumberFormat="1" applyFont="1" applyBorder="1" applyAlignment="1" applyProtection="1">
      <alignment horizontal="center"/>
      <protection/>
    </xf>
    <xf numFmtId="7" fontId="123" fillId="0" borderId="0" xfId="0" applyNumberFormat="1" applyFont="1" applyFill="1" applyBorder="1" applyAlignment="1" applyProtection="1">
      <alignment horizontal="right"/>
      <protection/>
    </xf>
    <xf numFmtId="4" fontId="32" fillId="0" borderId="1" xfId="0" applyNumberFormat="1" applyFont="1" applyFill="1" applyBorder="1" applyAlignment="1">
      <alignment horizontal="center"/>
    </xf>
    <xf numFmtId="0" fontId="25" fillId="0" borderId="0" xfId="0" applyNumberFormat="1" applyFont="1" applyBorder="1" applyAlignment="1">
      <alignment horizontal="left"/>
    </xf>
    <xf numFmtId="7" fontId="10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 applyProtection="1">
      <alignment horizontal="right"/>
      <protection/>
    </xf>
    <xf numFmtId="0" fontId="0" fillId="0" borderId="0" xfId="0" applyAlignment="1">
      <alignment horizontal="center"/>
    </xf>
    <xf numFmtId="6" fontId="10" fillId="0" borderId="0" xfId="19" applyFont="1" applyBorder="1" applyAlignment="1">
      <alignment horizontal="center"/>
    </xf>
    <xf numFmtId="172" fontId="10" fillId="0" borderId="0" xfId="0" applyNumberFormat="1" applyFont="1" applyBorder="1" applyAlignment="1" applyProtection="1">
      <alignment horizontal="left"/>
      <protection/>
    </xf>
    <xf numFmtId="0" fontId="112" fillId="0" borderId="0" xfId="0" applyFont="1" applyBorder="1" applyAlignment="1">
      <alignment horizontal="right"/>
    </xf>
    <xf numFmtId="176" fontId="112" fillId="0" borderId="0" xfId="0" applyNumberFormat="1" applyFont="1" applyBorder="1" applyAlignment="1" applyProtection="1">
      <alignment horizontal="center"/>
      <protection/>
    </xf>
    <xf numFmtId="176" fontId="112" fillId="0" borderId="0" xfId="0" applyNumberFormat="1" applyFont="1" applyBorder="1" applyAlignment="1" applyProtection="1">
      <alignment horizontal="left"/>
      <protection/>
    </xf>
    <xf numFmtId="0" fontId="0" fillId="0" borderId="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3" fontId="7" fillId="0" borderId="51" xfId="0" applyNumberFormat="1" applyFont="1" applyBorder="1" applyAlignment="1" applyProtection="1">
      <alignment horizontal="center"/>
      <protection/>
    </xf>
    <xf numFmtId="173" fontId="7" fillId="0" borderId="37" xfId="0" applyNumberFormat="1" applyFont="1" applyBorder="1" applyAlignment="1" applyProtection="1">
      <alignment horizontal="center"/>
      <protection/>
    </xf>
    <xf numFmtId="172" fontId="7" fillId="0" borderId="70" xfId="0" applyNumberFormat="1" applyFont="1" applyBorder="1" applyAlignment="1" applyProtection="1">
      <alignment horizontal="center"/>
      <protection/>
    </xf>
    <xf numFmtId="172" fontId="7" fillId="0" borderId="71" xfId="0" applyNumberFormat="1" applyFont="1" applyBorder="1" applyAlignment="1" applyProtection="1">
      <alignment horizontal="center"/>
      <protection/>
    </xf>
    <xf numFmtId="172" fontId="7" fillId="0" borderId="51" xfId="0" applyNumberFormat="1" applyFont="1" applyBorder="1" applyAlignment="1" applyProtection="1">
      <alignment horizontal="center"/>
      <protection/>
    </xf>
    <xf numFmtId="172" fontId="7" fillId="0" borderId="37" xfId="0" applyNumberFormat="1" applyFont="1" applyBorder="1" applyAlignment="1" applyProtection="1">
      <alignment horizontal="center"/>
      <protection/>
    </xf>
    <xf numFmtId="0" fontId="27" fillId="0" borderId="8" xfId="0" applyFont="1" applyFill="1" applyBorder="1" applyAlignment="1" applyProtection="1" quotePrefix="1">
      <alignment horizontal="center" vertical="center" wrapText="1"/>
      <protection/>
    </xf>
    <xf numFmtId="0" fontId="27" fillId="0" borderId="9" xfId="0" applyFont="1" applyFill="1" applyBorder="1" applyAlignment="1" applyProtection="1" quotePrefix="1">
      <alignment horizontal="center" vertical="center" wrapText="1"/>
      <protection/>
    </xf>
    <xf numFmtId="0" fontId="7" fillId="0" borderId="54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12" fillId="0" borderId="51" xfId="0" applyFont="1" applyBorder="1" applyAlignment="1" applyProtection="1">
      <alignment horizontal="center"/>
      <protection/>
    </xf>
    <xf numFmtId="0" fontId="12" fillId="0" borderId="37" xfId="0" applyFont="1" applyBorder="1" applyAlignment="1" applyProtection="1">
      <alignment horizontal="center"/>
      <protection/>
    </xf>
    <xf numFmtId="7" fontId="10" fillId="0" borderId="47" xfId="0" applyNumberFormat="1" applyFont="1" applyFill="1" applyBorder="1" applyAlignment="1">
      <alignment horizontal="center"/>
    </xf>
    <xf numFmtId="7" fontId="10" fillId="0" borderId="0" xfId="0" applyNumberFormat="1" applyFont="1" applyFill="1" applyBorder="1" applyAlignment="1">
      <alignment horizontal="center"/>
    </xf>
    <xf numFmtId="0" fontId="12" fillId="0" borderId="70" xfId="0" applyFont="1" applyBorder="1" applyAlignment="1" applyProtection="1">
      <alignment horizontal="center"/>
      <protection/>
    </xf>
    <xf numFmtId="0" fontId="12" fillId="0" borderId="71" xfId="0" applyFont="1" applyBorder="1" applyAlignment="1" applyProtection="1">
      <alignment horizontal="center"/>
      <protection/>
    </xf>
    <xf numFmtId="0" fontId="27" fillId="0" borderId="8" xfId="0" applyFont="1" applyBorder="1" applyAlignment="1" applyProtection="1">
      <alignment horizontal="center" vertical="center"/>
      <protection/>
    </xf>
    <xf numFmtId="0" fontId="27" fillId="0" borderId="9" xfId="0" applyFont="1" applyBorder="1" applyAlignment="1" applyProtection="1">
      <alignment horizontal="center" vertical="center"/>
      <protection/>
    </xf>
    <xf numFmtId="0" fontId="27" fillId="0" borderId="15" xfId="0" applyFont="1" applyBorder="1" applyAlignment="1" applyProtection="1">
      <alignment horizontal="center" vertical="center"/>
      <protection/>
    </xf>
  </cellXfs>
  <cellStyles count="13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A0101 ANEXO I NEA" xfId="21"/>
    <cellStyle name="Normal_Comahue" xfId="22"/>
    <cellStyle name="Normal_EDENOR9604" xfId="23"/>
    <cellStyle name="Normal_líneas" xfId="24"/>
    <cellStyle name="Normal_TRANS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0</xdr:col>
      <xdr:colOff>1009650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47625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942975</xdr:colOff>
      <xdr:row>0</xdr:row>
      <xdr:rowOff>0</xdr:rowOff>
    </xdr:from>
    <xdr:to>
      <xdr:col>1</xdr:col>
      <xdr:colOff>57150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942975</xdr:colOff>
      <xdr:row>0</xdr:row>
      <xdr:rowOff>0</xdr:rowOff>
    </xdr:from>
    <xdr:to>
      <xdr:col>1</xdr:col>
      <xdr:colOff>57150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942975</xdr:colOff>
      <xdr:row>0</xdr:row>
      <xdr:rowOff>0</xdr:rowOff>
    </xdr:from>
    <xdr:to>
      <xdr:col>1</xdr:col>
      <xdr:colOff>57150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942975</xdr:colOff>
      <xdr:row>0</xdr:row>
      <xdr:rowOff>0</xdr:rowOff>
    </xdr:from>
    <xdr:to>
      <xdr:col>1</xdr:col>
      <xdr:colOff>57150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0</xdr:rowOff>
    </xdr:from>
    <xdr:to>
      <xdr:col>1</xdr:col>
      <xdr:colOff>123825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0</xdr:row>
      <xdr:rowOff>0</xdr:rowOff>
    </xdr:from>
    <xdr:to>
      <xdr:col>1</xdr:col>
      <xdr:colOff>238125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0"/>
          <a:ext cx="4667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942975</xdr:colOff>
      <xdr:row>0</xdr:row>
      <xdr:rowOff>0</xdr:rowOff>
    </xdr:from>
    <xdr:to>
      <xdr:col>1</xdr:col>
      <xdr:colOff>57150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0</xdr:row>
      <xdr:rowOff>9525</xdr:rowOff>
    </xdr:from>
    <xdr:to>
      <xdr:col>0</xdr:col>
      <xdr:colOff>1228725</xdr:colOff>
      <xdr:row>2</xdr:row>
      <xdr:rowOff>361950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9525"/>
          <a:ext cx="504825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11</xdr:col>
      <xdr:colOff>47625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72475" y="3267075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876300</xdr:colOff>
      <xdr:row>0</xdr:row>
      <xdr:rowOff>9525</xdr:rowOff>
    </xdr:from>
    <xdr:to>
      <xdr:col>0</xdr:col>
      <xdr:colOff>1381125</xdr:colOff>
      <xdr:row>2</xdr:row>
      <xdr:rowOff>371475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9525"/>
          <a:ext cx="5048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8</xdr:col>
      <xdr:colOff>9525</xdr:colOff>
      <xdr:row>14</xdr:row>
      <xdr:rowOff>0</xdr:rowOff>
    </xdr:from>
    <xdr:to>
      <xdr:col>10</xdr:col>
      <xdr:colOff>57150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39375" y="3267075"/>
          <a:ext cx="267652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876300</xdr:colOff>
      <xdr:row>0</xdr:row>
      <xdr:rowOff>9525</xdr:rowOff>
    </xdr:from>
    <xdr:to>
      <xdr:col>0</xdr:col>
      <xdr:colOff>1381125</xdr:colOff>
      <xdr:row>2</xdr:row>
      <xdr:rowOff>371475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9525"/>
          <a:ext cx="5048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8</xdr:col>
      <xdr:colOff>9525</xdr:colOff>
      <xdr:row>14</xdr:row>
      <xdr:rowOff>0</xdr:rowOff>
    </xdr:from>
    <xdr:to>
      <xdr:col>10</xdr:col>
      <xdr:colOff>57150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34600" y="3267075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  <xdr:twoCellAnchor editAs="oneCell">
    <xdr:from>
      <xdr:col>0</xdr:col>
      <xdr:colOff>876300</xdr:colOff>
      <xdr:row>0</xdr:row>
      <xdr:rowOff>9525</xdr:rowOff>
    </xdr:from>
    <xdr:to>
      <xdr:col>0</xdr:col>
      <xdr:colOff>1381125</xdr:colOff>
      <xdr:row>2</xdr:row>
      <xdr:rowOff>371475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9525"/>
          <a:ext cx="5048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800100</xdr:colOff>
      <xdr:row>0</xdr:row>
      <xdr:rowOff>0</xdr:rowOff>
    </xdr:from>
    <xdr:to>
      <xdr:col>1</xdr:col>
      <xdr:colOff>266700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5143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676275</xdr:colOff>
      <xdr:row>0</xdr:row>
      <xdr:rowOff>47625</xdr:rowOff>
    </xdr:from>
    <xdr:to>
      <xdr:col>1</xdr:col>
      <xdr:colOff>114300</xdr:colOff>
      <xdr:row>1</xdr:row>
      <xdr:rowOff>314325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7625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800100</xdr:colOff>
      <xdr:row>0</xdr:row>
      <xdr:rowOff>0</xdr:rowOff>
    </xdr:from>
    <xdr:to>
      <xdr:col>1</xdr:col>
      <xdr:colOff>266700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5143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800100</xdr:colOff>
      <xdr:row>0</xdr:row>
      <xdr:rowOff>0</xdr:rowOff>
    </xdr:from>
    <xdr:to>
      <xdr:col>1</xdr:col>
      <xdr:colOff>266700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5143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0</xdr:row>
      <xdr:rowOff>0</xdr:rowOff>
    </xdr:from>
    <xdr:to>
      <xdr:col>1</xdr:col>
      <xdr:colOff>238125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0"/>
          <a:ext cx="4667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0</xdr:row>
      <xdr:rowOff>0</xdr:rowOff>
    </xdr:from>
    <xdr:to>
      <xdr:col>1</xdr:col>
      <xdr:colOff>238125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0"/>
          <a:ext cx="4667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0</xdr:row>
      <xdr:rowOff>0</xdr:rowOff>
    </xdr:from>
    <xdr:to>
      <xdr:col>1</xdr:col>
      <xdr:colOff>238125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0"/>
          <a:ext cx="4667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0</xdr:rowOff>
    </xdr:from>
    <xdr:to>
      <xdr:col>1</xdr:col>
      <xdr:colOff>123825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0</xdr:rowOff>
    </xdr:from>
    <xdr:to>
      <xdr:col>1</xdr:col>
      <xdr:colOff>123825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P-TRANSENER\TBASE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tasa"/>
      <sheetName val="FM-ATENTADOS"/>
    </sheetNames>
    <sheetDataSet>
      <sheetData sheetId="0">
        <row r="17">
          <cell r="C17">
            <v>1</v>
          </cell>
          <cell r="D17" t="str">
            <v>ABASTO - OLAVARRIA 1</v>
          </cell>
          <cell r="E17">
            <v>500</v>
          </cell>
          <cell r="F17">
            <v>291</v>
          </cell>
          <cell r="G17" t="str">
            <v>B</v>
          </cell>
        </row>
        <row r="18">
          <cell r="C18">
            <v>2</v>
          </cell>
          <cell r="D18" t="str">
            <v>ABASTO - OLAVARRIA 2</v>
          </cell>
          <cell r="E18">
            <v>500</v>
          </cell>
          <cell r="F18">
            <v>301.9</v>
          </cell>
        </row>
        <row r="19">
          <cell r="C19">
            <v>3</v>
          </cell>
          <cell r="D19" t="str">
            <v>AGUA DEL CAJON - CHOCON OESTE</v>
          </cell>
          <cell r="E19">
            <v>500</v>
          </cell>
          <cell r="F19">
            <v>52</v>
          </cell>
        </row>
        <row r="20">
          <cell r="C20">
            <v>4</v>
          </cell>
          <cell r="D20" t="str">
            <v>ALICURA - E.T. P.del A. 1 (5LG1)</v>
          </cell>
          <cell r="E20">
            <v>500</v>
          </cell>
          <cell r="F20">
            <v>76</v>
          </cell>
          <cell r="G20" t="str">
            <v>C</v>
          </cell>
          <cell r="FT20">
            <v>1</v>
          </cell>
        </row>
        <row r="21">
          <cell r="C21">
            <v>5</v>
          </cell>
          <cell r="D21" t="str">
            <v>ALICURA - E.T. P.del A. 2 (5LG2)</v>
          </cell>
          <cell r="E21">
            <v>500</v>
          </cell>
          <cell r="F21">
            <v>76</v>
          </cell>
          <cell r="G21" t="str">
            <v>C</v>
          </cell>
        </row>
        <row r="22">
          <cell r="C22">
            <v>6</v>
          </cell>
          <cell r="D22" t="str">
            <v>ALMAFUERTE - EMBALSE </v>
          </cell>
          <cell r="E22">
            <v>500</v>
          </cell>
          <cell r="F22">
            <v>12</v>
          </cell>
          <cell r="G22" t="str">
            <v>A</v>
          </cell>
        </row>
        <row r="23">
          <cell r="C23">
            <v>7</v>
          </cell>
          <cell r="D23" t="str">
            <v> ALMAFUERTE - ROSARIO OESTE</v>
          </cell>
          <cell r="E23">
            <v>500</v>
          </cell>
          <cell r="F23">
            <v>345</v>
          </cell>
          <cell r="G23" t="str">
            <v>B</v>
          </cell>
          <cell r="GA23">
            <v>1</v>
          </cell>
        </row>
        <row r="24">
          <cell r="C24">
            <v>8</v>
          </cell>
          <cell r="D24" t="str">
            <v>BAHIA BLANCA - CHOELE CHOEL 1</v>
          </cell>
          <cell r="E24">
            <v>500</v>
          </cell>
          <cell r="F24">
            <v>346</v>
          </cell>
          <cell r="G24" t="str">
            <v>B</v>
          </cell>
          <cell r="FS24">
            <v>1</v>
          </cell>
          <cell r="GC24">
            <v>1</v>
          </cell>
        </row>
        <row r="25">
          <cell r="C25">
            <v>9</v>
          </cell>
          <cell r="D25" t="str">
            <v>BAHIA BLANCA - CHOELE CHOEL 2</v>
          </cell>
          <cell r="E25">
            <v>500</v>
          </cell>
          <cell r="F25">
            <v>348.4</v>
          </cell>
        </row>
        <row r="26">
          <cell r="C26">
            <v>10</v>
          </cell>
          <cell r="D26" t="str">
            <v>CERR. de la CTA - P.BAND. (A3)</v>
          </cell>
          <cell r="E26">
            <v>500</v>
          </cell>
          <cell r="F26">
            <v>27</v>
          </cell>
          <cell r="G26" t="str">
            <v>C</v>
          </cell>
          <cell r="FS26">
            <v>2</v>
          </cell>
          <cell r="FX26">
            <v>2</v>
          </cell>
          <cell r="GA26">
            <v>1</v>
          </cell>
        </row>
        <row r="27">
          <cell r="C27">
            <v>11</v>
          </cell>
          <cell r="D27" t="str">
            <v>COLONIA ELIA - CAMPANA</v>
          </cell>
          <cell r="E27">
            <v>500</v>
          </cell>
          <cell r="F27">
            <v>194</v>
          </cell>
          <cell r="G27" t="str">
            <v>C</v>
          </cell>
        </row>
        <row r="28">
          <cell r="C28">
            <v>12</v>
          </cell>
          <cell r="D28" t="str">
            <v>CHO. W. - CHOELE CHOEL (5WH1)</v>
          </cell>
          <cell r="E28">
            <v>500</v>
          </cell>
          <cell r="F28">
            <v>269</v>
          </cell>
          <cell r="G28" t="str">
            <v>B</v>
          </cell>
        </row>
        <row r="29">
          <cell r="C29">
            <v>13</v>
          </cell>
          <cell r="D29" t="str">
            <v>CHO.W. - CHO. 1 (5WC1)</v>
          </cell>
          <cell r="E29">
            <v>500</v>
          </cell>
          <cell r="F29">
            <v>4.5</v>
          </cell>
          <cell r="G29" t="str">
            <v>C</v>
          </cell>
        </row>
        <row r="30">
          <cell r="C30">
            <v>14</v>
          </cell>
          <cell r="D30" t="str">
            <v>CHO.W. - CHO. 2 (5WC2)</v>
          </cell>
          <cell r="E30">
            <v>500</v>
          </cell>
          <cell r="F30">
            <v>4.5</v>
          </cell>
          <cell r="G30" t="str">
            <v>C</v>
          </cell>
        </row>
        <row r="31">
          <cell r="C31">
            <v>15</v>
          </cell>
          <cell r="D31" t="str">
            <v>CHOCON - C.H. CHOCON 1</v>
          </cell>
          <cell r="E31">
            <v>500</v>
          </cell>
          <cell r="F31">
            <v>3</v>
          </cell>
          <cell r="G31" t="str">
            <v>C</v>
          </cell>
        </row>
        <row r="32">
          <cell r="C32">
            <v>16</v>
          </cell>
          <cell r="D32" t="str">
            <v>CHOCON - C.H. CHOCON 2</v>
          </cell>
          <cell r="E32">
            <v>500</v>
          </cell>
          <cell r="F32">
            <v>3</v>
          </cell>
          <cell r="G32" t="str">
            <v>C</v>
          </cell>
        </row>
        <row r="33">
          <cell r="C33">
            <v>17</v>
          </cell>
          <cell r="D33" t="str">
            <v>CHOCON - C.H. CHOCON 3</v>
          </cell>
          <cell r="E33">
            <v>500</v>
          </cell>
          <cell r="F33">
            <v>3</v>
          </cell>
          <cell r="G33" t="str">
            <v>C</v>
          </cell>
          <cell r="FX33">
            <v>1</v>
          </cell>
        </row>
        <row r="34">
          <cell r="C34">
            <v>18</v>
          </cell>
          <cell r="D34" t="str">
            <v>CHOCON - PUELCHES 1</v>
          </cell>
          <cell r="E34">
            <v>500</v>
          </cell>
          <cell r="F34">
            <v>304</v>
          </cell>
          <cell r="G34" t="str">
            <v>A</v>
          </cell>
          <cell r="GC34">
            <v>2</v>
          </cell>
        </row>
        <row r="35">
          <cell r="C35">
            <v>19</v>
          </cell>
          <cell r="D35" t="str">
            <v>CHOCON - PUELCHES 2</v>
          </cell>
          <cell r="E35">
            <v>500</v>
          </cell>
          <cell r="F35">
            <v>304</v>
          </cell>
          <cell r="G35" t="str">
            <v>A</v>
          </cell>
          <cell r="FW35">
            <v>1</v>
          </cell>
        </row>
        <row r="36">
          <cell r="C36">
            <v>20</v>
          </cell>
          <cell r="D36" t="str">
            <v>E.T.P.del AGUILA - CENTRAL P.del A. 1</v>
          </cell>
          <cell r="E36">
            <v>500</v>
          </cell>
          <cell r="F36">
            <v>5.6</v>
          </cell>
          <cell r="G36" t="str">
            <v>C</v>
          </cell>
        </row>
        <row r="37">
          <cell r="C37">
            <v>21</v>
          </cell>
          <cell r="D37" t="str">
            <v>E.T.P.del AGUILA - CENTRAL P.del A. 2</v>
          </cell>
          <cell r="E37">
            <v>500</v>
          </cell>
          <cell r="F37">
            <v>5.6</v>
          </cell>
          <cell r="G37" t="str">
            <v>C</v>
          </cell>
        </row>
        <row r="38">
          <cell r="C38">
            <v>22</v>
          </cell>
          <cell r="D38" t="str">
            <v>EL BRACHO - RECREO(5)</v>
          </cell>
          <cell r="E38">
            <v>500</v>
          </cell>
          <cell r="F38">
            <v>255</v>
          </cell>
          <cell r="G38" t="str">
            <v>C</v>
          </cell>
        </row>
        <row r="39">
          <cell r="C39">
            <v>23</v>
          </cell>
          <cell r="D39" t="str">
            <v>EZEIZA - ABASTO 1</v>
          </cell>
          <cell r="E39">
            <v>500</v>
          </cell>
          <cell r="F39">
            <v>58</v>
          </cell>
          <cell r="G39" t="str">
            <v>C</v>
          </cell>
        </row>
        <row r="40">
          <cell r="C40">
            <v>24</v>
          </cell>
          <cell r="D40" t="str">
            <v>EZEIZA - ABASTO 2</v>
          </cell>
          <cell r="E40">
            <v>500</v>
          </cell>
          <cell r="F40">
            <v>58</v>
          </cell>
          <cell r="G40" t="str">
            <v>C</v>
          </cell>
        </row>
        <row r="41">
          <cell r="C41">
            <v>25</v>
          </cell>
          <cell r="D41" t="str">
            <v>EZEIZA - RODRIGUEZ 1</v>
          </cell>
          <cell r="E41">
            <v>500</v>
          </cell>
          <cell r="F41">
            <v>53</v>
          </cell>
          <cell r="G41" t="str">
            <v>C</v>
          </cell>
        </row>
        <row r="42">
          <cell r="C42">
            <v>26</v>
          </cell>
          <cell r="D42" t="str">
            <v>EZEIZA - RODRIGUEZ 2</v>
          </cell>
          <cell r="E42">
            <v>500</v>
          </cell>
          <cell r="F42">
            <v>53</v>
          </cell>
          <cell r="G42" t="str">
            <v>C</v>
          </cell>
        </row>
        <row r="43">
          <cell r="C43">
            <v>27</v>
          </cell>
          <cell r="D43" t="str">
            <v>EZEIZA- HENDERSON 1</v>
          </cell>
          <cell r="E43">
            <v>500</v>
          </cell>
          <cell r="F43">
            <v>313</v>
          </cell>
          <cell r="G43" t="str">
            <v>A</v>
          </cell>
          <cell r="GB43">
            <v>1</v>
          </cell>
          <cell r="GC43">
            <v>1</v>
          </cell>
        </row>
        <row r="44">
          <cell r="C44">
            <v>28</v>
          </cell>
          <cell r="D44" t="str">
            <v>EZEIZA - HENDERSON 2</v>
          </cell>
          <cell r="E44">
            <v>500</v>
          </cell>
          <cell r="F44">
            <v>313</v>
          </cell>
          <cell r="G44" t="str">
            <v>A</v>
          </cell>
          <cell r="GB44">
            <v>2</v>
          </cell>
        </row>
        <row r="45">
          <cell r="C45">
            <v>29</v>
          </cell>
          <cell r="D45" t="str">
            <v>GRAL. RODRIGUEZ - CAMPANA </v>
          </cell>
          <cell r="E45">
            <v>500</v>
          </cell>
          <cell r="F45">
            <v>42</v>
          </cell>
          <cell r="G45" t="str">
            <v>B</v>
          </cell>
          <cell r="GB45">
            <v>1</v>
          </cell>
        </row>
        <row r="46">
          <cell r="C46">
            <v>30</v>
          </cell>
          <cell r="D46" t="str">
            <v>GRAL. RODRIGUEZ- ROSARIO OESTE </v>
          </cell>
          <cell r="E46">
            <v>500</v>
          </cell>
          <cell r="F46">
            <v>258</v>
          </cell>
          <cell r="G46" t="str">
            <v>C</v>
          </cell>
          <cell r="FS46" t="str">
            <v>XXXX</v>
          </cell>
          <cell r="FT46" t="str">
            <v>XXXX</v>
          </cell>
          <cell r="FU46" t="str">
            <v>XXXX</v>
          </cell>
          <cell r="FV46" t="str">
            <v>XXXX</v>
          </cell>
          <cell r="FW46" t="str">
            <v>XXXX</v>
          </cell>
          <cell r="FX46" t="str">
            <v>XXXX</v>
          </cell>
          <cell r="FY46" t="str">
            <v>XXXX</v>
          </cell>
          <cell r="FZ46" t="str">
            <v>XXXX</v>
          </cell>
          <cell r="GA46" t="str">
            <v>XXXX</v>
          </cell>
          <cell r="GB46" t="str">
            <v>XXXX</v>
          </cell>
          <cell r="GC46" t="str">
            <v>XXXX</v>
          </cell>
          <cell r="GD46" t="str">
            <v>XXXX</v>
          </cell>
        </row>
        <row r="47">
          <cell r="C47">
            <v>31</v>
          </cell>
          <cell r="D47" t="str">
            <v>MALVINAS ARG. - ALMAFUERTE </v>
          </cell>
          <cell r="E47">
            <v>500</v>
          </cell>
          <cell r="F47">
            <v>105</v>
          </cell>
          <cell r="G47" t="str">
            <v>B</v>
          </cell>
        </row>
        <row r="48">
          <cell r="C48">
            <v>32</v>
          </cell>
          <cell r="D48" t="str">
            <v>OLAVARRIA - BAHIA BLANCA 1</v>
          </cell>
          <cell r="E48">
            <v>500</v>
          </cell>
          <cell r="F48">
            <v>255</v>
          </cell>
          <cell r="G48" t="str">
            <v>B</v>
          </cell>
          <cell r="FY48">
            <v>1</v>
          </cell>
        </row>
        <row r="49">
          <cell r="C49">
            <v>33</v>
          </cell>
          <cell r="D49" t="str">
            <v>OLAVARRIA - BAHIA BLANCA 2</v>
          </cell>
          <cell r="E49">
            <v>500</v>
          </cell>
          <cell r="F49">
            <v>254.8</v>
          </cell>
        </row>
        <row r="50">
          <cell r="C50">
            <v>34</v>
          </cell>
          <cell r="D50" t="str">
            <v>P.del AGUILA  - CHOELE CHOEL</v>
          </cell>
          <cell r="E50">
            <v>500</v>
          </cell>
          <cell r="F50">
            <v>386.7</v>
          </cell>
        </row>
        <row r="51">
          <cell r="C51">
            <v>35</v>
          </cell>
          <cell r="D51" t="str">
            <v>P.del AGUILA  - CHO. W. 1 (5GW1)</v>
          </cell>
          <cell r="E51">
            <v>500</v>
          </cell>
          <cell r="F51">
            <v>165</v>
          </cell>
          <cell r="G51" t="str">
            <v>A</v>
          </cell>
          <cell r="FS51">
            <v>1</v>
          </cell>
        </row>
        <row r="52">
          <cell r="C52">
            <v>36</v>
          </cell>
          <cell r="D52" t="str">
            <v>P.del AGUILA  - CHO. W. 2 (5GW2)</v>
          </cell>
          <cell r="E52">
            <v>500</v>
          </cell>
          <cell r="F52">
            <v>170</v>
          </cell>
          <cell r="G52" t="str">
            <v>A</v>
          </cell>
        </row>
        <row r="53">
          <cell r="C53">
            <v>37</v>
          </cell>
          <cell r="D53" t="str">
            <v>PUELCHES - HENDERSON 1 (B1)</v>
          </cell>
          <cell r="E53">
            <v>500</v>
          </cell>
          <cell r="F53">
            <v>421</v>
          </cell>
          <cell r="G53" t="str">
            <v>A</v>
          </cell>
          <cell r="FY53">
            <v>1</v>
          </cell>
        </row>
        <row r="54">
          <cell r="C54">
            <v>38</v>
          </cell>
          <cell r="D54" t="str">
            <v>PUELCHES - HENDERSON 2 (B2)</v>
          </cell>
          <cell r="E54">
            <v>500</v>
          </cell>
          <cell r="F54">
            <v>421</v>
          </cell>
          <cell r="G54" t="str">
            <v>A</v>
          </cell>
          <cell r="FS54" t="str">
            <v>XXXX</v>
          </cell>
          <cell r="FT54" t="str">
            <v>XXXX</v>
          </cell>
          <cell r="FU54" t="str">
            <v>XXXX</v>
          </cell>
          <cell r="FV54" t="str">
            <v>XXXX</v>
          </cell>
          <cell r="FW54" t="str">
            <v>XXXX</v>
          </cell>
          <cell r="FX54" t="str">
            <v>XXXX</v>
          </cell>
          <cell r="FY54" t="str">
            <v>XXXX</v>
          </cell>
          <cell r="FZ54" t="str">
            <v>XXXX</v>
          </cell>
          <cell r="GA54" t="str">
            <v>XXXX</v>
          </cell>
          <cell r="GB54" t="str">
            <v>XXXX</v>
          </cell>
          <cell r="GC54" t="str">
            <v>XXXX</v>
          </cell>
          <cell r="GD54" t="str">
            <v>XXXX</v>
          </cell>
        </row>
        <row r="55">
          <cell r="C55">
            <v>39</v>
          </cell>
          <cell r="D55" t="str">
            <v>RECREO - MALVINAS ARG. </v>
          </cell>
          <cell r="E55">
            <v>500</v>
          </cell>
          <cell r="F55">
            <v>259</v>
          </cell>
          <cell r="G55" t="str">
            <v>C</v>
          </cell>
        </row>
        <row r="56">
          <cell r="C56">
            <v>40</v>
          </cell>
          <cell r="D56" t="str">
            <v>RIO GRANDE - EMBALSE</v>
          </cell>
          <cell r="E56">
            <v>500</v>
          </cell>
          <cell r="F56">
            <v>30</v>
          </cell>
          <cell r="G56" t="str">
            <v>B</v>
          </cell>
          <cell r="GD56">
            <v>1</v>
          </cell>
        </row>
        <row r="57">
          <cell r="C57">
            <v>41</v>
          </cell>
          <cell r="D57" t="str">
            <v>RIO GRANDE - GRAN MENDOZA</v>
          </cell>
          <cell r="E57">
            <v>500</v>
          </cell>
          <cell r="F57">
            <v>407</v>
          </cell>
          <cell r="G57" t="str">
            <v>B</v>
          </cell>
          <cell r="FS57" t="str">
            <v>XXXX</v>
          </cell>
          <cell r="FT57" t="str">
            <v>XXXX</v>
          </cell>
          <cell r="FU57" t="str">
            <v>XXXX</v>
          </cell>
          <cell r="FV57" t="str">
            <v>XXXX</v>
          </cell>
          <cell r="FW57" t="str">
            <v>XXXX</v>
          </cell>
          <cell r="FX57" t="str">
            <v>XXXX</v>
          </cell>
          <cell r="FY57" t="str">
            <v>XXXX</v>
          </cell>
          <cell r="FZ57" t="str">
            <v>XXXX</v>
          </cell>
          <cell r="GA57" t="str">
            <v>XXXX</v>
          </cell>
          <cell r="GB57" t="str">
            <v>XXXX</v>
          </cell>
          <cell r="GC57" t="str">
            <v>XXXX</v>
          </cell>
          <cell r="GD57" t="str">
            <v>XXXX</v>
          </cell>
        </row>
        <row r="58">
          <cell r="C58">
            <v>42</v>
          </cell>
          <cell r="D58" t="str">
            <v>RIO GRANDE - LUJAN</v>
          </cell>
          <cell r="E58">
            <v>500</v>
          </cell>
          <cell r="F58">
            <v>150</v>
          </cell>
          <cell r="G58" t="str">
            <v>A</v>
          </cell>
        </row>
        <row r="59">
          <cell r="C59">
            <v>43</v>
          </cell>
          <cell r="D59" t="str">
            <v>LUJAN - GRAN MENDOZA</v>
          </cell>
          <cell r="E59">
            <v>500</v>
          </cell>
          <cell r="F59">
            <v>257</v>
          </cell>
          <cell r="G59" t="str">
            <v>B</v>
          </cell>
        </row>
        <row r="60">
          <cell r="C60">
            <v>44</v>
          </cell>
          <cell r="D60" t="str">
            <v>ROMANG - RESISTENCIA</v>
          </cell>
          <cell r="E60">
            <v>500</v>
          </cell>
          <cell r="F60">
            <v>256</v>
          </cell>
          <cell r="G60" t="str">
            <v>A</v>
          </cell>
          <cell r="GA60">
            <v>1</v>
          </cell>
          <cell r="GB60">
            <v>1</v>
          </cell>
          <cell r="GD60">
            <v>1</v>
          </cell>
        </row>
        <row r="61">
          <cell r="C61">
            <v>45</v>
          </cell>
          <cell r="D61" t="str">
            <v>ROSARIO OESTE -SANTO TOME</v>
          </cell>
          <cell r="E61">
            <v>500</v>
          </cell>
          <cell r="F61">
            <v>159</v>
          </cell>
          <cell r="G61" t="str">
            <v>C</v>
          </cell>
          <cell r="FT61">
            <v>1</v>
          </cell>
          <cell r="FU61">
            <v>1</v>
          </cell>
          <cell r="FV61">
            <v>1</v>
          </cell>
          <cell r="GB61">
            <v>1</v>
          </cell>
        </row>
        <row r="62">
          <cell r="C62">
            <v>46</v>
          </cell>
          <cell r="D62" t="str">
            <v>SALTO GRANDE - SANTO TOME </v>
          </cell>
          <cell r="E62">
            <v>500</v>
          </cell>
          <cell r="F62">
            <v>289</v>
          </cell>
          <cell r="G62" t="str">
            <v>C</v>
          </cell>
          <cell r="GA62">
            <v>1</v>
          </cell>
        </row>
        <row r="63">
          <cell r="C63">
            <v>47</v>
          </cell>
          <cell r="D63" t="str">
            <v>SANTO TOME - ROMANG </v>
          </cell>
          <cell r="E63">
            <v>500</v>
          </cell>
          <cell r="F63">
            <v>270</v>
          </cell>
          <cell r="G63" t="str">
            <v>A</v>
          </cell>
        </row>
        <row r="65">
          <cell r="C65">
            <v>48</v>
          </cell>
          <cell r="D65" t="str">
            <v>GRAL. RODRIGUEZ - VILLA  LIA 1</v>
          </cell>
          <cell r="E65">
            <v>220</v>
          </cell>
          <cell r="F65">
            <v>61</v>
          </cell>
          <cell r="G65" t="str">
            <v>C</v>
          </cell>
          <cell r="FT65">
            <v>1</v>
          </cell>
          <cell r="FV65">
            <v>1</v>
          </cell>
          <cell r="FX65">
            <v>1</v>
          </cell>
          <cell r="GD65">
            <v>1</v>
          </cell>
        </row>
        <row r="66">
          <cell r="C66">
            <v>49</v>
          </cell>
          <cell r="D66" t="str">
            <v>GRAL. RODRIGUEZ - VILLA  LIA 2</v>
          </cell>
          <cell r="E66">
            <v>220</v>
          </cell>
          <cell r="F66">
            <v>61</v>
          </cell>
          <cell r="G66" t="str">
            <v>C</v>
          </cell>
        </row>
        <row r="67">
          <cell r="C67">
            <v>50</v>
          </cell>
          <cell r="D67" t="str">
            <v>RAMALLO - SAN NICOLAS (2)</v>
          </cell>
          <cell r="E67">
            <v>220</v>
          </cell>
          <cell r="F67">
            <v>6</v>
          </cell>
          <cell r="G67" t="str">
            <v>C</v>
          </cell>
        </row>
        <row r="68">
          <cell r="C68">
            <v>51</v>
          </cell>
          <cell r="D68" t="str">
            <v>RAMALLO - SAN NICOLAS (1)</v>
          </cell>
          <cell r="E68">
            <v>220</v>
          </cell>
          <cell r="F68">
            <v>6</v>
          </cell>
          <cell r="G68" t="str">
            <v>C</v>
          </cell>
        </row>
        <row r="69">
          <cell r="C69">
            <v>52</v>
          </cell>
          <cell r="D69" t="str">
            <v>RAMALLO - VILLA LIA  1</v>
          </cell>
          <cell r="E69">
            <v>220</v>
          </cell>
          <cell r="F69">
            <v>114</v>
          </cell>
          <cell r="G69" t="str">
            <v>C</v>
          </cell>
          <cell r="GA69">
            <v>1</v>
          </cell>
          <cell r="GD69">
            <v>2</v>
          </cell>
        </row>
        <row r="70">
          <cell r="C70">
            <v>53</v>
          </cell>
          <cell r="D70" t="str">
            <v>RAMALLO - VILLA LIA  2</v>
          </cell>
          <cell r="E70">
            <v>220</v>
          </cell>
          <cell r="F70">
            <v>114</v>
          </cell>
          <cell r="G70" t="str">
            <v>C</v>
          </cell>
          <cell r="FX70">
            <v>1</v>
          </cell>
        </row>
        <row r="71">
          <cell r="C71">
            <v>54</v>
          </cell>
          <cell r="D71" t="str">
            <v>ROSARIO OESTE - RAMALLO  1</v>
          </cell>
          <cell r="E71">
            <v>220</v>
          </cell>
          <cell r="F71">
            <v>77</v>
          </cell>
          <cell r="G71" t="str">
            <v>C</v>
          </cell>
        </row>
        <row r="72">
          <cell r="C72">
            <v>55</v>
          </cell>
          <cell r="D72" t="str">
            <v>ROSARIO OESTE - RAMALLO  2</v>
          </cell>
          <cell r="E72">
            <v>220</v>
          </cell>
          <cell r="F72">
            <v>77</v>
          </cell>
          <cell r="G72" t="str">
            <v>C</v>
          </cell>
        </row>
        <row r="73">
          <cell r="C73">
            <v>56</v>
          </cell>
          <cell r="D73" t="str">
            <v>VILLA LIA - ATUCHA 1</v>
          </cell>
          <cell r="E73">
            <v>220</v>
          </cell>
          <cell r="F73">
            <v>26</v>
          </cell>
          <cell r="G73" t="str">
            <v>C</v>
          </cell>
          <cell r="FX73">
            <v>2</v>
          </cell>
          <cell r="GD73">
            <v>1</v>
          </cell>
        </row>
        <row r="74">
          <cell r="C74">
            <v>57</v>
          </cell>
          <cell r="D74" t="str">
            <v>VILLA LIA - ATUCHA 2</v>
          </cell>
          <cell r="E74">
            <v>220</v>
          </cell>
          <cell r="F74">
            <v>26</v>
          </cell>
          <cell r="G74" t="str">
            <v>C</v>
          </cell>
          <cell r="FX74">
            <v>1</v>
          </cell>
        </row>
        <row r="76">
          <cell r="C76">
            <v>58</v>
          </cell>
          <cell r="D76" t="str">
            <v>GRAL RODRIGUEZ - RAMALLO</v>
          </cell>
          <cell r="E76">
            <v>500</v>
          </cell>
          <cell r="F76">
            <v>183.9</v>
          </cell>
          <cell r="G76" t="str">
            <v>C</v>
          </cell>
          <cell r="GC76">
            <v>1</v>
          </cell>
        </row>
        <row r="77">
          <cell r="C77">
            <v>59</v>
          </cell>
          <cell r="D77" t="str">
            <v>RAMALLO - ROSARIO OESTE</v>
          </cell>
          <cell r="E77">
            <v>500</v>
          </cell>
          <cell r="F77">
            <v>77</v>
          </cell>
          <cell r="G77" t="str">
            <v>C</v>
          </cell>
        </row>
        <row r="78">
          <cell r="C78">
            <v>60</v>
          </cell>
          <cell r="D78" t="str">
            <v>MACACHIN - HENDERSON</v>
          </cell>
          <cell r="E78">
            <v>500</v>
          </cell>
          <cell r="F78">
            <v>194</v>
          </cell>
          <cell r="G78" t="str">
            <v>A</v>
          </cell>
        </row>
        <row r="79">
          <cell r="C79">
            <v>61</v>
          </cell>
          <cell r="D79" t="str">
            <v>PUELCHES - MACACHIN</v>
          </cell>
          <cell r="E79">
            <v>500</v>
          </cell>
          <cell r="F79">
            <v>227</v>
          </cell>
          <cell r="G79" t="str">
            <v>A</v>
          </cell>
          <cell r="GC79">
            <v>1</v>
          </cell>
        </row>
        <row r="82">
          <cell r="C82">
            <v>62</v>
          </cell>
          <cell r="D82" t="str">
            <v>YACYRETÁ - RINCON I</v>
          </cell>
          <cell r="E82">
            <v>500</v>
          </cell>
          <cell r="F82">
            <v>3.6</v>
          </cell>
          <cell r="G82" t="str">
            <v>B</v>
          </cell>
        </row>
        <row r="83">
          <cell r="C83">
            <v>63</v>
          </cell>
          <cell r="D83" t="str">
            <v>YACYRETÁ - RINCON II</v>
          </cell>
          <cell r="E83">
            <v>500</v>
          </cell>
          <cell r="F83">
            <v>3.6</v>
          </cell>
          <cell r="G83" t="str">
            <v>B</v>
          </cell>
        </row>
        <row r="84">
          <cell r="C84">
            <v>64</v>
          </cell>
          <cell r="D84" t="str">
            <v>YACYRETÁ - RINCON III</v>
          </cell>
          <cell r="E84">
            <v>500</v>
          </cell>
          <cell r="F84">
            <v>3.6</v>
          </cell>
          <cell r="G84" t="str">
            <v>B</v>
          </cell>
        </row>
        <row r="85">
          <cell r="C85">
            <v>65</v>
          </cell>
          <cell r="D85" t="str">
            <v>RINCON - PASO DE LA PATRIA</v>
          </cell>
          <cell r="E85">
            <v>500</v>
          </cell>
          <cell r="F85">
            <v>227</v>
          </cell>
          <cell r="G85" t="str">
            <v>A</v>
          </cell>
        </row>
        <row r="86">
          <cell r="C86">
            <v>66</v>
          </cell>
          <cell r="D86" t="str">
            <v>PASO DE LA PATRIA - RESISTENCIA</v>
          </cell>
          <cell r="E86">
            <v>500</v>
          </cell>
          <cell r="F86">
            <v>40</v>
          </cell>
          <cell r="G86" t="str">
            <v>C</v>
          </cell>
        </row>
        <row r="87">
          <cell r="C87">
            <v>67</v>
          </cell>
          <cell r="D87" t="str">
            <v>RINCON - RESISTENCIA</v>
          </cell>
          <cell r="E87">
            <v>500</v>
          </cell>
          <cell r="F87">
            <v>267</v>
          </cell>
          <cell r="G87" t="str">
            <v>B</v>
          </cell>
          <cell r="FS87" t="str">
            <v>XXXX</v>
          </cell>
          <cell r="FT87" t="str">
            <v>XXXX</v>
          </cell>
          <cell r="FU87" t="str">
            <v>XXXX</v>
          </cell>
          <cell r="FV87" t="str">
            <v>XXXX</v>
          </cell>
          <cell r="FW87" t="str">
            <v>XXXX</v>
          </cell>
          <cell r="FX87" t="str">
            <v>XXXX</v>
          </cell>
          <cell r="FY87" t="str">
            <v>XXXX</v>
          </cell>
          <cell r="FZ87" t="str">
            <v>XXXX</v>
          </cell>
          <cell r="GA87" t="str">
            <v>XXXX</v>
          </cell>
          <cell r="GB87" t="str">
            <v>XXXX</v>
          </cell>
          <cell r="GC87" t="str">
            <v>XXXX</v>
          </cell>
          <cell r="GD87" t="str">
            <v>XXXX</v>
          </cell>
        </row>
        <row r="89">
          <cell r="C89">
            <v>68</v>
          </cell>
          <cell r="D89" t="str">
            <v>RINCON - SALTO GRANDE</v>
          </cell>
          <cell r="E89">
            <v>500</v>
          </cell>
          <cell r="F89">
            <v>506</v>
          </cell>
          <cell r="G89" t="str">
            <v>A</v>
          </cell>
        </row>
        <row r="90">
          <cell r="C90">
            <v>69</v>
          </cell>
          <cell r="D90" t="str">
            <v>RINCON - SAN ISIDRO</v>
          </cell>
          <cell r="E90">
            <v>500</v>
          </cell>
          <cell r="F90">
            <v>85</v>
          </cell>
          <cell r="G90" t="str">
            <v>C</v>
          </cell>
        </row>
        <row r="100">
          <cell r="FS100">
            <v>0.38</v>
          </cell>
          <cell r="FT100">
            <v>0.37</v>
          </cell>
          <cell r="FU100">
            <v>0.35</v>
          </cell>
          <cell r="FV100">
            <v>0.34</v>
          </cell>
          <cell r="FW100">
            <v>0.36</v>
          </cell>
          <cell r="FX100">
            <v>0.33</v>
          </cell>
          <cell r="FY100">
            <v>0.38</v>
          </cell>
          <cell r="FZ100">
            <v>0.36</v>
          </cell>
          <cell r="GA100">
            <v>0.35</v>
          </cell>
          <cell r="GB100">
            <v>0.35</v>
          </cell>
          <cell r="GC100">
            <v>0.37</v>
          </cell>
          <cell r="GD100">
            <v>0.43</v>
          </cell>
          <cell r="GE100">
            <v>0.46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S60"/>
  <sheetViews>
    <sheetView tabSelected="1" zoomScale="75" zoomScaleNormal="75" workbookViewId="0" topLeftCell="A1">
      <selection activeCell="F1" sqref="F1"/>
    </sheetView>
  </sheetViews>
  <sheetFormatPr defaultColWidth="11.421875" defaultRowHeight="12.75"/>
  <cols>
    <col min="1" max="1" width="22.7109375" style="5" customWidth="1"/>
    <col min="2" max="2" width="7.7109375" style="5" customWidth="1"/>
    <col min="3" max="3" width="9.140625" style="5" customWidth="1"/>
    <col min="4" max="4" width="10.7109375" style="5" customWidth="1"/>
    <col min="5" max="5" width="9.57421875" style="5" customWidth="1"/>
    <col min="6" max="6" width="17.00390625" style="5" customWidth="1"/>
    <col min="7" max="7" width="19.8515625" style="5" customWidth="1"/>
    <col min="8" max="8" width="16.57421875" style="5" customWidth="1"/>
    <col min="9" max="9" width="17.421875" style="5" customWidth="1"/>
    <col min="10" max="10" width="12.28125" style="5" customWidth="1"/>
    <col min="11" max="11" width="15.7109375" style="5" customWidth="1"/>
    <col min="12" max="13" width="11.421875" style="5" customWidth="1"/>
    <col min="14" max="14" width="14.140625" style="5" customWidth="1"/>
    <col min="15" max="15" width="11.421875" style="5" customWidth="1"/>
    <col min="16" max="16" width="14.7109375" style="5" customWidth="1"/>
    <col min="17" max="17" width="11.421875" style="5" customWidth="1"/>
    <col min="18" max="18" width="12.00390625" style="5" customWidth="1"/>
    <col min="19" max="16384" width="11.421875" style="5" customWidth="1"/>
  </cols>
  <sheetData>
    <row r="1" spans="1:11" s="18" customFormat="1" ht="26.25">
      <c r="A1" s="909"/>
      <c r="B1" s="19"/>
      <c r="E1" s="54"/>
      <c r="K1" s="146"/>
    </row>
    <row r="2" spans="2:10" s="18" customFormat="1" ht="26.25">
      <c r="B2" s="19" t="s">
        <v>407</v>
      </c>
      <c r="C2" s="20"/>
      <c r="D2" s="21"/>
      <c r="E2" s="21"/>
      <c r="F2" s="21"/>
      <c r="G2" s="21"/>
      <c r="H2" s="21"/>
      <c r="I2" s="21"/>
      <c r="J2" s="21"/>
    </row>
    <row r="3" spans="3:19" ht="12.75">
      <c r="C3"/>
      <c r="D3" s="22"/>
      <c r="E3" s="22"/>
      <c r="F3" s="22"/>
      <c r="G3" s="22"/>
      <c r="H3" s="22"/>
      <c r="I3" s="22"/>
      <c r="J3" s="22"/>
      <c r="P3" s="4"/>
      <c r="Q3" s="4"/>
      <c r="R3" s="4"/>
      <c r="S3" s="4"/>
    </row>
    <row r="4" spans="1:19" s="25" customFormat="1" ht="11.25">
      <c r="A4" s="23" t="s">
        <v>2</v>
      </c>
      <c r="B4" s="24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s="25" customFormat="1" ht="11.25">
      <c r="A5" s="23" t="s">
        <v>3</v>
      </c>
      <c r="B5" s="24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2:19" s="18" customFormat="1" ht="11.25" customHeight="1">
      <c r="B6" s="27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2:19" s="29" customFormat="1" ht="21">
      <c r="B7" s="83" t="s">
        <v>63</v>
      </c>
      <c r="C7" s="173"/>
      <c r="D7" s="174"/>
      <c r="E7" s="174"/>
      <c r="F7" s="175"/>
      <c r="G7" s="175"/>
      <c r="H7" s="175"/>
      <c r="I7" s="175"/>
      <c r="J7" s="175"/>
      <c r="K7" s="30"/>
      <c r="L7" s="30"/>
      <c r="M7" s="30"/>
      <c r="N7" s="30"/>
      <c r="O7" s="30"/>
      <c r="P7" s="30"/>
      <c r="Q7" s="30"/>
      <c r="R7" s="30"/>
      <c r="S7" s="30"/>
    </row>
    <row r="8" spans="9:19" ht="12.75"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2:19" s="29" customFormat="1" ht="21">
      <c r="B9" s="83" t="s">
        <v>62</v>
      </c>
      <c r="C9" s="173"/>
      <c r="D9" s="174"/>
      <c r="E9" s="174"/>
      <c r="F9" s="174"/>
      <c r="G9" s="174"/>
      <c r="H9" s="174"/>
      <c r="I9" s="175"/>
      <c r="J9" s="175"/>
      <c r="K9" s="30"/>
      <c r="L9" s="30"/>
      <c r="M9" s="30"/>
      <c r="N9" s="30"/>
      <c r="O9" s="30"/>
      <c r="P9" s="30"/>
      <c r="Q9" s="30"/>
      <c r="R9" s="30"/>
      <c r="S9" s="30"/>
    </row>
    <row r="10" spans="4:19" ht="12.75">
      <c r="D10" s="31"/>
      <c r="E10" s="31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2:19" s="29" customFormat="1" ht="20.25">
      <c r="B11" s="83" t="s">
        <v>402</v>
      </c>
      <c r="C11" s="176"/>
      <c r="D11" s="177"/>
      <c r="E11" s="177"/>
      <c r="F11" s="174"/>
      <c r="G11" s="174"/>
      <c r="H11" s="174"/>
      <c r="I11" s="175"/>
      <c r="J11" s="175"/>
      <c r="K11" s="30"/>
      <c r="L11" s="30"/>
      <c r="M11" s="30"/>
      <c r="N11" s="30"/>
      <c r="O11" s="30"/>
      <c r="P11" s="30"/>
      <c r="Q11" s="30"/>
      <c r="R11" s="30"/>
      <c r="S11" s="30"/>
    </row>
    <row r="12" spans="4:19" s="32" customFormat="1" ht="16.5" thickBot="1">
      <c r="D12" s="3"/>
      <c r="E12" s="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</row>
    <row r="13" spans="2:19" s="32" customFormat="1" ht="16.5" thickTop="1">
      <c r="B13" s="882"/>
      <c r="C13" s="34"/>
      <c r="D13" s="34"/>
      <c r="E13" s="883"/>
      <c r="F13" s="34"/>
      <c r="G13" s="34"/>
      <c r="H13" s="34"/>
      <c r="I13" s="34"/>
      <c r="J13" s="35"/>
      <c r="K13" s="33"/>
      <c r="L13" s="33"/>
      <c r="M13" s="33"/>
      <c r="N13" s="33"/>
      <c r="O13" s="33"/>
      <c r="P13" s="33"/>
      <c r="Q13" s="33"/>
      <c r="R13" s="33"/>
      <c r="S13" s="33"/>
    </row>
    <row r="14" spans="2:19" s="36" customFormat="1" ht="19.5">
      <c r="B14" s="37" t="s">
        <v>277</v>
      </c>
      <c r="C14" s="38"/>
      <c r="D14" s="39"/>
      <c r="E14" s="884"/>
      <c r="F14" s="40"/>
      <c r="G14" s="40"/>
      <c r="H14" s="40"/>
      <c r="I14" s="41"/>
      <c r="J14" s="42"/>
      <c r="K14" s="43"/>
      <c r="L14" s="43"/>
      <c r="M14" s="43"/>
      <c r="N14" s="43"/>
      <c r="O14" s="43"/>
      <c r="P14" s="43"/>
      <c r="Q14" s="43"/>
      <c r="R14" s="43"/>
      <c r="S14" s="43"/>
    </row>
    <row r="15" spans="2:19" s="36" customFormat="1" ht="13.5" customHeight="1">
      <c r="B15" s="44"/>
      <c r="C15" s="45"/>
      <c r="D15" s="167"/>
      <c r="E15" s="171"/>
      <c r="F15" s="46"/>
      <c r="G15" s="46"/>
      <c r="H15" s="46"/>
      <c r="I15" s="43"/>
      <c r="J15" s="47"/>
      <c r="K15" s="43"/>
      <c r="L15" s="43"/>
      <c r="M15" s="43"/>
      <c r="N15" s="43"/>
      <c r="O15" s="43"/>
      <c r="P15" s="43"/>
      <c r="Q15" s="43"/>
      <c r="R15" s="43"/>
      <c r="S15" s="43"/>
    </row>
    <row r="16" spans="2:19" s="36" customFormat="1" ht="19.5">
      <c r="B16" s="44"/>
      <c r="C16" s="48" t="s">
        <v>4</v>
      </c>
      <c r="D16" s="167" t="s">
        <v>0</v>
      </c>
      <c r="E16" s="171"/>
      <c r="F16" s="46"/>
      <c r="G16" s="46"/>
      <c r="H16" s="46"/>
      <c r="I16" s="49"/>
      <c r="J16" s="47"/>
      <c r="K16" s="43"/>
      <c r="L16" s="43"/>
      <c r="M16" s="43"/>
      <c r="N16" s="43"/>
      <c r="O16" s="43"/>
      <c r="P16" s="43"/>
      <c r="Q16" s="43"/>
      <c r="R16" s="43"/>
      <c r="S16" s="43"/>
    </row>
    <row r="17" spans="2:19" s="36" customFormat="1" ht="19.5">
      <c r="B17" s="44"/>
      <c r="C17" s="48"/>
      <c r="D17" s="167">
        <v>11</v>
      </c>
      <c r="E17" s="168" t="s">
        <v>5</v>
      </c>
      <c r="F17" s="46"/>
      <c r="G17" s="46"/>
      <c r="H17" s="46"/>
      <c r="I17" s="49">
        <f>'LI-11 (2)'!AC43</f>
        <v>168161.35</v>
      </c>
      <c r="J17" s="47"/>
      <c r="K17" s="43"/>
      <c r="L17" s="43"/>
      <c r="M17" s="43"/>
      <c r="N17" s="43"/>
      <c r="O17" s="43"/>
      <c r="P17" s="43"/>
      <c r="Q17" s="43"/>
      <c r="R17" s="43"/>
      <c r="S17" s="43"/>
    </row>
    <row r="18" spans="2:19" s="36" customFormat="1" ht="19.5">
      <c r="B18" s="44"/>
      <c r="C18" s="48"/>
      <c r="D18" s="167" t="s">
        <v>389</v>
      </c>
      <c r="E18" s="168" t="s">
        <v>390</v>
      </c>
      <c r="F18" s="46"/>
      <c r="G18" s="46"/>
      <c r="H18" s="46"/>
      <c r="I18" s="49">
        <f>+Incendio!AC28</f>
        <v>4991.84</v>
      </c>
      <c r="J18" s="47"/>
      <c r="K18" s="43"/>
      <c r="L18" s="43"/>
      <c r="M18" s="43"/>
      <c r="N18" s="43"/>
      <c r="O18" s="43"/>
      <c r="P18" s="43"/>
      <c r="Q18" s="43"/>
      <c r="R18" s="43"/>
      <c r="S18" s="43"/>
    </row>
    <row r="19" spans="2:19" ht="12.75" customHeight="1">
      <c r="B19" s="50"/>
      <c r="C19" s="51"/>
      <c r="D19" s="167"/>
      <c r="E19" s="885"/>
      <c r="F19" s="52"/>
      <c r="G19" s="52"/>
      <c r="H19" s="52"/>
      <c r="I19" s="53"/>
      <c r="J19" s="6"/>
      <c r="K19" s="43"/>
      <c r="L19" s="4"/>
      <c r="M19" s="4"/>
      <c r="N19" s="4"/>
      <c r="O19" s="4"/>
      <c r="P19" s="4"/>
      <c r="Q19" s="4"/>
      <c r="R19" s="4"/>
      <c r="S19" s="4"/>
    </row>
    <row r="20" spans="2:19" s="36" customFormat="1" ht="19.5">
      <c r="B20" s="44"/>
      <c r="C20" s="48" t="s">
        <v>6</v>
      </c>
      <c r="D20" s="170" t="s">
        <v>7</v>
      </c>
      <c r="E20" s="171"/>
      <c r="F20" s="46"/>
      <c r="G20" s="46"/>
      <c r="H20" s="46"/>
      <c r="I20" s="49"/>
      <c r="J20" s="47"/>
      <c r="K20" s="43"/>
      <c r="L20" s="43"/>
      <c r="M20" s="43"/>
      <c r="N20" s="43"/>
      <c r="O20" s="43"/>
      <c r="P20" s="43"/>
      <c r="Q20" s="43"/>
      <c r="R20" s="43"/>
      <c r="S20" s="43"/>
    </row>
    <row r="21" spans="2:19" s="36" customFormat="1" ht="19.5">
      <c r="B21" s="44"/>
      <c r="C21" s="48"/>
      <c r="D21" s="167">
        <v>21</v>
      </c>
      <c r="E21" s="168" t="s">
        <v>8</v>
      </c>
      <c r="F21" s="46"/>
      <c r="G21" s="46"/>
      <c r="H21" s="46"/>
      <c r="I21" s="49"/>
      <c r="J21" s="47"/>
      <c r="K21" s="43"/>
      <c r="L21" s="43"/>
      <c r="M21" s="43"/>
      <c r="N21" s="43"/>
      <c r="O21" s="43"/>
      <c r="P21" s="43"/>
      <c r="Q21" s="43"/>
      <c r="R21" s="43"/>
      <c r="S21" s="43"/>
    </row>
    <row r="22" spans="2:19" s="36" customFormat="1" ht="19.5">
      <c r="B22" s="44"/>
      <c r="C22" s="48"/>
      <c r="D22" s="167"/>
      <c r="E22" s="169">
        <v>211</v>
      </c>
      <c r="F22" s="54" t="s">
        <v>5</v>
      </c>
      <c r="G22" s="46"/>
      <c r="H22" s="46"/>
      <c r="I22" s="49">
        <f>'TR-11 (2)'!AA43</f>
        <v>321169.52</v>
      </c>
      <c r="J22" s="47"/>
      <c r="K22" s="43"/>
      <c r="L22" s="43"/>
      <c r="M22" s="43"/>
      <c r="N22" s="43"/>
      <c r="O22" s="43"/>
      <c r="P22" s="43"/>
      <c r="Q22" s="43"/>
      <c r="R22" s="43"/>
      <c r="S22" s="43"/>
    </row>
    <row r="23" spans="2:19" s="36" customFormat="1" ht="19.5">
      <c r="B23" s="44"/>
      <c r="C23" s="48"/>
      <c r="D23" s="167"/>
      <c r="E23" s="169" t="s">
        <v>403</v>
      </c>
      <c r="F23" s="1066" t="s">
        <v>404</v>
      </c>
      <c r="G23" s="46"/>
      <c r="H23" s="46"/>
      <c r="I23" s="49">
        <f>+'T4CH - Nota SE N° 2492'!AA43</f>
        <v>358279.75</v>
      </c>
      <c r="J23" s="6" t="s">
        <v>393</v>
      </c>
      <c r="K23" s="43"/>
      <c r="L23" s="43"/>
      <c r="M23" s="43"/>
      <c r="N23" s="43"/>
      <c r="O23" s="43"/>
      <c r="P23" s="43"/>
      <c r="Q23" s="43"/>
      <c r="R23" s="43"/>
      <c r="S23" s="43"/>
    </row>
    <row r="24" spans="2:19" s="36" customFormat="1" ht="19.5">
      <c r="B24" s="44"/>
      <c r="C24" s="48"/>
      <c r="D24" s="167"/>
      <c r="E24" s="169">
        <v>214</v>
      </c>
      <c r="F24" s="54" t="s">
        <v>65</v>
      </c>
      <c r="G24" s="46"/>
      <c r="H24" s="46"/>
      <c r="I24" s="49">
        <f>'TR-ENECOR-11 (1)'!AA41</f>
        <v>2507.34</v>
      </c>
      <c r="J24" s="47"/>
      <c r="K24" s="43"/>
      <c r="L24" s="43"/>
      <c r="M24" s="43"/>
      <c r="N24" s="43"/>
      <c r="O24" s="43"/>
      <c r="P24" s="43"/>
      <c r="Q24" s="43"/>
      <c r="R24" s="43"/>
      <c r="S24" s="43"/>
    </row>
    <row r="25" spans="2:19" s="36" customFormat="1" ht="19.5">
      <c r="B25" s="44"/>
      <c r="C25" s="48"/>
      <c r="D25" s="167">
        <v>22</v>
      </c>
      <c r="E25" s="168" t="s">
        <v>9</v>
      </c>
      <c r="F25" s="46"/>
      <c r="G25" s="46"/>
      <c r="H25" s="46"/>
      <c r="I25" s="49"/>
      <c r="J25" s="47"/>
      <c r="K25" s="43"/>
      <c r="L25" s="43"/>
      <c r="M25" s="43"/>
      <c r="N25" s="43"/>
      <c r="O25" s="43"/>
      <c r="P25" s="43"/>
      <c r="Q25" s="43"/>
      <c r="R25" s="43"/>
      <c r="S25" s="43"/>
    </row>
    <row r="26" spans="2:19" s="36" customFormat="1" ht="19.5">
      <c r="B26" s="44"/>
      <c r="C26" s="48"/>
      <c r="D26" s="167"/>
      <c r="E26" s="169">
        <v>221</v>
      </c>
      <c r="F26" s="54" t="s">
        <v>5</v>
      </c>
      <c r="G26" s="46"/>
      <c r="H26" s="46"/>
      <c r="I26" s="49">
        <f>'SA-11 (2)'!T45</f>
        <v>96287.05</v>
      </c>
      <c r="J26" s="47"/>
      <c r="K26" s="43"/>
      <c r="L26" s="43"/>
      <c r="M26" s="43"/>
      <c r="N26" s="43"/>
      <c r="O26" s="43"/>
      <c r="P26" s="43"/>
      <c r="Q26" s="43"/>
      <c r="R26" s="43"/>
      <c r="S26" s="43"/>
    </row>
    <row r="27" spans="2:19" s="36" customFormat="1" ht="19.5">
      <c r="B27" s="44"/>
      <c r="C27" s="48"/>
      <c r="D27" s="167"/>
      <c r="E27" s="169">
        <v>222</v>
      </c>
      <c r="F27" s="54" t="s">
        <v>69</v>
      </c>
      <c r="G27" s="46"/>
      <c r="H27" s="46"/>
      <c r="I27" s="49">
        <f>'SA-TIBA-11 (1)'!T43</f>
        <v>7559.62</v>
      </c>
      <c r="J27" s="47"/>
      <c r="K27" s="43"/>
      <c r="L27" s="43"/>
      <c r="M27" s="43"/>
      <c r="N27" s="43"/>
      <c r="O27" s="43"/>
      <c r="P27" s="43"/>
      <c r="Q27" s="43"/>
      <c r="R27" s="43"/>
      <c r="S27" s="43"/>
    </row>
    <row r="28" spans="2:19" s="36" customFormat="1" ht="19.5">
      <c r="B28" s="44"/>
      <c r="C28" s="48"/>
      <c r="D28" s="167"/>
      <c r="E28" s="169"/>
      <c r="F28" s="168"/>
      <c r="G28" s="46"/>
      <c r="H28" s="46"/>
      <c r="I28" s="49"/>
      <c r="J28" s="47"/>
      <c r="K28" s="43"/>
      <c r="L28" s="43"/>
      <c r="M28" s="43"/>
      <c r="N28" s="43"/>
      <c r="O28" s="43"/>
      <c r="P28" s="43"/>
      <c r="Q28" s="43"/>
      <c r="R28" s="43"/>
      <c r="S28" s="43"/>
    </row>
    <row r="29" spans="2:19" ht="12.75" customHeight="1">
      <c r="B29" s="50"/>
      <c r="C29" s="51"/>
      <c r="D29" s="167"/>
      <c r="E29" s="885"/>
      <c r="F29" s="52"/>
      <c r="G29" s="52"/>
      <c r="H29" s="52"/>
      <c r="I29" s="53"/>
      <c r="J29" s="6"/>
      <c r="K29" s="43"/>
      <c r="L29" s="4"/>
      <c r="M29" s="4"/>
      <c r="N29" s="4"/>
      <c r="O29" s="4"/>
      <c r="P29" s="4"/>
      <c r="Q29" s="4"/>
      <c r="R29" s="4"/>
      <c r="S29" s="4"/>
    </row>
    <row r="30" spans="2:19" s="36" customFormat="1" ht="19.5">
      <c r="B30" s="44"/>
      <c r="C30" s="48" t="s">
        <v>10</v>
      </c>
      <c r="D30" s="170" t="s">
        <v>66</v>
      </c>
      <c r="E30" s="171"/>
      <c r="F30" s="46"/>
      <c r="G30" s="46"/>
      <c r="H30" s="46"/>
      <c r="I30" s="49"/>
      <c r="J30" s="47"/>
      <c r="K30" s="43"/>
      <c r="L30" s="43"/>
      <c r="M30" s="43"/>
      <c r="N30" s="43"/>
      <c r="O30" s="43"/>
      <c r="P30" s="43"/>
      <c r="Q30" s="43"/>
      <c r="R30" s="43"/>
      <c r="S30" s="43"/>
    </row>
    <row r="31" spans="2:19" s="36" customFormat="1" ht="19.5">
      <c r="B31" s="44"/>
      <c r="C31" s="48"/>
      <c r="D31" s="167">
        <v>31</v>
      </c>
      <c r="E31" s="168" t="s">
        <v>5</v>
      </c>
      <c r="F31" s="46"/>
      <c r="G31" s="46"/>
      <c r="H31" s="46"/>
      <c r="I31" s="49">
        <f>'RE-11 (2)'!X43</f>
        <v>751359.62</v>
      </c>
      <c r="J31" s="47"/>
      <c r="K31" s="43"/>
      <c r="L31" s="43"/>
      <c r="M31" s="43"/>
      <c r="N31" s="43"/>
      <c r="O31" s="43"/>
      <c r="P31" s="43"/>
      <c r="Q31" s="43"/>
      <c r="R31" s="43"/>
      <c r="S31" s="43"/>
    </row>
    <row r="32" spans="2:19" s="36" customFormat="1" ht="19.5">
      <c r="B32" s="44"/>
      <c r="C32" s="48"/>
      <c r="D32" s="167"/>
      <c r="E32" s="169">
        <v>311</v>
      </c>
      <c r="F32" s="54" t="s">
        <v>406</v>
      </c>
      <c r="G32" s="46"/>
      <c r="H32" s="46"/>
      <c r="I32" s="49">
        <f>'RE-Res.01_03'!W41</f>
        <v>1532.21</v>
      </c>
      <c r="J32" s="47"/>
      <c r="K32" s="43"/>
      <c r="L32" s="43"/>
      <c r="M32" s="43"/>
      <c r="N32" s="43"/>
      <c r="O32" s="43"/>
      <c r="P32" s="43"/>
      <c r="Q32" s="43"/>
      <c r="R32" s="43"/>
      <c r="S32" s="43"/>
    </row>
    <row r="33" spans="2:19" s="36" customFormat="1" ht="19.5">
      <c r="B33" s="44"/>
      <c r="C33" s="48"/>
      <c r="D33" s="167">
        <v>33</v>
      </c>
      <c r="E33" s="168" t="s">
        <v>267</v>
      </c>
      <c r="F33" s="46"/>
      <c r="G33" s="46"/>
      <c r="H33" s="46"/>
      <c r="I33" s="49">
        <f>'RE-LITSA-11 (1)'!V45</f>
        <v>185.42</v>
      </c>
      <c r="J33" s="47"/>
      <c r="K33" s="43"/>
      <c r="L33" s="43"/>
      <c r="M33" s="43"/>
      <c r="N33" s="43"/>
      <c r="O33" s="43"/>
      <c r="P33" s="43"/>
      <c r="Q33" s="43"/>
      <c r="R33" s="43"/>
      <c r="S33" s="43"/>
    </row>
    <row r="34" spans="2:19" s="36" customFormat="1" ht="19.5">
      <c r="B34" s="44"/>
      <c r="C34" s="48"/>
      <c r="D34" s="167">
        <v>34</v>
      </c>
      <c r="E34" s="168" t="s">
        <v>227</v>
      </c>
      <c r="F34" s="46"/>
      <c r="G34" s="46"/>
      <c r="H34" s="46"/>
      <c r="I34" s="49">
        <f>'RE-IV-11 (1)'!V43</f>
        <v>0</v>
      </c>
      <c r="J34" s="47"/>
      <c r="K34" s="43"/>
      <c r="L34" s="43"/>
      <c r="M34" s="43"/>
      <c r="N34" s="43"/>
      <c r="O34" s="43"/>
      <c r="P34" s="43"/>
      <c r="Q34" s="43"/>
      <c r="R34" s="43"/>
      <c r="S34" s="43"/>
    </row>
    <row r="35" spans="2:19" s="36" customFormat="1" ht="12.75" customHeight="1">
      <c r="B35" s="44"/>
      <c r="C35" s="48"/>
      <c r="D35" s="167"/>
      <c r="E35" s="168"/>
      <c r="F35" s="46"/>
      <c r="G35" s="46"/>
      <c r="H35" s="46"/>
      <c r="I35" s="49"/>
      <c r="J35" s="47"/>
      <c r="K35" s="43"/>
      <c r="L35" s="43"/>
      <c r="M35" s="43"/>
      <c r="N35" s="43"/>
      <c r="O35" s="43"/>
      <c r="P35" s="43"/>
      <c r="Q35" s="43"/>
      <c r="R35" s="43"/>
      <c r="S35" s="43"/>
    </row>
    <row r="36" spans="2:19" s="36" customFormat="1" ht="19.5">
      <c r="B36" s="44"/>
      <c r="C36" s="48" t="s">
        <v>67</v>
      </c>
      <c r="D36" s="170" t="s">
        <v>68</v>
      </c>
      <c r="E36" s="171"/>
      <c r="F36" s="46"/>
      <c r="G36" s="46"/>
      <c r="H36" s="46"/>
      <c r="I36" s="49"/>
      <c r="J36" s="47"/>
      <c r="K36" s="43"/>
      <c r="L36" s="43"/>
      <c r="M36" s="43"/>
      <c r="N36" s="43"/>
      <c r="O36" s="43"/>
      <c r="P36" s="43"/>
      <c r="Q36" s="43"/>
      <c r="R36" s="43"/>
      <c r="S36" s="43"/>
    </row>
    <row r="37" spans="2:19" s="36" customFormat="1" ht="19.5">
      <c r="B37" s="44"/>
      <c r="C37" s="48"/>
      <c r="D37" s="167">
        <v>42</v>
      </c>
      <c r="E37" s="168" t="s">
        <v>64</v>
      </c>
      <c r="F37" s="46"/>
      <c r="G37" s="46"/>
      <c r="H37" s="46"/>
      <c r="I37" s="49">
        <f>'SUP-LITSA'!K74</f>
        <v>96.56768</v>
      </c>
      <c r="J37" s="47"/>
      <c r="K37" s="43"/>
      <c r="L37" s="43"/>
      <c r="M37" s="43"/>
      <c r="N37" s="43"/>
      <c r="O37" s="43"/>
      <c r="P37" s="43"/>
      <c r="Q37" s="43"/>
      <c r="R37" s="43"/>
      <c r="S37" s="43"/>
    </row>
    <row r="38" spans="2:19" s="36" customFormat="1" ht="19.5">
      <c r="B38" s="44"/>
      <c r="C38" s="48"/>
      <c r="D38" s="167">
        <v>43</v>
      </c>
      <c r="E38" s="168" t="s">
        <v>69</v>
      </c>
      <c r="F38" s="46"/>
      <c r="G38" s="46"/>
      <c r="H38" s="46"/>
      <c r="I38" s="49">
        <f>'SUP-TIBA'!J74</f>
        <v>1880.4763088834352</v>
      </c>
      <c r="J38" s="47"/>
      <c r="K38" s="43"/>
      <c r="L38" s="43"/>
      <c r="M38" s="43"/>
      <c r="N38" s="43"/>
      <c r="O38" s="43"/>
      <c r="P38" s="43"/>
      <c r="Q38" s="43"/>
      <c r="R38" s="43"/>
      <c r="S38" s="43"/>
    </row>
    <row r="39" spans="2:19" s="36" customFormat="1" ht="19.5">
      <c r="B39" s="44"/>
      <c r="C39" s="48"/>
      <c r="D39" s="167">
        <v>44</v>
      </c>
      <c r="E39" s="168" t="s">
        <v>65</v>
      </c>
      <c r="F39" s="46"/>
      <c r="G39" s="46"/>
      <c r="H39" s="46"/>
      <c r="I39" s="49">
        <f>'SUP-ENECOR'!J62</f>
        <v>626.8350000000002</v>
      </c>
      <c r="J39" s="47"/>
      <c r="K39" s="43"/>
      <c r="L39" s="43"/>
      <c r="M39" s="43"/>
      <c r="N39" s="43"/>
      <c r="O39" s="43"/>
      <c r="P39" s="43"/>
      <c r="Q39" s="43"/>
      <c r="R39" s="43"/>
      <c r="S39" s="43"/>
    </row>
    <row r="40" spans="2:19" s="36" customFormat="1" ht="19.5">
      <c r="B40" s="44"/>
      <c r="C40" s="48"/>
      <c r="D40" s="167"/>
      <c r="E40" s="168"/>
      <c r="F40" s="46"/>
      <c r="G40" s="46"/>
      <c r="H40" s="46"/>
      <c r="I40" s="49"/>
      <c r="J40" s="47"/>
      <c r="K40" s="43"/>
      <c r="L40" s="43"/>
      <c r="M40" s="43"/>
      <c r="N40" s="43"/>
      <c r="O40" s="43"/>
      <c r="P40" s="43"/>
      <c r="Q40" s="43"/>
      <c r="R40" s="43"/>
      <c r="S40" s="43"/>
    </row>
    <row r="41" spans="2:19" s="36" customFormat="1" ht="11.25" customHeight="1">
      <c r="B41" s="44"/>
      <c r="C41" s="48"/>
      <c r="D41" s="167"/>
      <c r="E41" s="168"/>
      <c r="F41" s="46"/>
      <c r="G41" s="46"/>
      <c r="H41" s="934"/>
      <c r="I41" s="49"/>
      <c r="J41" s="47"/>
      <c r="K41" s="43"/>
      <c r="L41" s="43"/>
      <c r="M41" s="43"/>
      <c r="N41" s="43"/>
      <c r="O41" s="43"/>
      <c r="P41" s="43"/>
      <c r="Q41" s="43"/>
      <c r="R41" s="43"/>
      <c r="S41" s="43"/>
    </row>
    <row r="42" spans="2:19" s="36" customFormat="1" ht="20.25" thickBot="1">
      <c r="B42" s="44"/>
      <c r="C42" s="45"/>
      <c r="D42" s="167"/>
      <c r="E42" s="171"/>
      <c r="F42" s="46"/>
      <c r="G42" s="46"/>
      <c r="H42" s="46"/>
      <c r="I42" s="43"/>
      <c r="J42" s="47"/>
      <c r="K42" s="43"/>
      <c r="L42" s="43"/>
      <c r="M42" s="43"/>
      <c r="N42" s="43"/>
      <c r="O42" s="43"/>
      <c r="P42" s="43"/>
      <c r="Q42" s="43"/>
      <c r="R42" s="43"/>
      <c r="S42" s="43"/>
    </row>
    <row r="43" spans="2:19" s="36" customFormat="1" ht="20.25" thickBot="1" thickTop="1">
      <c r="B43" s="44"/>
      <c r="C43" s="48"/>
      <c r="D43" s="48"/>
      <c r="F43" s="55" t="s">
        <v>11</v>
      </c>
      <c r="G43" s="56">
        <f>SUM(I17:I40)</f>
        <v>1714637.5989888832</v>
      </c>
      <c r="H43" s="126"/>
      <c r="J43" s="47"/>
      <c r="K43" s="43"/>
      <c r="L43" s="43"/>
      <c r="M43" s="43"/>
      <c r="N43" s="43"/>
      <c r="O43" s="43"/>
      <c r="P43" s="43"/>
      <c r="Q43" s="43"/>
      <c r="R43" s="43"/>
      <c r="S43" s="43"/>
    </row>
    <row r="44" spans="2:19" s="36" customFormat="1" ht="9.75" customHeight="1" thickTop="1">
      <c r="B44" s="44"/>
      <c r="C44" s="48"/>
      <c r="D44" s="48"/>
      <c r="F44" s="166"/>
      <c r="G44" s="126"/>
      <c r="H44" s="126"/>
      <c r="J44" s="47"/>
      <c r="K44" s="43"/>
      <c r="L44" s="43"/>
      <c r="M44" s="43"/>
      <c r="N44" s="43"/>
      <c r="O44" s="43"/>
      <c r="P44" s="43"/>
      <c r="Q44" s="43"/>
      <c r="R44" s="43"/>
      <c r="S44" s="43"/>
    </row>
    <row r="45" spans="2:19" s="36" customFormat="1" ht="9.75" customHeight="1">
      <c r="B45" s="44"/>
      <c r="C45" s="48"/>
      <c r="D45" s="48"/>
      <c r="F45" s="166"/>
      <c r="G45" s="126"/>
      <c r="H45" s="126"/>
      <c r="J45" s="47"/>
      <c r="K45" s="43"/>
      <c r="L45" s="43"/>
      <c r="M45" s="43"/>
      <c r="N45" s="43"/>
      <c r="O45" s="43"/>
      <c r="P45" s="43"/>
      <c r="Q45" s="43"/>
      <c r="R45" s="43"/>
      <c r="S45" s="43"/>
    </row>
    <row r="46" spans="2:19" s="36" customFormat="1" ht="18.75" customHeight="1">
      <c r="B46" s="44"/>
      <c r="C46" s="172" t="s">
        <v>394</v>
      </c>
      <c r="D46" s="48"/>
      <c r="F46" s="166"/>
      <c r="G46" s="126"/>
      <c r="H46" s="126"/>
      <c r="J46" s="47"/>
      <c r="K46" s="43"/>
      <c r="L46" s="43"/>
      <c r="M46" s="43"/>
      <c r="N46" s="43"/>
      <c r="O46" s="43"/>
      <c r="P46" s="43"/>
      <c r="Q46" s="43"/>
      <c r="R46" s="43"/>
      <c r="S46" s="43"/>
    </row>
    <row r="47" spans="2:19" s="36" customFormat="1" ht="9.75" customHeight="1">
      <c r="B47" s="44"/>
      <c r="C47" s="48"/>
      <c r="D47" s="48"/>
      <c r="F47" s="166"/>
      <c r="G47" s="126"/>
      <c r="H47" s="126"/>
      <c r="J47" s="47"/>
      <c r="K47" s="43"/>
      <c r="L47" s="43"/>
      <c r="M47" s="43"/>
      <c r="N47" s="43"/>
      <c r="O47" s="43"/>
      <c r="P47" s="43"/>
      <c r="Q47" s="43"/>
      <c r="R47" s="43"/>
      <c r="S47" s="43"/>
    </row>
    <row r="48" spans="2:19" s="36" customFormat="1" ht="18.75">
      <c r="B48" s="44"/>
      <c r="C48" s="172" t="s">
        <v>373</v>
      </c>
      <c r="D48" s="48"/>
      <c r="F48" s="166"/>
      <c r="G48" s="126"/>
      <c r="H48" s="126"/>
      <c r="I48" s="935"/>
      <c r="J48" s="47"/>
      <c r="K48" s="43"/>
      <c r="L48" s="43"/>
      <c r="M48" s="43"/>
      <c r="N48" s="43"/>
      <c r="O48" s="43"/>
      <c r="P48" s="43"/>
      <c r="Q48" s="43"/>
      <c r="R48" s="43"/>
      <c r="S48" s="43"/>
    </row>
    <row r="49" spans="2:19" s="32" customFormat="1" ht="10.5" customHeight="1" thickBot="1">
      <c r="B49" s="57"/>
      <c r="C49" s="58"/>
      <c r="D49" s="58"/>
      <c r="E49" s="59"/>
      <c r="F49" s="59"/>
      <c r="G49" s="59"/>
      <c r="H49" s="59"/>
      <c r="I49" s="59"/>
      <c r="J49" s="60"/>
      <c r="K49" s="33"/>
      <c r="L49" s="33"/>
      <c r="M49" s="61"/>
      <c r="N49" s="62"/>
      <c r="O49" s="62"/>
      <c r="P49" s="63"/>
      <c r="Q49" s="64"/>
      <c r="R49" s="33"/>
      <c r="S49" s="33"/>
    </row>
    <row r="50" spans="4:19" ht="13.5" thickTop="1">
      <c r="D50" s="4"/>
      <c r="F50" s="4"/>
      <c r="G50" s="4"/>
      <c r="H50" s="4"/>
      <c r="I50" s="4"/>
      <c r="J50" s="4"/>
      <c r="K50" s="4"/>
      <c r="L50" s="4"/>
      <c r="M50" s="15"/>
      <c r="N50" s="65"/>
      <c r="O50" s="65"/>
      <c r="P50" s="4"/>
      <c r="Q50" s="66"/>
      <c r="R50" s="4"/>
      <c r="S50" s="4"/>
    </row>
    <row r="51" spans="4:19" ht="12.75">
      <c r="D51" s="4"/>
      <c r="F51" s="4"/>
      <c r="G51" s="4"/>
      <c r="H51" s="4"/>
      <c r="I51" s="4"/>
      <c r="J51" s="4"/>
      <c r="K51" s="4"/>
      <c r="L51" s="4"/>
      <c r="M51" s="4"/>
      <c r="N51" s="67"/>
      <c r="O51" s="67"/>
      <c r="P51" s="68"/>
      <c r="Q51" s="66"/>
      <c r="R51" s="4"/>
      <c r="S51" s="4"/>
    </row>
    <row r="52" spans="4:19" ht="12.75">
      <c r="D52" s="4"/>
      <c r="E52" s="4"/>
      <c r="F52" s="4"/>
      <c r="G52" s="4"/>
      <c r="H52" s="4"/>
      <c r="I52" s="4"/>
      <c r="J52" s="4"/>
      <c r="K52" s="4"/>
      <c r="L52" s="4"/>
      <c r="M52" s="4"/>
      <c r="N52" s="67"/>
      <c r="O52" s="67"/>
      <c r="P52" s="68"/>
      <c r="Q52" s="66"/>
      <c r="R52" s="4"/>
      <c r="S52" s="4"/>
    </row>
    <row r="53" spans="4:19" ht="12.75">
      <c r="D53" s="4"/>
      <c r="E53" s="4"/>
      <c r="L53" s="4"/>
      <c r="M53" s="4"/>
      <c r="N53" s="4"/>
      <c r="O53" s="4"/>
      <c r="P53" s="4"/>
      <c r="Q53" s="4"/>
      <c r="R53" s="4"/>
      <c r="S53" s="4"/>
    </row>
    <row r="54" spans="4:19" ht="12.75">
      <c r="D54" s="4"/>
      <c r="E54" s="4"/>
      <c r="P54" s="4"/>
      <c r="Q54" s="4"/>
      <c r="R54" s="4"/>
      <c r="S54" s="4"/>
    </row>
    <row r="55" spans="4:19" ht="12.75">
      <c r="D55" s="4"/>
      <c r="E55" s="4"/>
      <c r="P55" s="4"/>
      <c r="Q55" s="4"/>
      <c r="R55" s="4"/>
      <c r="S55" s="4"/>
    </row>
    <row r="56" spans="4:19" ht="12.75">
      <c r="D56" s="4"/>
      <c r="E56" s="4"/>
      <c r="P56" s="4"/>
      <c r="Q56" s="4"/>
      <c r="R56" s="4"/>
      <c r="S56" s="4"/>
    </row>
    <row r="57" spans="4:19" ht="12.75">
      <c r="D57" s="4"/>
      <c r="E57" s="4"/>
      <c r="P57" s="4"/>
      <c r="Q57" s="4"/>
      <c r="R57" s="4"/>
      <c r="S57" s="4"/>
    </row>
    <row r="58" spans="4:19" ht="12.75">
      <c r="D58" s="4"/>
      <c r="E58" s="4"/>
      <c r="P58" s="4"/>
      <c r="Q58" s="4"/>
      <c r="R58" s="4"/>
      <c r="S58" s="4"/>
    </row>
    <row r="59" spans="16:19" ht="12.75">
      <c r="P59" s="4"/>
      <c r="Q59" s="4"/>
      <c r="R59" s="4"/>
      <c r="S59" s="4"/>
    </row>
    <row r="60" spans="16:19" ht="12.75">
      <c r="P60" s="4"/>
      <c r="Q60" s="4"/>
      <c r="R60" s="4"/>
      <c r="S60" s="4"/>
    </row>
  </sheetData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48" r:id="rId2"/>
  <headerFooter alignWithMargins="0">
    <oddFooter>&amp;L&amp;"Times New Roman,Normal"&amp;5&amp;F  - TRANSPORTE de ENERGÍA ELÉCTRICA - PJL - JI -JM - &amp;P/&amp;N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42">
    <pageSetUpPr fitToPage="1"/>
  </sheetPr>
  <dimension ref="A1:AA156"/>
  <sheetViews>
    <sheetView zoomScale="75" zoomScaleNormal="75" workbookViewId="0" topLeftCell="A1">
      <selection activeCell="AA31" sqref="AA31"/>
    </sheetView>
  </sheetViews>
  <sheetFormatPr defaultColWidth="11.421875" defaultRowHeight="12.75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25.7109375" style="0" customWidth="1"/>
    <col min="6" max="6" width="8.00390625" style="0" customWidth="1"/>
    <col min="7" max="7" width="5.421875" style="0" hidden="1" customWidth="1"/>
    <col min="8" max="9" width="15.7109375" style="0" customWidth="1"/>
    <col min="10" max="13" width="9.7109375" style="0" customWidth="1"/>
    <col min="14" max="14" width="6.00390625" style="0" customWidth="1"/>
    <col min="15" max="15" width="3.7109375" style="0" hidden="1" customWidth="1"/>
    <col min="16" max="16" width="13.140625" style="0" hidden="1" customWidth="1"/>
    <col min="17" max="20" width="9.57421875" style="0" hidden="1" customWidth="1"/>
    <col min="21" max="22" width="12.28125" style="0" hidden="1" customWidth="1"/>
    <col min="23" max="23" width="9.7109375" style="0" customWidth="1"/>
    <col min="24" max="25" width="15.7109375" style="0" customWidth="1"/>
  </cols>
  <sheetData>
    <row r="1" s="18" customFormat="1" ht="26.25">
      <c r="Y1" s="146"/>
    </row>
    <row r="2" spans="1:25" s="18" customFormat="1" ht="26.25">
      <c r="A2" s="91"/>
      <c r="B2" s="435" t="str">
        <f>+'TOT-1108'!B2</f>
        <v>ANEXO VI al Memoràndum D.T.E.E. N°  366 / 2010          </v>
      </c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  <c r="X2" s="435"/>
      <c r="Y2" s="435"/>
    </row>
    <row r="3" s="5" customFormat="1" ht="12.75">
      <c r="A3" s="90"/>
    </row>
    <row r="4" spans="1:2" s="25" customFormat="1" ht="11.25">
      <c r="A4" s="23" t="s">
        <v>2</v>
      </c>
      <c r="B4" s="125"/>
    </row>
    <row r="5" spans="1:2" s="25" customFormat="1" ht="11.25">
      <c r="A5" s="23" t="s">
        <v>3</v>
      </c>
      <c r="B5" s="125"/>
    </row>
    <row r="6" s="5" customFormat="1" ht="13.5" thickBot="1"/>
    <row r="7" spans="2:25" s="5" customFormat="1" ht="13.5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1"/>
    </row>
    <row r="8" spans="2:25" s="29" customFormat="1" ht="20.25">
      <c r="B8" s="79"/>
      <c r="D8" s="178" t="s">
        <v>91</v>
      </c>
      <c r="E8" s="436"/>
      <c r="F8" s="175"/>
      <c r="G8" s="174"/>
      <c r="H8" s="174"/>
      <c r="I8" s="174"/>
      <c r="J8" s="174"/>
      <c r="K8" s="174"/>
      <c r="L8" s="174"/>
      <c r="M8" s="174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437"/>
    </row>
    <row r="9" spans="2:25" s="5" customFormat="1" ht="12.75">
      <c r="B9" s="5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6"/>
    </row>
    <row r="10" spans="2:25" s="29" customFormat="1" ht="20.25">
      <c r="B10" s="79"/>
      <c r="D10" s="11" t="s">
        <v>92</v>
      </c>
      <c r="F10" s="438"/>
      <c r="G10" s="81"/>
      <c r="H10" s="81"/>
      <c r="I10" s="81"/>
      <c r="J10" s="81"/>
      <c r="K10" s="81"/>
      <c r="L10" s="81"/>
      <c r="M10" s="81"/>
      <c r="N10" s="81"/>
      <c r="O10" s="81"/>
      <c r="P10" s="30"/>
      <c r="Q10" s="30"/>
      <c r="R10" s="30"/>
      <c r="S10" s="30"/>
      <c r="T10" s="30"/>
      <c r="U10" s="30"/>
      <c r="V10" s="30"/>
      <c r="W10" s="30"/>
      <c r="X10" s="30"/>
      <c r="Y10" s="80"/>
    </row>
    <row r="11" spans="2:25" s="5" customFormat="1" ht="16.5" customHeight="1">
      <c r="B11" s="50"/>
      <c r="C11" s="4"/>
      <c r="D11" s="78"/>
      <c r="F11" s="31"/>
      <c r="G11" s="72"/>
      <c r="H11" s="72"/>
      <c r="I11" s="72"/>
      <c r="J11" s="72"/>
      <c r="K11" s="72"/>
      <c r="L11" s="72"/>
      <c r="M11" s="72"/>
      <c r="N11" s="72"/>
      <c r="O11" s="72"/>
      <c r="P11" s="4"/>
      <c r="Q11" s="4"/>
      <c r="R11" s="4"/>
      <c r="S11" s="4"/>
      <c r="T11" s="4"/>
      <c r="U11" s="4"/>
      <c r="V11" s="4"/>
      <c r="W11" s="4"/>
      <c r="X11" s="4"/>
      <c r="Y11" s="6"/>
    </row>
    <row r="12" spans="2:25" s="29" customFormat="1" ht="20.25">
      <c r="B12" s="79"/>
      <c r="D12" s="11" t="s">
        <v>93</v>
      </c>
      <c r="F12" s="438"/>
      <c r="G12" s="81"/>
      <c r="H12" s="81"/>
      <c r="I12" s="81"/>
      <c r="J12" s="81"/>
      <c r="K12" s="81"/>
      <c r="L12" s="81"/>
      <c r="M12" s="81"/>
      <c r="N12" s="81"/>
      <c r="O12" s="81"/>
      <c r="P12" s="30"/>
      <c r="Q12" s="30"/>
      <c r="R12" s="30"/>
      <c r="S12" s="30"/>
      <c r="T12" s="30"/>
      <c r="U12" s="30"/>
      <c r="V12" s="30"/>
      <c r="W12" s="30"/>
      <c r="X12" s="30"/>
      <c r="Y12" s="80"/>
    </row>
    <row r="13" spans="2:25" s="5" customFormat="1" ht="16.5" customHeight="1">
      <c r="B13" s="50"/>
      <c r="C13" s="4"/>
      <c r="D13" s="78"/>
      <c r="F13" s="31"/>
      <c r="G13" s="72"/>
      <c r="H13" s="72"/>
      <c r="I13" s="72"/>
      <c r="J13" s="72"/>
      <c r="K13" s="72"/>
      <c r="L13" s="72"/>
      <c r="M13" s="72"/>
      <c r="N13" s="72"/>
      <c r="O13" s="72"/>
      <c r="P13" s="4"/>
      <c r="Q13" s="4"/>
      <c r="R13" s="4"/>
      <c r="S13" s="4"/>
      <c r="T13" s="4"/>
      <c r="U13" s="4"/>
      <c r="V13" s="4"/>
      <c r="W13" s="4"/>
      <c r="X13" s="4"/>
      <c r="Y13" s="6"/>
    </row>
    <row r="14" spans="2:25" s="36" customFormat="1" ht="16.5" customHeight="1">
      <c r="B14" s="37" t="str">
        <f>'TOT-1108'!B14</f>
        <v>Desde el 01 al 30 de noviembre de 2008</v>
      </c>
      <c r="C14" s="439"/>
      <c r="D14" s="440"/>
      <c r="E14" s="440"/>
      <c r="F14" s="440"/>
      <c r="G14" s="440"/>
      <c r="H14" s="440"/>
      <c r="I14" s="440"/>
      <c r="J14" s="440"/>
      <c r="K14" s="440"/>
      <c r="L14" s="440"/>
      <c r="M14" s="440"/>
      <c r="N14" s="440"/>
      <c r="O14" s="440"/>
      <c r="P14" s="439"/>
      <c r="Q14" s="439"/>
      <c r="R14" s="439"/>
      <c r="S14" s="439"/>
      <c r="T14" s="439"/>
      <c r="U14" s="439"/>
      <c r="V14" s="439"/>
      <c r="W14" s="439"/>
      <c r="X14" s="439"/>
      <c r="Y14" s="441"/>
    </row>
    <row r="15" spans="2:25" s="5" customFormat="1" ht="16.5" customHeight="1" thickBot="1">
      <c r="B15" s="50"/>
      <c r="C15" s="4"/>
      <c r="D15" s="4"/>
      <c r="E15" s="4"/>
      <c r="F15" s="4"/>
      <c r="G15" s="4"/>
      <c r="H15" s="4"/>
      <c r="I15" s="4"/>
      <c r="J15" s="4"/>
      <c r="K15" s="4"/>
      <c r="P15" s="4"/>
      <c r="Q15" s="4"/>
      <c r="R15" s="4"/>
      <c r="S15" s="4"/>
      <c r="T15" s="4"/>
      <c r="U15" s="4"/>
      <c r="V15" s="4"/>
      <c r="W15" s="4"/>
      <c r="X15" s="4"/>
      <c r="Y15" s="6"/>
    </row>
    <row r="16" spans="2:25" s="5" customFormat="1" ht="16.5" customHeight="1" thickBot="1" thickTop="1">
      <c r="B16" s="50"/>
      <c r="C16" s="4"/>
      <c r="D16" s="117" t="s">
        <v>82</v>
      </c>
      <c r="E16" s="442"/>
      <c r="F16" s="925">
        <v>0.319</v>
      </c>
      <c r="G16" s="377"/>
      <c r="H16"/>
      <c r="I16" s="4"/>
      <c r="J16" s="4"/>
      <c r="K16" s="4"/>
      <c r="L16" s="4"/>
      <c r="M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6"/>
    </row>
    <row r="17" spans="2:25" s="5" customFormat="1" ht="16.5" customHeight="1" thickBot="1" thickTop="1">
      <c r="B17" s="50"/>
      <c r="C17" s="4"/>
      <c r="D17" s="443" t="s">
        <v>26</v>
      </c>
      <c r="E17" s="444"/>
      <c r="F17" s="926">
        <v>20</v>
      </c>
      <c r="G17" s="377"/>
      <c r="H17"/>
      <c r="I17" s="214"/>
      <c r="J17" s="215"/>
      <c r="K17" s="4"/>
      <c r="L17" s="4"/>
      <c r="M17" s="4"/>
      <c r="O17" s="4"/>
      <c r="P17" s="4"/>
      <c r="Q17" s="4"/>
      <c r="R17" s="116"/>
      <c r="S17" s="116"/>
      <c r="T17" s="116"/>
      <c r="U17" s="116"/>
      <c r="V17" s="116"/>
      <c r="W17" s="116"/>
      <c r="X17" s="116"/>
      <c r="Y17" s="6"/>
    </row>
    <row r="18" spans="2:25" s="5" customFormat="1" ht="16.5" customHeight="1" thickBot="1" thickTop="1">
      <c r="B18" s="50"/>
      <c r="C18" s="66"/>
      <c r="D18" s="445"/>
      <c r="E18" s="446"/>
      <c r="F18" s="446"/>
      <c r="G18" s="198"/>
      <c r="H18" s="198"/>
      <c r="I18" s="198"/>
      <c r="J18" s="198"/>
      <c r="K18" s="198"/>
      <c r="L18" s="198"/>
      <c r="M18" s="198"/>
      <c r="N18" s="198"/>
      <c r="O18" s="447"/>
      <c r="P18" s="448"/>
      <c r="Q18" s="449"/>
      <c r="R18" s="449"/>
      <c r="S18" s="449"/>
      <c r="T18" s="449"/>
      <c r="U18" s="449"/>
      <c r="V18" s="449"/>
      <c r="W18" s="450"/>
      <c r="X18" s="451"/>
      <c r="Y18" s="6"/>
    </row>
    <row r="19" spans="2:25" s="5" customFormat="1" ht="33.75" customHeight="1" thickBot="1" thickTop="1">
      <c r="B19" s="50"/>
      <c r="C19" s="84" t="s">
        <v>13</v>
      </c>
      <c r="D19" s="86" t="s">
        <v>27</v>
      </c>
      <c r="E19" s="85" t="s">
        <v>28</v>
      </c>
      <c r="F19" s="452" t="s">
        <v>29</v>
      </c>
      <c r="G19" s="130" t="s">
        <v>16</v>
      </c>
      <c r="H19" s="85" t="s">
        <v>17</v>
      </c>
      <c r="I19" s="85" t="s">
        <v>18</v>
      </c>
      <c r="J19" s="86" t="s">
        <v>36</v>
      </c>
      <c r="K19" s="86" t="s">
        <v>31</v>
      </c>
      <c r="L19" s="88" t="s">
        <v>19</v>
      </c>
      <c r="M19" s="88" t="s">
        <v>58</v>
      </c>
      <c r="N19" s="85" t="s">
        <v>32</v>
      </c>
      <c r="O19" s="130" t="s">
        <v>37</v>
      </c>
      <c r="P19" s="453" t="s">
        <v>71</v>
      </c>
      <c r="Q19" s="454" t="s">
        <v>270</v>
      </c>
      <c r="R19" s="455"/>
      <c r="S19" s="271" t="s">
        <v>271</v>
      </c>
      <c r="T19" s="272"/>
      <c r="U19" s="456" t="s">
        <v>22</v>
      </c>
      <c r="V19" s="270" t="s">
        <v>21</v>
      </c>
      <c r="W19" s="133" t="s">
        <v>80</v>
      </c>
      <c r="X19" s="457" t="s">
        <v>24</v>
      </c>
      <c r="Y19" s="6"/>
    </row>
    <row r="20" spans="2:25" s="5" customFormat="1" ht="16.5" customHeight="1" thickTop="1">
      <c r="B20" s="50"/>
      <c r="C20" s="458"/>
      <c r="D20" s="459"/>
      <c r="E20" s="459"/>
      <c r="F20" s="459"/>
      <c r="G20" s="347"/>
      <c r="H20" s="460"/>
      <c r="I20" s="460"/>
      <c r="J20" s="458"/>
      <c r="K20" s="458"/>
      <c r="L20" s="459"/>
      <c r="M20" s="187"/>
      <c r="N20" s="458"/>
      <c r="O20" s="461"/>
      <c r="P20" s="462"/>
      <c r="Q20" s="463"/>
      <c r="R20" s="464"/>
      <c r="S20" s="284"/>
      <c r="T20" s="285"/>
      <c r="U20" s="465"/>
      <c r="V20" s="465"/>
      <c r="W20" s="466"/>
      <c r="X20" s="467"/>
      <c r="Y20" s="6"/>
    </row>
    <row r="21" spans="2:25" s="5" customFormat="1" ht="16.5" customHeight="1">
      <c r="B21" s="50"/>
      <c r="C21" s="289"/>
      <c r="D21" s="468"/>
      <c r="E21" s="469"/>
      <c r="F21" s="470"/>
      <c r="G21" s="471"/>
      <c r="H21" s="472"/>
      <c r="I21" s="473"/>
      <c r="J21" s="474"/>
      <c r="K21" s="475"/>
      <c r="L21" s="476"/>
      <c r="M21" s="188"/>
      <c r="N21" s="477"/>
      <c r="O21" s="478"/>
      <c r="P21" s="479"/>
      <c r="Q21" s="480"/>
      <c r="R21" s="481"/>
      <c r="S21" s="298"/>
      <c r="T21" s="299"/>
      <c r="U21" s="482"/>
      <c r="V21" s="482"/>
      <c r="W21" s="477"/>
      <c r="X21" s="483"/>
      <c r="Y21" s="6"/>
    </row>
    <row r="22" spans="2:25" s="5" customFormat="1" ht="16.5" customHeight="1">
      <c r="B22" s="50"/>
      <c r="C22" s="157">
        <v>79</v>
      </c>
      <c r="D22" s="484" t="s">
        <v>301</v>
      </c>
      <c r="E22" s="412" t="s">
        <v>336</v>
      </c>
      <c r="F22" s="485">
        <v>245</v>
      </c>
      <c r="G22" s="306">
        <f aca="true" t="shared" si="0" ref="G22:G40">F22*$F$16</f>
        <v>78.155</v>
      </c>
      <c r="H22" s="414">
        <v>39753</v>
      </c>
      <c r="I22" s="192">
        <v>39780.67152777778</v>
      </c>
      <c r="J22" s="415">
        <f aca="true" t="shared" si="1" ref="J22:J40">IF(D22="","",(I22-H22)*24)</f>
        <v>664.1166666666395</v>
      </c>
      <c r="K22" s="416">
        <f aca="true" t="shared" si="2" ref="K22:K40">IF(D22="","",ROUND((I22-H22)*24*60,0))</f>
        <v>39847</v>
      </c>
      <c r="L22" s="234" t="s">
        <v>251</v>
      </c>
      <c r="M22" s="235" t="str">
        <f aca="true" t="shared" si="3" ref="M22:M40">IF(D22="","","--")</f>
        <v>--</v>
      </c>
      <c r="N22" s="155" t="str">
        <f aca="true" t="shared" si="4" ref="N22:N40">IF(D22="","",IF(OR(L22="P",L22="RP"),"--","NO"))</f>
        <v>--</v>
      </c>
      <c r="O22" s="486">
        <f aca="true" t="shared" si="5" ref="O22:O40">IF(OR(L22="P",L22="RP"),$F$17/10,$F$17)</f>
        <v>2</v>
      </c>
      <c r="P22" s="487">
        <f aca="true" t="shared" si="6" ref="P22:P40">IF(L22="P",G22*O22*ROUND(K22/60,2),"--")</f>
        <v>103808.5972</v>
      </c>
      <c r="Q22" s="488" t="str">
        <f aca="true" t="shared" si="7" ref="Q22:Q40">IF(AND(L22="F",N22="NO"),G22*O22,"--")</f>
        <v>--</v>
      </c>
      <c r="R22" s="489" t="str">
        <f aca="true" t="shared" si="8" ref="R22:R40">IF(L22="F",G22*O22*ROUND(K22/60,2),"--")</f>
        <v>--</v>
      </c>
      <c r="S22" s="313" t="str">
        <f aca="true" t="shared" si="9" ref="S22:S40">IF(AND(L22="R",N22="NO"),G22*O22*M22/100,"--")</f>
        <v>--</v>
      </c>
      <c r="T22" s="990" t="s">
        <v>248</v>
      </c>
      <c r="U22" s="490" t="str">
        <f aca="true" t="shared" si="10" ref="U22:U40">IF(L22="RF",G22*O22*ROUND(K22/60,2),"--")</f>
        <v>--</v>
      </c>
      <c r="V22" s="310" t="str">
        <f aca="true" t="shared" si="11" ref="V22:V40">IF(L22="RP",G22*O22*M22/100*ROUND(K22/60,2),"--")</f>
        <v>--</v>
      </c>
      <c r="W22" s="155" t="str">
        <f aca="true" t="shared" si="12" ref="W22:W40">IF(D22="","","SI")</f>
        <v>SI</v>
      </c>
      <c r="X22" s="421">
        <f aca="true" t="shared" si="13" ref="X22:X40">IF(D22="","",SUM(P22:V22)*IF(W22="SI",1,2)*IF(AND(M22&lt;&gt;"--",L22="RF"),M22/100,1))</f>
        <v>103808.5972</v>
      </c>
      <c r="Y22" s="6"/>
    </row>
    <row r="23" spans="2:25" s="5" customFormat="1" ht="16.5" customHeight="1">
      <c r="B23" s="50"/>
      <c r="C23" s="289">
        <v>80</v>
      </c>
      <c r="D23" s="484" t="s">
        <v>301</v>
      </c>
      <c r="E23" s="412" t="s">
        <v>337</v>
      </c>
      <c r="F23" s="485">
        <v>245</v>
      </c>
      <c r="G23" s="306">
        <f t="shared" si="0"/>
        <v>78.155</v>
      </c>
      <c r="H23" s="414">
        <v>39753</v>
      </c>
      <c r="I23" s="192">
        <v>39753.74930555555</v>
      </c>
      <c r="J23" s="415">
        <f t="shared" si="1"/>
        <v>17.983333333279006</v>
      </c>
      <c r="K23" s="416">
        <f t="shared" si="2"/>
        <v>1079</v>
      </c>
      <c r="L23" s="234" t="s">
        <v>251</v>
      </c>
      <c r="M23" s="235" t="str">
        <f t="shared" si="3"/>
        <v>--</v>
      </c>
      <c r="N23" s="155" t="str">
        <f t="shared" si="4"/>
        <v>--</v>
      </c>
      <c r="O23" s="486">
        <f t="shared" si="5"/>
        <v>2</v>
      </c>
      <c r="P23" s="487">
        <f t="shared" si="6"/>
        <v>2810.4538000000002</v>
      </c>
      <c r="Q23" s="488" t="str">
        <f t="shared" si="7"/>
        <v>--</v>
      </c>
      <c r="R23" s="489" t="str">
        <f t="shared" si="8"/>
        <v>--</v>
      </c>
      <c r="S23" s="313" t="str">
        <f t="shared" si="9"/>
        <v>--</v>
      </c>
      <c r="T23" s="990" t="s">
        <v>248</v>
      </c>
      <c r="U23" s="490" t="str">
        <f t="shared" si="10"/>
        <v>--</v>
      </c>
      <c r="V23" s="310" t="str">
        <f t="shared" si="11"/>
        <v>--</v>
      </c>
      <c r="W23" s="155" t="str">
        <f t="shared" si="12"/>
        <v>SI</v>
      </c>
      <c r="X23" s="421">
        <f t="shared" si="13"/>
        <v>2810.4538000000002</v>
      </c>
      <c r="Y23" s="6"/>
    </row>
    <row r="24" spans="2:25" s="5" customFormat="1" ht="16.5" customHeight="1">
      <c r="B24" s="50"/>
      <c r="C24" s="157">
        <v>81</v>
      </c>
      <c r="D24" s="484" t="s">
        <v>338</v>
      </c>
      <c r="E24" s="412" t="s">
        <v>339</v>
      </c>
      <c r="F24" s="485">
        <v>150</v>
      </c>
      <c r="G24" s="306">
        <f t="shared" si="0"/>
        <v>47.85</v>
      </c>
      <c r="H24" s="414">
        <v>39753.65694444445</v>
      </c>
      <c r="I24" s="192">
        <v>39774.37152777778</v>
      </c>
      <c r="J24" s="415">
        <f t="shared" si="1"/>
        <v>497.1500000000233</v>
      </c>
      <c r="K24" s="416">
        <f t="shared" si="2"/>
        <v>29829</v>
      </c>
      <c r="L24" s="234" t="s">
        <v>279</v>
      </c>
      <c r="M24" s="235" t="str">
        <f t="shared" si="3"/>
        <v>--</v>
      </c>
      <c r="N24" s="155" t="str">
        <f t="shared" si="4"/>
        <v>NO</v>
      </c>
      <c r="O24" s="486">
        <f t="shared" si="5"/>
        <v>20</v>
      </c>
      <c r="P24" s="487" t="str">
        <f t="shared" si="6"/>
        <v>--</v>
      </c>
      <c r="Q24" s="488">
        <f t="shared" si="7"/>
        <v>957</v>
      </c>
      <c r="R24" s="489">
        <f t="shared" si="8"/>
        <v>475772.55</v>
      </c>
      <c r="S24" s="313" t="str">
        <f t="shared" si="9"/>
        <v>--</v>
      </c>
      <c r="T24" s="990" t="s">
        <v>248</v>
      </c>
      <c r="U24" s="490" t="str">
        <f t="shared" si="10"/>
        <v>--</v>
      </c>
      <c r="V24" s="310" t="str">
        <f t="shared" si="11"/>
        <v>--</v>
      </c>
      <c r="W24" s="155" t="str">
        <f t="shared" si="12"/>
        <v>SI</v>
      </c>
      <c r="X24" s="421">
        <f t="shared" si="13"/>
        <v>476729.55</v>
      </c>
      <c r="Y24" s="6"/>
    </row>
    <row r="25" spans="2:25" s="5" customFormat="1" ht="16.5" customHeight="1">
      <c r="B25" s="50"/>
      <c r="C25" s="289">
        <v>82</v>
      </c>
      <c r="D25" s="484" t="s">
        <v>301</v>
      </c>
      <c r="E25" s="412" t="s">
        <v>337</v>
      </c>
      <c r="F25" s="485">
        <v>245</v>
      </c>
      <c r="G25" s="306">
        <f t="shared" si="0"/>
        <v>78.155</v>
      </c>
      <c r="H25" s="414">
        <v>39755.39166666667</v>
      </c>
      <c r="I25" s="192">
        <v>39756.385416666664</v>
      </c>
      <c r="J25" s="415">
        <f t="shared" si="1"/>
        <v>23.8499999998603</v>
      </c>
      <c r="K25" s="416">
        <f t="shared" si="2"/>
        <v>1431</v>
      </c>
      <c r="L25" s="234" t="s">
        <v>251</v>
      </c>
      <c r="M25" s="235" t="str">
        <f t="shared" si="3"/>
        <v>--</v>
      </c>
      <c r="N25" s="155" t="str">
        <f t="shared" si="4"/>
        <v>--</v>
      </c>
      <c r="O25" s="486">
        <f t="shared" si="5"/>
        <v>2</v>
      </c>
      <c r="P25" s="487">
        <f t="shared" si="6"/>
        <v>3727.9935000000005</v>
      </c>
      <c r="Q25" s="488" t="str">
        <f t="shared" si="7"/>
        <v>--</v>
      </c>
      <c r="R25" s="489" t="str">
        <f t="shared" si="8"/>
        <v>--</v>
      </c>
      <c r="S25" s="313" t="str">
        <f t="shared" si="9"/>
        <v>--</v>
      </c>
      <c r="T25" s="990" t="s">
        <v>248</v>
      </c>
      <c r="U25" s="490" t="str">
        <f t="shared" si="10"/>
        <v>--</v>
      </c>
      <c r="V25" s="310" t="str">
        <f t="shared" si="11"/>
        <v>--</v>
      </c>
      <c r="W25" s="155" t="str">
        <f t="shared" si="12"/>
        <v>SI</v>
      </c>
      <c r="X25" s="421">
        <f t="shared" si="13"/>
        <v>3727.9935000000005</v>
      </c>
      <c r="Y25" s="491"/>
    </row>
    <row r="26" spans="2:25" s="5" customFormat="1" ht="16.5" customHeight="1">
      <c r="B26" s="50"/>
      <c r="C26" s="157">
        <v>83</v>
      </c>
      <c r="D26" s="484" t="s">
        <v>301</v>
      </c>
      <c r="E26" s="412" t="s">
        <v>340</v>
      </c>
      <c r="F26" s="485">
        <v>245</v>
      </c>
      <c r="G26" s="306">
        <f t="shared" si="0"/>
        <v>78.155</v>
      </c>
      <c r="H26" s="414">
        <v>39756.85833333333</v>
      </c>
      <c r="I26" s="192">
        <v>39756.978472222225</v>
      </c>
      <c r="J26" s="415">
        <f t="shared" si="1"/>
        <v>2.8833333334769122</v>
      </c>
      <c r="K26" s="416">
        <f t="shared" si="2"/>
        <v>173</v>
      </c>
      <c r="L26" s="234" t="s">
        <v>279</v>
      </c>
      <c r="M26" s="235" t="str">
        <f t="shared" si="3"/>
        <v>--</v>
      </c>
      <c r="N26" s="155" t="str">
        <f t="shared" si="4"/>
        <v>NO</v>
      </c>
      <c r="O26" s="486">
        <f t="shared" si="5"/>
        <v>20</v>
      </c>
      <c r="P26" s="487" t="str">
        <f t="shared" si="6"/>
        <v>--</v>
      </c>
      <c r="Q26" s="488">
        <f t="shared" si="7"/>
        <v>1563.1</v>
      </c>
      <c r="R26" s="489">
        <f t="shared" si="8"/>
        <v>4501.727999999999</v>
      </c>
      <c r="S26" s="313" t="str">
        <f t="shared" si="9"/>
        <v>--</v>
      </c>
      <c r="T26" s="990" t="s">
        <v>248</v>
      </c>
      <c r="U26" s="490" t="str">
        <f t="shared" si="10"/>
        <v>--</v>
      </c>
      <c r="V26" s="310" t="str">
        <f t="shared" si="11"/>
        <v>--</v>
      </c>
      <c r="W26" s="155" t="str">
        <f t="shared" si="12"/>
        <v>SI</v>
      </c>
      <c r="X26" s="421">
        <f t="shared" si="13"/>
        <v>6064.8279999999995</v>
      </c>
      <c r="Y26" s="491"/>
    </row>
    <row r="27" spans="2:25" s="5" customFormat="1" ht="16.5" customHeight="1">
      <c r="B27" s="50"/>
      <c r="C27" s="289">
        <v>84</v>
      </c>
      <c r="D27" s="484" t="s">
        <v>301</v>
      </c>
      <c r="E27" s="412" t="s">
        <v>341</v>
      </c>
      <c r="F27" s="485">
        <v>245</v>
      </c>
      <c r="G27" s="306">
        <f t="shared" si="0"/>
        <v>78.155</v>
      </c>
      <c r="H27" s="414">
        <v>39756.85972222222</v>
      </c>
      <c r="I27" s="192">
        <v>39756.88958333333</v>
      </c>
      <c r="J27" s="415">
        <f t="shared" si="1"/>
        <v>0.7166666665580124</v>
      </c>
      <c r="K27" s="416">
        <f t="shared" si="2"/>
        <v>43</v>
      </c>
      <c r="L27" s="234" t="s">
        <v>279</v>
      </c>
      <c r="M27" s="235" t="str">
        <f t="shared" si="3"/>
        <v>--</v>
      </c>
      <c r="N27" s="155" t="str">
        <f t="shared" si="4"/>
        <v>NO</v>
      </c>
      <c r="O27" s="486">
        <f t="shared" si="5"/>
        <v>20</v>
      </c>
      <c r="P27" s="487" t="str">
        <f t="shared" si="6"/>
        <v>--</v>
      </c>
      <c r="Q27" s="488">
        <f t="shared" si="7"/>
        <v>1563.1</v>
      </c>
      <c r="R27" s="489">
        <f t="shared" si="8"/>
        <v>1125.4319999999998</v>
      </c>
      <c r="S27" s="313" t="str">
        <f t="shared" si="9"/>
        <v>--</v>
      </c>
      <c r="T27" s="990" t="s">
        <v>248</v>
      </c>
      <c r="U27" s="490" t="str">
        <f t="shared" si="10"/>
        <v>--</v>
      </c>
      <c r="V27" s="310" t="str">
        <f t="shared" si="11"/>
        <v>--</v>
      </c>
      <c r="W27" s="155" t="str">
        <f t="shared" si="12"/>
        <v>SI</v>
      </c>
      <c r="X27" s="421">
        <f t="shared" si="13"/>
        <v>2688.5319999999997</v>
      </c>
      <c r="Y27" s="491"/>
    </row>
    <row r="28" spans="2:25" s="5" customFormat="1" ht="16.5" customHeight="1">
      <c r="B28" s="50"/>
      <c r="C28" s="157">
        <v>85</v>
      </c>
      <c r="D28" s="484" t="s">
        <v>371</v>
      </c>
      <c r="E28" s="412" t="s">
        <v>370</v>
      </c>
      <c r="F28" s="485">
        <v>50</v>
      </c>
      <c r="G28" s="306">
        <f t="shared" si="0"/>
        <v>15.950000000000001</v>
      </c>
      <c r="H28" s="414">
        <v>39759.17847222222</v>
      </c>
      <c r="I28" s="192">
        <v>39759.48125</v>
      </c>
      <c r="J28" s="415">
        <f t="shared" si="1"/>
        <v>7.2666666666045785</v>
      </c>
      <c r="K28" s="416">
        <f t="shared" si="2"/>
        <v>436</v>
      </c>
      <c r="L28" s="234" t="s">
        <v>251</v>
      </c>
      <c r="M28" s="235" t="str">
        <f t="shared" si="3"/>
        <v>--</v>
      </c>
      <c r="N28" s="155" t="str">
        <f t="shared" si="4"/>
        <v>--</v>
      </c>
      <c r="O28" s="486">
        <f t="shared" si="5"/>
        <v>2</v>
      </c>
      <c r="P28" s="487">
        <f t="shared" si="6"/>
        <v>231.913</v>
      </c>
      <c r="Q28" s="488" t="str">
        <f t="shared" si="7"/>
        <v>--</v>
      </c>
      <c r="R28" s="489" t="str">
        <f t="shared" si="8"/>
        <v>--</v>
      </c>
      <c r="S28" s="313" t="str">
        <f t="shared" si="9"/>
        <v>--</v>
      </c>
      <c r="T28" s="990" t="s">
        <v>248</v>
      </c>
      <c r="U28" s="490" t="str">
        <f t="shared" si="10"/>
        <v>--</v>
      </c>
      <c r="V28" s="310" t="str">
        <f t="shared" si="11"/>
        <v>--</v>
      </c>
      <c r="W28" s="155" t="str">
        <f t="shared" si="12"/>
        <v>SI</v>
      </c>
      <c r="X28" s="421">
        <v>0</v>
      </c>
      <c r="Y28" s="491"/>
    </row>
    <row r="29" spans="2:25" s="5" customFormat="1" ht="16.5" customHeight="1">
      <c r="B29" s="50"/>
      <c r="C29" s="289">
        <v>86</v>
      </c>
      <c r="D29" s="484" t="s">
        <v>301</v>
      </c>
      <c r="E29" s="412" t="s">
        <v>337</v>
      </c>
      <c r="F29" s="485">
        <v>245</v>
      </c>
      <c r="G29" s="306">
        <f t="shared" si="0"/>
        <v>78.155</v>
      </c>
      <c r="H29" s="414">
        <v>39759.990277777775</v>
      </c>
      <c r="I29" s="192">
        <v>39760.763194444444</v>
      </c>
      <c r="J29" s="415">
        <f t="shared" si="1"/>
        <v>18.550000000046566</v>
      </c>
      <c r="K29" s="416">
        <f t="shared" si="2"/>
        <v>1113</v>
      </c>
      <c r="L29" s="234" t="s">
        <v>251</v>
      </c>
      <c r="M29" s="235" t="str">
        <f t="shared" si="3"/>
        <v>--</v>
      </c>
      <c r="N29" s="155" t="str">
        <f t="shared" si="4"/>
        <v>--</v>
      </c>
      <c r="O29" s="486">
        <f t="shared" si="5"/>
        <v>2</v>
      </c>
      <c r="P29" s="487">
        <f t="shared" si="6"/>
        <v>2899.5505000000003</v>
      </c>
      <c r="Q29" s="488" t="str">
        <f t="shared" si="7"/>
        <v>--</v>
      </c>
      <c r="R29" s="489" t="str">
        <f t="shared" si="8"/>
        <v>--</v>
      </c>
      <c r="S29" s="313" t="str">
        <f t="shared" si="9"/>
        <v>--</v>
      </c>
      <c r="T29" s="990" t="s">
        <v>248</v>
      </c>
      <c r="U29" s="490" t="str">
        <f t="shared" si="10"/>
        <v>--</v>
      </c>
      <c r="V29" s="310" t="str">
        <f t="shared" si="11"/>
        <v>--</v>
      </c>
      <c r="W29" s="155" t="str">
        <f t="shared" si="12"/>
        <v>SI</v>
      </c>
      <c r="X29" s="421">
        <f t="shared" si="13"/>
        <v>2899.5505000000003</v>
      </c>
      <c r="Y29" s="491"/>
    </row>
    <row r="30" spans="2:25" s="5" customFormat="1" ht="16.5" customHeight="1">
      <c r="B30" s="50"/>
      <c r="C30" s="157">
        <v>87</v>
      </c>
      <c r="D30" s="484" t="s">
        <v>344</v>
      </c>
      <c r="E30" s="412" t="s">
        <v>345</v>
      </c>
      <c r="F30" s="485">
        <v>85</v>
      </c>
      <c r="G30" s="306">
        <f t="shared" si="0"/>
        <v>27.115000000000002</v>
      </c>
      <c r="H30" s="414">
        <v>39760.87708333333</v>
      </c>
      <c r="I30" s="192">
        <v>39769.72222222222</v>
      </c>
      <c r="J30" s="415">
        <f t="shared" si="1"/>
        <v>212.28333333326736</v>
      </c>
      <c r="K30" s="416">
        <f t="shared" si="2"/>
        <v>12737</v>
      </c>
      <c r="L30" s="234" t="s">
        <v>279</v>
      </c>
      <c r="M30" s="235" t="str">
        <f t="shared" si="3"/>
        <v>--</v>
      </c>
      <c r="N30" s="155" t="str">
        <f t="shared" si="4"/>
        <v>NO</v>
      </c>
      <c r="O30" s="486">
        <f t="shared" si="5"/>
        <v>20</v>
      </c>
      <c r="P30" s="487" t="str">
        <f t="shared" si="6"/>
        <v>--</v>
      </c>
      <c r="Q30" s="488">
        <f t="shared" si="7"/>
        <v>542.3000000000001</v>
      </c>
      <c r="R30" s="489">
        <f t="shared" si="8"/>
        <v>115119.44400000002</v>
      </c>
      <c r="S30" s="313" t="str">
        <f t="shared" si="9"/>
        <v>--</v>
      </c>
      <c r="T30" s="990" t="s">
        <v>248</v>
      </c>
      <c r="U30" s="490" t="str">
        <f t="shared" si="10"/>
        <v>--</v>
      </c>
      <c r="V30" s="310" t="str">
        <f t="shared" si="11"/>
        <v>--</v>
      </c>
      <c r="W30" s="155" t="str">
        <f t="shared" si="12"/>
        <v>SI</v>
      </c>
      <c r="X30" s="421">
        <f t="shared" si="13"/>
        <v>115661.74400000002</v>
      </c>
      <c r="Y30" s="6"/>
    </row>
    <row r="31" spans="2:25" s="5" customFormat="1" ht="16.5" customHeight="1">
      <c r="B31" s="50"/>
      <c r="C31" s="289">
        <v>88</v>
      </c>
      <c r="D31" s="484" t="s">
        <v>301</v>
      </c>
      <c r="E31" s="412" t="s">
        <v>337</v>
      </c>
      <c r="F31" s="485">
        <v>245</v>
      </c>
      <c r="G31" s="306">
        <f t="shared" si="0"/>
        <v>78.155</v>
      </c>
      <c r="H31" s="414">
        <v>39761.00069444445</v>
      </c>
      <c r="I31" s="192">
        <v>39762.455555555556</v>
      </c>
      <c r="J31" s="415">
        <f t="shared" si="1"/>
        <v>34.91666666662786</v>
      </c>
      <c r="K31" s="416">
        <f t="shared" si="2"/>
        <v>2095</v>
      </c>
      <c r="L31" s="234" t="s">
        <v>251</v>
      </c>
      <c r="M31" s="235" t="str">
        <f t="shared" si="3"/>
        <v>--</v>
      </c>
      <c r="N31" s="155" t="str">
        <f t="shared" si="4"/>
        <v>--</v>
      </c>
      <c r="O31" s="486">
        <f t="shared" si="5"/>
        <v>2</v>
      </c>
      <c r="P31" s="487">
        <f t="shared" si="6"/>
        <v>5458.345200000001</v>
      </c>
      <c r="Q31" s="488" t="str">
        <f t="shared" si="7"/>
        <v>--</v>
      </c>
      <c r="R31" s="489" t="str">
        <f t="shared" si="8"/>
        <v>--</v>
      </c>
      <c r="S31" s="313" t="str">
        <f t="shared" si="9"/>
        <v>--</v>
      </c>
      <c r="T31" s="990" t="s">
        <v>248</v>
      </c>
      <c r="U31" s="490" t="str">
        <f t="shared" si="10"/>
        <v>--</v>
      </c>
      <c r="V31" s="310" t="str">
        <f t="shared" si="11"/>
        <v>--</v>
      </c>
      <c r="W31" s="155" t="str">
        <f t="shared" si="12"/>
        <v>SI</v>
      </c>
      <c r="X31" s="421">
        <f t="shared" si="13"/>
        <v>5458.345200000001</v>
      </c>
      <c r="Y31" s="6"/>
    </row>
    <row r="32" spans="2:25" s="5" customFormat="1" ht="16.5" customHeight="1">
      <c r="B32" s="50"/>
      <c r="C32" s="157">
        <v>89</v>
      </c>
      <c r="D32" s="484" t="s">
        <v>301</v>
      </c>
      <c r="E32" s="412" t="s">
        <v>337</v>
      </c>
      <c r="F32" s="485">
        <v>245</v>
      </c>
      <c r="G32" s="306">
        <f t="shared" si="0"/>
        <v>78.155</v>
      </c>
      <c r="H32" s="414">
        <v>39762.989583333336</v>
      </c>
      <c r="I32" s="192">
        <v>39763.42847222222</v>
      </c>
      <c r="J32" s="415">
        <f t="shared" si="1"/>
        <v>10.533333333267365</v>
      </c>
      <c r="K32" s="416">
        <f t="shared" si="2"/>
        <v>632</v>
      </c>
      <c r="L32" s="234" t="s">
        <v>251</v>
      </c>
      <c r="M32" s="235" t="str">
        <f t="shared" si="3"/>
        <v>--</v>
      </c>
      <c r="N32" s="155" t="str">
        <f t="shared" si="4"/>
        <v>--</v>
      </c>
      <c r="O32" s="486">
        <f t="shared" si="5"/>
        <v>2</v>
      </c>
      <c r="P32" s="487">
        <f t="shared" si="6"/>
        <v>1645.9442999999999</v>
      </c>
      <c r="Q32" s="488" t="str">
        <f t="shared" si="7"/>
        <v>--</v>
      </c>
      <c r="R32" s="489" t="str">
        <f t="shared" si="8"/>
        <v>--</v>
      </c>
      <c r="S32" s="313" t="str">
        <f t="shared" si="9"/>
        <v>--</v>
      </c>
      <c r="T32" s="990" t="s">
        <v>248</v>
      </c>
      <c r="U32" s="490" t="str">
        <f t="shared" si="10"/>
        <v>--</v>
      </c>
      <c r="V32" s="310" t="str">
        <f t="shared" si="11"/>
        <v>--</v>
      </c>
      <c r="W32" s="155" t="str">
        <f t="shared" si="12"/>
        <v>SI</v>
      </c>
      <c r="X32" s="421">
        <f t="shared" si="13"/>
        <v>1645.9442999999999</v>
      </c>
      <c r="Y32" s="6"/>
    </row>
    <row r="33" spans="2:25" s="5" customFormat="1" ht="16.5" customHeight="1">
      <c r="B33" s="50"/>
      <c r="C33" s="289">
        <v>90</v>
      </c>
      <c r="D33" s="484" t="s">
        <v>301</v>
      </c>
      <c r="E33" s="412" t="s">
        <v>337</v>
      </c>
      <c r="F33" s="485">
        <v>245</v>
      </c>
      <c r="G33" s="306">
        <f t="shared" si="0"/>
        <v>78.155</v>
      </c>
      <c r="H33" s="414">
        <v>39763.96875</v>
      </c>
      <c r="I33" s="192">
        <v>39764.424305555556</v>
      </c>
      <c r="J33" s="415">
        <f t="shared" si="1"/>
        <v>10.933333333348855</v>
      </c>
      <c r="K33" s="416">
        <f t="shared" si="2"/>
        <v>656</v>
      </c>
      <c r="L33" s="234" t="s">
        <v>251</v>
      </c>
      <c r="M33" s="235" t="str">
        <f t="shared" si="3"/>
        <v>--</v>
      </c>
      <c r="N33" s="155" t="str">
        <f t="shared" si="4"/>
        <v>--</v>
      </c>
      <c r="O33" s="486">
        <f t="shared" si="5"/>
        <v>2</v>
      </c>
      <c r="P33" s="487">
        <f t="shared" si="6"/>
        <v>1708.4683</v>
      </c>
      <c r="Q33" s="488" t="str">
        <f t="shared" si="7"/>
        <v>--</v>
      </c>
      <c r="R33" s="489" t="str">
        <f t="shared" si="8"/>
        <v>--</v>
      </c>
      <c r="S33" s="313" t="str">
        <f t="shared" si="9"/>
        <v>--</v>
      </c>
      <c r="T33" s="990" t="s">
        <v>248</v>
      </c>
      <c r="U33" s="490" t="str">
        <f t="shared" si="10"/>
        <v>--</v>
      </c>
      <c r="V33" s="310" t="str">
        <f t="shared" si="11"/>
        <v>--</v>
      </c>
      <c r="W33" s="155" t="str">
        <f t="shared" si="12"/>
        <v>SI</v>
      </c>
      <c r="X33" s="421">
        <f t="shared" si="13"/>
        <v>1708.4683</v>
      </c>
      <c r="Y33" s="6"/>
    </row>
    <row r="34" spans="2:25" s="5" customFormat="1" ht="16.5" customHeight="1">
      <c r="B34" s="50"/>
      <c r="C34" s="157">
        <v>91</v>
      </c>
      <c r="D34" s="484" t="s">
        <v>301</v>
      </c>
      <c r="E34" s="412" t="s">
        <v>337</v>
      </c>
      <c r="F34" s="485">
        <v>245</v>
      </c>
      <c r="G34" s="306">
        <f t="shared" si="0"/>
        <v>78.155</v>
      </c>
      <c r="H34" s="414">
        <v>39765.00902777778</v>
      </c>
      <c r="I34" s="192">
        <v>39765.42569444444</v>
      </c>
      <c r="J34" s="415">
        <f t="shared" si="1"/>
        <v>9.999999999941792</v>
      </c>
      <c r="K34" s="416">
        <f t="shared" si="2"/>
        <v>600</v>
      </c>
      <c r="L34" s="234" t="s">
        <v>251</v>
      </c>
      <c r="M34" s="235" t="str">
        <f t="shared" si="3"/>
        <v>--</v>
      </c>
      <c r="N34" s="155" t="str">
        <f t="shared" si="4"/>
        <v>--</v>
      </c>
      <c r="O34" s="486">
        <f t="shared" si="5"/>
        <v>2</v>
      </c>
      <c r="P34" s="487">
        <f t="shared" si="6"/>
        <v>1563.1</v>
      </c>
      <c r="Q34" s="488" t="str">
        <f t="shared" si="7"/>
        <v>--</v>
      </c>
      <c r="R34" s="489" t="str">
        <f t="shared" si="8"/>
        <v>--</v>
      </c>
      <c r="S34" s="313" t="str">
        <f t="shared" si="9"/>
        <v>--</v>
      </c>
      <c r="T34" s="990" t="s">
        <v>248</v>
      </c>
      <c r="U34" s="490" t="str">
        <f t="shared" si="10"/>
        <v>--</v>
      </c>
      <c r="V34" s="310" t="str">
        <f t="shared" si="11"/>
        <v>--</v>
      </c>
      <c r="W34" s="155" t="str">
        <f t="shared" si="12"/>
        <v>SI</v>
      </c>
      <c r="X34" s="421">
        <f t="shared" si="13"/>
        <v>1563.1</v>
      </c>
      <c r="Y34" s="6"/>
    </row>
    <row r="35" spans="2:25" s="5" customFormat="1" ht="16.5" customHeight="1">
      <c r="B35" s="50"/>
      <c r="C35" s="289">
        <v>92</v>
      </c>
      <c r="D35" s="484" t="s">
        <v>301</v>
      </c>
      <c r="E35" s="412" t="s">
        <v>337</v>
      </c>
      <c r="F35" s="485">
        <v>245</v>
      </c>
      <c r="G35" s="306">
        <f t="shared" si="0"/>
        <v>78.155</v>
      </c>
      <c r="H35" s="414">
        <v>39765.96666666667</v>
      </c>
      <c r="I35" s="192">
        <v>39766.433333333334</v>
      </c>
      <c r="J35" s="415">
        <f t="shared" si="1"/>
        <v>11.200000000011642</v>
      </c>
      <c r="K35" s="416">
        <f t="shared" si="2"/>
        <v>672</v>
      </c>
      <c r="L35" s="234" t="s">
        <v>251</v>
      </c>
      <c r="M35" s="235" t="str">
        <f t="shared" si="3"/>
        <v>--</v>
      </c>
      <c r="N35" s="155" t="str">
        <f t="shared" si="4"/>
        <v>--</v>
      </c>
      <c r="O35" s="486">
        <f t="shared" si="5"/>
        <v>2</v>
      </c>
      <c r="P35" s="487">
        <f t="shared" si="6"/>
        <v>1750.672</v>
      </c>
      <c r="Q35" s="488" t="str">
        <f t="shared" si="7"/>
        <v>--</v>
      </c>
      <c r="R35" s="489" t="str">
        <f t="shared" si="8"/>
        <v>--</v>
      </c>
      <c r="S35" s="313" t="str">
        <f t="shared" si="9"/>
        <v>--</v>
      </c>
      <c r="T35" s="990" t="s">
        <v>248</v>
      </c>
      <c r="U35" s="490" t="str">
        <f t="shared" si="10"/>
        <v>--</v>
      </c>
      <c r="V35" s="310" t="str">
        <f t="shared" si="11"/>
        <v>--</v>
      </c>
      <c r="W35" s="155" t="str">
        <f t="shared" si="12"/>
        <v>SI</v>
      </c>
      <c r="X35" s="421">
        <f t="shared" si="13"/>
        <v>1750.672</v>
      </c>
      <c r="Y35" s="6"/>
    </row>
    <row r="36" spans="2:25" s="5" customFormat="1" ht="16.5" customHeight="1">
      <c r="B36" s="50"/>
      <c r="C36" s="157">
        <v>93</v>
      </c>
      <c r="D36" s="484" t="s">
        <v>301</v>
      </c>
      <c r="E36" s="412" t="s">
        <v>337</v>
      </c>
      <c r="F36" s="485">
        <v>245</v>
      </c>
      <c r="G36" s="306">
        <f t="shared" si="0"/>
        <v>78.155</v>
      </c>
      <c r="H36" s="414">
        <v>39767.03125</v>
      </c>
      <c r="I36" s="192">
        <v>39769.4375</v>
      </c>
      <c r="J36" s="415">
        <f t="shared" si="1"/>
        <v>57.75</v>
      </c>
      <c r="K36" s="416">
        <f t="shared" si="2"/>
        <v>3465</v>
      </c>
      <c r="L36" s="234" t="s">
        <v>251</v>
      </c>
      <c r="M36" s="235" t="str">
        <f t="shared" si="3"/>
        <v>--</v>
      </c>
      <c r="N36" s="155" t="str">
        <f t="shared" si="4"/>
        <v>--</v>
      </c>
      <c r="O36" s="486">
        <f t="shared" si="5"/>
        <v>2</v>
      </c>
      <c r="P36" s="487">
        <f t="shared" si="6"/>
        <v>9026.9025</v>
      </c>
      <c r="Q36" s="488" t="str">
        <f t="shared" si="7"/>
        <v>--</v>
      </c>
      <c r="R36" s="489" t="str">
        <f t="shared" si="8"/>
        <v>--</v>
      </c>
      <c r="S36" s="313" t="str">
        <f t="shared" si="9"/>
        <v>--</v>
      </c>
      <c r="T36" s="990" t="s">
        <v>248</v>
      </c>
      <c r="U36" s="490" t="str">
        <f t="shared" si="10"/>
        <v>--</v>
      </c>
      <c r="V36" s="310" t="str">
        <f t="shared" si="11"/>
        <v>--</v>
      </c>
      <c r="W36" s="155" t="str">
        <f t="shared" si="12"/>
        <v>SI</v>
      </c>
      <c r="X36" s="421">
        <f t="shared" si="13"/>
        <v>9026.9025</v>
      </c>
      <c r="Y36" s="6"/>
    </row>
    <row r="37" spans="2:25" s="5" customFormat="1" ht="16.5" customHeight="1">
      <c r="B37" s="50"/>
      <c r="C37" s="289">
        <v>94</v>
      </c>
      <c r="D37" s="484" t="s">
        <v>301</v>
      </c>
      <c r="E37" s="412" t="s">
        <v>337</v>
      </c>
      <c r="F37" s="485">
        <v>245</v>
      </c>
      <c r="G37" s="306">
        <f t="shared" si="0"/>
        <v>78.155</v>
      </c>
      <c r="H37" s="414">
        <v>39769.99236111111</v>
      </c>
      <c r="I37" s="192">
        <v>39770.40138888889</v>
      </c>
      <c r="J37" s="415">
        <f t="shared" si="1"/>
        <v>9.816666666709352</v>
      </c>
      <c r="K37" s="416">
        <f t="shared" si="2"/>
        <v>589</v>
      </c>
      <c r="L37" s="234" t="s">
        <v>251</v>
      </c>
      <c r="M37" s="235" t="str">
        <f t="shared" si="3"/>
        <v>--</v>
      </c>
      <c r="N37" s="155" t="str">
        <f t="shared" si="4"/>
        <v>--</v>
      </c>
      <c r="O37" s="486">
        <f t="shared" si="5"/>
        <v>2</v>
      </c>
      <c r="P37" s="487">
        <f t="shared" si="6"/>
        <v>1534.9642000000001</v>
      </c>
      <c r="Q37" s="488" t="str">
        <f t="shared" si="7"/>
        <v>--</v>
      </c>
      <c r="R37" s="489" t="str">
        <f t="shared" si="8"/>
        <v>--</v>
      </c>
      <c r="S37" s="313" t="str">
        <f t="shared" si="9"/>
        <v>--</v>
      </c>
      <c r="T37" s="990" t="s">
        <v>248</v>
      </c>
      <c r="U37" s="490" t="str">
        <f t="shared" si="10"/>
        <v>--</v>
      </c>
      <c r="V37" s="310" t="str">
        <f t="shared" si="11"/>
        <v>--</v>
      </c>
      <c r="W37" s="155" t="str">
        <f t="shared" si="12"/>
        <v>SI</v>
      </c>
      <c r="X37" s="421">
        <f t="shared" si="13"/>
        <v>1534.9642000000001</v>
      </c>
      <c r="Y37" s="6"/>
    </row>
    <row r="38" spans="2:25" s="5" customFormat="1" ht="16.5" customHeight="1">
      <c r="B38" s="50"/>
      <c r="C38" s="157">
        <v>95</v>
      </c>
      <c r="D38" s="484" t="s">
        <v>301</v>
      </c>
      <c r="E38" s="412" t="s">
        <v>337</v>
      </c>
      <c r="F38" s="485">
        <v>245</v>
      </c>
      <c r="G38" s="306">
        <f t="shared" si="0"/>
        <v>78.155</v>
      </c>
      <c r="H38" s="414">
        <v>39770.970138888886</v>
      </c>
      <c r="I38" s="192">
        <v>39771.419444444444</v>
      </c>
      <c r="J38" s="415">
        <f t="shared" si="1"/>
        <v>10.78333333338378</v>
      </c>
      <c r="K38" s="416">
        <f t="shared" si="2"/>
        <v>647</v>
      </c>
      <c r="L38" s="234" t="s">
        <v>251</v>
      </c>
      <c r="M38" s="235" t="str">
        <f t="shared" si="3"/>
        <v>--</v>
      </c>
      <c r="N38" s="155" t="str">
        <f t="shared" si="4"/>
        <v>--</v>
      </c>
      <c r="O38" s="486">
        <f t="shared" si="5"/>
        <v>2</v>
      </c>
      <c r="P38" s="487">
        <f t="shared" si="6"/>
        <v>1685.0218</v>
      </c>
      <c r="Q38" s="488" t="str">
        <f t="shared" si="7"/>
        <v>--</v>
      </c>
      <c r="R38" s="489" t="str">
        <f t="shared" si="8"/>
        <v>--</v>
      </c>
      <c r="S38" s="313" t="str">
        <f t="shared" si="9"/>
        <v>--</v>
      </c>
      <c r="T38" s="990" t="s">
        <v>248</v>
      </c>
      <c r="U38" s="490" t="str">
        <f t="shared" si="10"/>
        <v>--</v>
      </c>
      <c r="V38" s="310" t="str">
        <f t="shared" si="11"/>
        <v>--</v>
      </c>
      <c r="W38" s="155" t="str">
        <f t="shared" si="12"/>
        <v>SI</v>
      </c>
      <c r="X38" s="421">
        <f t="shared" si="13"/>
        <v>1685.0218</v>
      </c>
      <c r="Y38" s="6"/>
    </row>
    <row r="39" spans="2:25" s="5" customFormat="1" ht="16.5" customHeight="1">
      <c r="B39" s="50"/>
      <c r="C39" s="289">
        <v>96</v>
      </c>
      <c r="D39" s="484" t="s">
        <v>301</v>
      </c>
      <c r="E39" s="412" t="s">
        <v>337</v>
      </c>
      <c r="F39" s="485">
        <v>245</v>
      </c>
      <c r="G39" s="306">
        <f t="shared" si="0"/>
        <v>78.155</v>
      </c>
      <c r="H39" s="414">
        <v>39772.027083333334</v>
      </c>
      <c r="I39" s="192">
        <v>39772.42222222222</v>
      </c>
      <c r="J39" s="415">
        <f t="shared" si="1"/>
        <v>9.483333333337214</v>
      </c>
      <c r="K39" s="416">
        <f t="shared" si="2"/>
        <v>569</v>
      </c>
      <c r="L39" s="234" t="s">
        <v>251</v>
      </c>
      <c r="M39" s="235" t="str">
        <f t="shared" si="3"/>
        <v>--</v>
      </c>
      <c r="N39" s="155" t="str">
        <f t="shared" si="4"/>
        <v>--</v>
      </c>
      <c r="O39" s="486">
        <f t="shared" si="5"/>
        <v>2</v>
      </c>
      <c r="P39" s="487">
        <f t="shared" si="6"/>
        <v>1481.8188</v>
      </c>
      <c r="Q39" s="488" t="str">
        <f t="shared" si="7"/>
        <v>--</v>
      </c>
      <c r="R39" s="489" t="str">
        <f t="shared" si="8"/>
        <v>--</v>
      </c>
      <c r="S39" s="313" t="str">
        <f t="shared" si="9"/>
        <v>--</v>
      </c>
      <c r="T39" s="990" t="s">
        <v>248</v>
      </c>
      <c r="U39" s="490" t="str">
        <f t="shared" si="10"/>
        <v>--</v>
      </c>
      <c r="V39" s="310" t="str">
        <f t="shared" si="11"/>
        <v>--</v>
      </c>
      <c r="W39" s="155" t="str">
        <f t="shared" si="12"/>
        <v>SI</v>
      </c>
      <c r="X39" s="421">
        <f t="shared" si="13"/>
        <v>1481.8188</v>
      </c>
      <c r="Y39" s="6"/>
    </row>
    <row r="40" spans="2:25" s="5" customFormat="1" ht="16.5" customHeight="1">
      <c r="B40" s="50"/>
      <c r="C40" s="289"/>
      <c r="D40" s="484"/>
      <c r="E40" s="412"/>
      <c r="F40" s="485"/>
      <c r="G40" s="306">
        <f t="shared" si="0"/>
        <v>0</v>
      </c>
      <c r="H40" s="414"/>
      <c r="I40" s="192"/>
      <c r="J40" s="415">
        <f t="shared" si="1"/>
      </c>
      <c r="K40" s="416">
        <f t="shared" si="2"/>
      </c>
      <c r="L40" s="234"/>
      <c r="M40" s="235">
        <f t="shared" si="3"/>
      </c>
      <c r="N40" s="155">
        <f t="shared" si="4"/>
      </c>
      <c r="O40" s="486">
        <f t="shared" si="5"/>
        <v>20</v>
      </c>
      <c r="P40" s="487" t="str">
        <f t="shared" si="6"/>
        <v>--</v>
      </c>
      <c r="Q40" s="488" t="str">
        <f t="shared" si="7"/>
        <v>--</v>
      </c>
      <c r="R40" s="489" t="str">
        <f t="shared" si="8"/>
        <v>--</v>
      </c>
      <c r="S40" s="313" t="str">
        <f t="shared" si="9"/>
        <v>--</v>
      </c>
      <c r="T40" s="314" t="str">
        <f>IF(L40="R",G40*O40*M40/100*ROUND(K40/60,2),"--")</f>
        <v>--</v>
      </c>
      <c r="U40" s="490" t="str">
        <f t="shared" si="10"/>
        <v>--</v>
      </c>
      <c r="V40" s="310" t="str">
        <f t="shared" si="11"/>
        <v>--</v>
      </c>
      <c r="W40" s="155">
        <f t="shared" si="12"/>
      </c>
      <c r="X40" s="421">
        <f t="shared" si="13"/>
      </c>
      <c r="Y40" s="6"/>
    </row>
    <row r="41" spans="2:25" s="5" customFormat="1" ht="16.5" customHeight="1" thickBot="1">
      <c r="B41" s="50"/>
      <c r="C41" s="157"/>
      <c r="D41" s="492"/>
      <c r="E41" s="149"/>
      <c r="F41" s="493"/>
      <c r="G41" s="132"/>
      <c r="H41" s="422"/>
      <c r="I41" s="422"/>
      <c r="J41" s="423"/>
      <c r="K41" s="423"/>
      <c r="L41" s="422"/>
      <c r="M41" s="197"/>
      <c r="N41" s="154"/>
      <c r="O41" s="494"/>
      <c r="P41" s="495"/>
      <c r="Q41" s="496"/>
      <c r="R41" s="497"/>
      <c r="S41" s="331"/>
      <c r="T41" s="332"/>
      <c r="U41" s="498"/>
      <c r="V41" s="498"/>
      <c r="W41" s="154"/>
      <c r="X41" s="499"/>
      <c r="Y41" s="6"/>
    </row>
    <row r="42" spans="2:25" s="5" customFormat="1" ht="16.5" customHeight="1" thickBot="1" thickTop="1">
      <c r="B42" s="50"/>
      <c r="C42" s="128" t="s">
        <v>25</v>
      </c>
      <c r="D42" s="129" t="s">
        <v>367</v>
      </c>
      <c r="G42" s="4"/>
      <c r="H42" s="4"/>
      <c r="I42" s="4"/>
      <c r="J42" s="4"/>
      <c r="K42" s="4"/>
      <c r="L42" s="4"/>
      <c r="M42" s="4"/>
      <c r="N42" s="4"/>
      <c r="O42" s="4"/>
      <c r="P42" s="500">
        <f aca="true" t="shared" si="14" ref="P42:V42">SUM(P20:P41)</f>
        <v>139333.7451</v>
      </c>
      <c r="Q42" s="501">
        <f t="shared" si="14"/>
        <v>4625.5</v>
      </c>
      <c r="R42" s="502">
        <f t="shared" si="14"/>
        <v>596519.154</v>
      </c>
      <c r="S42" s="341">
        <f t="shared" si="14"/>
        <v>0</v>
      </c>
      <c r="T42" s="342">
        <f t="shared" si="14"/>
        <v>0</v>
      </c>
      <c r="U42" s="503">
        <f t="shared" si="14"/>
        <v>0</v>
      </c>
      <c r="V42" s="503">
        <f t="shared" si="14"/>
        <v>0</v>
      </c>
      <c r="X42" s="101">
        <f>ROUND(SUM(X20:X41),2)</f>
        <v>740246.49</v>
      </c>
      <c r="Y42" s="504"/>
    </row>
    <row r="43" spans="2:25" s="5" customFormat="1" ht="16.5" customHeight="1" thickBot="1" thickTop="1">
      <c r="B43" s="74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6"/>
    </row>
    <row r="44" spans="4:27" ht="16.5" customHeight="1" thickTop="1">
      <c r="D44" s="181"/>
      <c r="E44" s="181"/>
      <c r="F44" s="181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</row>
    <row r="45" spans="4:27" ht="16.5" customHeight="1">
      <c r="D45" s="181"/>
      <c r="E45" s="181"/>
      <c r="F45" s="181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</row>
    <row r="46" spans="4:27" ht="16.5" customHeight="1">
      <c r="D46" s="181"/>
      <c r="E46" s="181"/>
      <c r="F46" s="181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</row>
    <row r="47" spans="4:27" ht="16.5" customHeight="1">
      <c r="D47" s="181"/>
      <c r="E47" s="181"/>
      <c r="F47" s="181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</row>
    <row r="48" spans="4:27" ht="16.5" customHeight="1">
      <c r="D48" s="181"/>
      <c r="E48" s="181"/>
      <c r="F48" s="181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</row>
    <row r="49" spans="4:27" ht="16.5" customHeight="1">
      <c r="D49" s="181"/>
      <c r="E49" s="181"/>
      <c r="F49" s="181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</row>
    <row r="50" spans="4:27" ht="16.5" customHeight="1"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</row>
    <row r="51" spans="4:27" ht="16.5" customHeight="1"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</row>
    <row r="52" spans="4:27" ht="16.5" customHeight="1"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</row>
    <row r="53" spans="4:27" ht="16.5" customHeight="1"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</row>
    <row r="54" spans="4:27" ht="16.5" customHeight="1"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</row>
    <row r="55" spans="4:27" ht="16.5" customHeight="1"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</row>
    <row r="56" spans="4:27" ht="16.5" customHeight="1"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</row>
    <row r="57" spans="4:27" ht="16.5" customHeight="1"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</row>
    <row r="58" spans="4:27" ht="16.5" customHeight="1"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</row>
    <row r="59" spans="4:27" ht="16.5" customHeight="1"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</row>
    <row r="60" spans="4:27" ht="16.5" customHeight="1"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</row>
    <row r="61" spans="4:27" ht="16.5" customHeight="1"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</row>
    <row r="62" spans="4:27" ht="16.5" customHeight="1"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</row>
    <row r="63" spans="4:27" ht="16.5" customHeight="1"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</row>
    <row r="64" spans="4:27" ht="16.5" customHeight="1"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</row>
    <row r="65" spans="4:27" ht="16.5" customHeight="1"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</row>
    <row r="66" spans="4:27" ht="16.5" customHeight="1"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</row>
    <row r="67" spans="4:27" ht="16.5" customHeight="1"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</row>
    <row r="68" spans="4:27" ht="16.5" customHeight="1"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</row>
    <row r="69" spans="4:27" ht="16.5" customHeight="1"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</row>
    <row r="70" spans="4:27" ht="16.5" customHeight="1"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</row>
    <row r="71" spans="4:27" ht="16.5" customHeight="1"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</row>
    <row r="72" spans="4:27" ht="16.5" customHeight="1"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</row>
    <row r="73" spans="4:27" ht="16.5" customHeight="1"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</row>
    <row r="74" spans="4:27" ht="16.5" customHeight="1"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</row>
    <row r="75" spans="4:27" ht="16.5" customHeight="1"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79"/>
    </row>
    <row r="76" spans="4:27" ht="16.5" customHeight="1"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</row>
    <row r="77" spans="4:27" ht="16.5" customHeight="1"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  <c r="AA77" s="179"/>
    </row>
    <row r="78" spans="4:27" ht="16.5" customHeight="1"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</row>
    <row r="79" spans="4:27" ht="16.5" customHeight="1"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</row>
    <row r="80" spans="4:27" ht="16.5" customHeight="1"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  <c r="AA80" s="179"/>
    </row>
    <row r="81" spans="4:27" ht="16.5" customHeight="1"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  <c r="AA81" s="179"/>
    </row>
    <row r="82" spans="4:27" ht="16.5" customHeight="1"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  <c r="Z82" s="179"/>
      <c r="AA82" s="179"/>
    </row>
    <row r="83" spans="4:27" ht="16.5" customHeight="1"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79"/>
      <c r="AA83" s="179"/>
    </row>
    <row r="84" spans="4:27" ht="16.5" customHeight="1"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  <c r="T84" s="179"/>
      <c r="U84" s="179"/>
      <c r="V84" s="179"/>
      <c r="W84" s="179"/>
      <c r="X84" s="179"/>
      <c r="Y84" s="179"/>
      <c r="Z84" s="179"/>
      <c r="AA84" s="179"/>
    </row>
    <row r="85" spans="4:27" ht="16.5" customHeight="1"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</row>
    <row r="86" spans="4:27" ht="16.5" customHeight="1"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  <c r="W86" s="179"/>
      <c r="X86" s="179"/>
      <c r="Y86" s="179"/>
      <c r="Z86" s="179"/>
      <c r="AA86" s="179"/>
    </row>
    <row r="87" spans="4:27" ht="16.5" customHeight="1"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</row>
    <row r="88" spans="4:27" ht="16.5" customHeight="1"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79"/>
      <c r="X88" s="179"/>
      <c r="Y88" s="179"/>
      <c r="Z88" s="179"/>
      <c r="AA88" s="179"/>
    </row>
    <row r="89" spans="4:27" ht="16.5" customHeight="1"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  <c r="AA89" s="179"/>
    </row>
    <row r="90" spans="4:27" ht="16.5" customHeight="1"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  <c r="X90" s="179"/>
      <c r="Y90" s="179"/>
      <c r="Z90" s="179"/>
      <c r="AA90" s="179"/>
    </row>
    <row r="91" spans="4:27" ht="16.5" customHeight="1"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79"/>
      <c r="Z91" s="179"/>
      <c r="AA91" s="179"/>
    </row>
    <row r="92" spans="4:27" ht="16.5" customHeight="1"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</row>
    <row r="93" spans="4:27" ht="16.5" customHeight="1"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  <c r="X93" s="179"/>
      <c r="Y93" s="179"/>
      <c r="Z93" s="179"/>
      <c r="AA93" s="179"/>
    </row>
    <row r="94" spans="4:27" ht="16.5" customHeight="1"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9"/>
      <c r="Z94" s="179"/>
      <c r="AA94" s="179"/>
    </row>
    <row r="95" spans="4:27" ht="16.5" customHeight="1"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  <c r="X95" s="179"/>
      <c r="Y95" s="179"/>
      <c r="Z95" s="179"/>
      <c r="AA95" s="179"/>
    </row>
    <row r="96" spans="4:27" ht="16.5" customHeight="1"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79"/>
      <c r="AA96" s="179"/>
    </row>
    <row r="97" spans="4:27" ht="16.5" customHeight="1"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  <c r="Z97" s="179"/>
      <c r="AA97" s="179"/>
    </row>
    <row r="98" spans="4:27" ht="16.5" customHeight="1"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  <c r="S98" s="179"/>
      <c r="T98" s="179"/>
      <c r="U98" s="179"/>
      <c r="V98" s="179"/>
      <c r="W98" s="179"/>
      <c r="X98" s="179"/>
      <c r="Y98" s="179"/>
      <c r="Z98" s="179"/>
      <c r="AA98" s="179"/>
    </row>
    <row r="99" spans="4:27" ht="16.5" customHeight="1"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  <c r="S99" s="179"/>
      <c r="T99" s="179"/>
      <c r="U99" s="179"/>
      <c r="V99" s="179"/>
      <c r="W99" s="179"/>
      <c r="X99" s="179"/>
      <c r="Y99" s="179"/>
      <c r="Z99" s="179"/>
      <c r="AA99" s="179"/>
    </row>
    <row r="100" spans="4:27" ht="16.5" customHeight="1"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179"/>
      <c r="U100" s="179"/>
      <c r="V100" s="179"/>
      <c r="W100" s="179"/>
      <c r="X100" s="179"/>
      <c r="Y100" s="179"/>
      <c r="Z100" s="179"/>
      <c r="AA100" s="179"/>
    </row>
    <row r="101" spans="4:27" ht="16.5" customHeight="1"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  <c r="S101" s="179"/>
      <c r="T101" s="179"/>
      <c r="U101" s="179"/>
      <c r="V101" s="179"/>
      <c r="W101" s="179"/>
      <c r="X101" s="179"/>
      <c r="Y101" s="179"/>
      <c r="Z101" s="179"/>
      <c r="AA101" s="179"/>
    </row>
    <row r="102" spans="4:27" ht="16.5" customHeight="1"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179"/>
      <c r="Y102" s="179"/>
      <c r="Z102" s="179"/>
      <c r="AA102" s="179"/>
    </row>
    <row r="103" spans="4:27" ht="16.5" customHeight="1"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  <c r="S103" s="179"/>
      <c r="T103" s="179"/>
      <c r="U103" s="179"/>
      <c r="V103" s="179"/>
      <c r="W103" s="179"/>
      <c r="X103" s="179"/>
      <c r="Y103" s="179"/>
      <c r="Z103" s="179"/>
      <c r="AA103" s="179"/>
    </row>
    <row r="104" spans="4:27" ht="16.5" customHeight="1"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179"/>
      <c r="U104" s="179"/>
      <c r="V104" s="179"/>
      <c r="W104" s="179"/>
      <c r="X104" s="179"/>
      <c r="Y104" s="179"/>
      <c r="Z104" s="179"/>
      <c r="AA104" s="179"/>
    </row>
    <row r="105" spans="4:27" ht="16.5" customHeight="1"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  <c r="S105" s="179"/>
      <c r="T105" s="179"/>
      <c r="U105" s="179"/>
      <c r="V105" s="179"/>
      <c r="W105" s="179"/>
      <c r="X105" s="179"/>
      <c r="Y105" s="179"/>
      <c r="Z105" s="179"/>
      <c r="AA105" s="179"/>
    </row>
    <row r="106" spans="4:27" ht="16.5" customHeight="1"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T106" s="179"/>
      <c r="U106" s="179"/>
      <c r="V106" s="179"/>
      <c r="W106" s="179"/>
      <c r="X106" s="179"/>
      <c r="Y106" s="179"/>
      <c r="Z106" s="179"/>
      <c r="AA106" s="179"/>
    </row>
    <row r="107" spans="4:27" ht="16.5" customHeight="1"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  <c r="S107" s="179"/>
      <c r="T107" s="179"/>
      <c r="U107" s="179"/>
      <c r="V107" s="179"/>
      <c r="W107" s="179"/>
      <c r="X107" s="179"/>
      <c r="Y107" s="179"/>
      <c r="Z107" s="179"/>
      <c r="AA107" s="179"/>
    </row>
    <row r="108" spans="4:27" ht="16.5" customHeight="1"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  <c r="S108" s="179"/>
      <c r="T108" s="179"/>
      <c r="U108" s="179"/>
      <c r="V108" s="179"/>
      <c r="W108" s="179"/>
      <c r="X108" s="179"/>
      <c r="Y108" s="179"/>
      <c r="Z108" s="179"/>
      <c r="AA108" s="179"/>
    </row>
    <row r="109" spans="4:27" ht="16.5" customHeight="1"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  <c r="S109" s="179"/>
      <c r="T109" s="179"/>
      <c r="U109" s="179"/>
      <c r="V109" s="179"/>
      <c r="W109" s="179"/>
      <c r="X109" s="179"/>
      <c r="Y109" s="179"/>
      <c r="Z109" s="179"/>
      <c r="AA109" s="179"/>
    </row>
    <row r="110" spans="4:27" ht="16.5" customHeight="1"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  <c r="S110" s="179"/>
      <c r="T110" s="179"/>
      <c r="U110" s="179"/>
      <c r="V110" s="179"/>
      <c r="W110" s="179"/>
      <c r="X110" s="179"/>
      <c r="Y110" s="179"/>
      <c r="Z110" s="179"/>
      <c r="AA110" s="179"/>
    </row>
    <row r="111" spans="4:27" ht="16.5" customHeight="1"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  <c r="S111" s="179"/>
      <c r="T111" s="179"/>
      <c r="U111" s="179"/>
      <c r="V111" s="179"/>
      <c r="W111" s="179"/>
      <c r="X111" s="179"/>
      <c r="Y111" s="179"/>
      <c r="Z111" s="179"/>
      <c r="AA111" s="179"/>
    </row>
    <row r="112" spans="4:27" ht="16.5" customHeight="1"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  <c r="S112" s="179"/>
      <c r="T112" s="179"/>
      <c r="U112" s="179"/>
      <c r="V112" s="179"/>
      <c r="W112" s="179"/>
      <c r="X112" s="179"/>
      <c r="Y112" s="179"/>
      <c r="Z112" s="179"/>
      <c r="AA112" s="179"/>
    </row>
    <row r="113" spans="4:27" ht="16.5" customHeight="1"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  <c r="S113" s="179"/>
      <c r="T113" s="179"/>
      <c r="U113" s="179"/>
      <c r="V113" s="179"/>
      <c r="W113" s="179"/>
      <c r="X113" s="179"/>
      <c r="Y113" s="179"/>
      <c r="Z113" s="179"/>
      <c r="AA113" s="179"/>
    </row>
    <row r="114" spans="4:27" ht="16.5" customHeight="1"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  <c r="S114" s="179"/>
      <c r="T114" s="179"/>
      <c r="U114" s="179"/>
      <c r="V114" s="179"/>
      <c r="W114" s="179"/>
      <c r="X114" s="179"/>
      <c r="Y114" s="179"/>
      <c r="Z114" s="179"/>
      <c r="AA114" s="179"/>
    </row>
    <row r="115" spans="4:27" ht="16.5" customHeight="1"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  <c r="S115" s="179"/>
      <c r="T115" s="179"/>
      <c r="U115" s="179"/>
      <c r="V115" s="179"/>
      <c r="W115" s="179"/>
      <c r="X115" s="179"/>
      <c r="Y115" s="179"/>
      <c r="Z115" s="179"/>
      <c r="AA115" s="179"/>
    </row>
    <row r="116" spans="4:27" ht="16.5" customHeight="1"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  <c r="S116" s="179"/>
      <c r="T116" s="179"/>
      <c r="U116" s="179"/>
      <c r="V116" s="179"/>
      <c r="W116" s="179"/>
      <c r="X116" s="179"/>
      <c r="Y116" s="179"/>
      <c r="Z116" s="179"/>
      <c r="AA116" s="179"/>
    </row>
    <row r="117" spans="4:27" ht="16.5" customHeight="1"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  <c r="S117" s="179"/>
      <c r="T117" s="179"/>
      <c r="U117" s="179"/>
      <c r="V117" s="179"/>
      <c r="W117" s="179"/>
      <c r="X117" s="179"/>
      <c r="Y117" s="179"/>
      <c r="Z117" s="179"/>
      <c r="AA117" s="179"/>
    </row>
    <row r="118" spans="4:27" ht="16.5" customHeight="1"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  <c r="S118" s="179"/>
      <c r="T118" s="179"/>
      <c r="U118" s="179"/>
      <c r="V118" s="179"/>
      <c r="W118" s="179"/>
      <c r="X118" s="179"/>
      <c r="Y118" s="179"/>
      <c r="Z118" s="179"/>
      <c r="AA118" s="179"/>
    </row>
    <row r="119" spans="4:27" ht="16.5" customHeight="1"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  <c r="S119" s="179"/>
      <c r="T119" s="179"/>
      <c r="U119" s="179"/>
      <c r="V119" s="179"/>
      <c r="W119" s="179"/>
      <c r="X119" s="179"/>
      <c r="Y119" s="179"/>
      <c r="Z119" s="179"/>
      <c r="AA119" s="179"/>
    </row>
    <row r="120" spans="4:27" ht="16.5" customHeight="1"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  <c r="S120" s="179"/>
      <c r="T120" s="179"/>
      <c r="U120" s="179"/>
      <c r="V120" s="179"/>
      <c r="W120" s="179"/>
      <c r="X120" s="179"/>
      <c r="Y120" s="179"/>
      <c r="Z120" s="179"/>
      <c r="AA120" s="179"/>
    </row>
    <row r="121" spans="4:27" ht="16.5" customHeight="1"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  <c r="S121" s="179"/>
      <c r="T121" s="179"/>
      <c r="U121" s="179"/>
      <c r="V121" s="179"/>
      <c r="W121" s="179"/>
      <c r="X121" s="179"/>
      <c r="Y121" s="179"/>
      <c r="Z121" s="179"/>
      <c r="AA121" s="179"/>
    </row>
    <row r="122" spans="4:27" ht="16.5" customHeight="1"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  <c r="S122" s="179"/>
      <c r="T122" s="179"/>
      <c r="U122" s="179"/>
      <c r="V122" s="179"/>
      <c r="W122" s="179"/>
      <c r="X122" s="179"/>
      <c r="Y122" s="179"/>
      <c r="Z122" s="179"/>
      <c r="AA122" s="179"/>
    </row>
    <row r="123" spans="4:27" ht="16.5" customHeight="1"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  <c r="S123" s="179"/>
      <c r="T123" s="179"/>
      <c r="U123" s="179"/>
      <c r="V123" s="179"/>
      <c r="W123" s="179"/>
      <c r="X123" s="179"/>
      <c r="Y123" s="179"/>
      <c r="Z123" s="179"/>
      <c r="AA123" s="179"/>
    </row>
    <row r="124" spans="4:27" ht="16.5" customHeight="1"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  <c r="S124" s="179"/>
      <c r="T124" s="179"/>
      <c r="U124" s="179"/>
      <c r="V124" s="179"/>
      <c r="W124" s="179"/>
      <c r="X124" s="179"/>
      <c r="Y124" s="179"/>
      <c r="Z124" s="179"/>
      <c r="AA124" s="179"/>
    </row>
    <row r="125" spans="4:27" ht="16.5" customHeight="1"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  <c r="S125" s="179"/>
      <c r="T125" s="179"/>
      <c r="U125" s="179"/>
      <c r="V125" s="179"/>
      <c r="W125" s="179"/>
      <c r="X125" s="179"/>
      <c r="Y125" s="179"/>
      <c r="Z125" s="179"/>
      <c r="AA125" s="179"/>
    </row>
    <row r="126" spans="4:27" ht="16.5" customHeight="1"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  <c r="S126" s="179"/>
      <c r="T126" s="179"/>
      <c r="U126" s="179"/>
      <c r="V126" s="179"/>
      <c r="W126" s="179"/>
      <c r="X126" s="179"/>
      <c r="Y126" s="179"/>
      <c r="Z126" s="179"/>
      <c r="AA126" s="179"/>
    </row>
    <row r="127" spans="4:27" ht="16.5" customHeight="1"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  <c r="S127" s="179"/>
      <c r="T127" s="179"/>
      <c r="U127" s="179"/>
      <c r="V127" s="179"/>
      <c r="W127" s="179"/>
      <c r="X127" s="179"/>
      <c r="Y127" s="179"/>
      <c r="Z127" s="179"/>
      <c r="AA127" s="179"/>
    </row>
    <row r="128" spans="4:27" ht="16.5" customHeight="1"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  <c r="S128" s="179"/>
      <c r="T128" s="179"/>
      <c r="U128" s="179"/>
      <c r="V128" s="179"/>
      <c r="W128" s="179"/>
      <c r="X128" s="179"/>
      <c r="Y128" s="179"/>
      <c r="Z128" s="179"/>
      <c r="AA128" s="179"/>
    </row>
    <row r="129" spans="4:27" ht="16.5" customHeight="1"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  <c r="S129" s="179"/>
      <c r="T129" s="179"/>
      <c r="U129" s="179"/>
      <c r="V129" s="179"/>
      <c r="W129" s="179"/>
      <c r="X129" s="179"/>
      <c r="Y129" s="179"/>
      <c r="Z129" s="179"/>
      <c r="AA129" s="179"/>
    </row>
    <row r="130" spans="4:27" ht="16.5" customHeight="1"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  <c r="S130" s="179"/>
      <c r="T130" s="179"/>
      <c r="U130" s="179"/>
      <c r="V130" s="179"/>
      <c r="W130" s="179"/>
      <c r="X130" s="179"/>
      <c r="Y130" s="179"/>
      <c r="Z130" s="179"/>
      <c r="AA130" s="179"/>
    </row>
    <row r="131" spans="4:27" ht="16.5" customHeight="1"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  <c r="S131" s="179"/>
      <c r="T131" s="179"/>
      <c r="U131" s="179"/>
      <c r="V131" s="179"/>
      <c r="W131" s="179"/>
      <c r="X131" s="179"/>
      <c r="Y131" s="179"/>
      <c r="Z131" s="179"/>
      <c r="AA131" s="179"/>
    </row>
    <row r="132" spans="4:27" ht="16.5" customHeight="1"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  <c r="S132" s="179"/>
      <c r="T132" s="179"/>
      <c r="U132" s="179"/>
      <c r="V132" s="179"/>
      <c r="W132" s="179"/>
      <c r="X132" s="179"/>
      <c r="Y132" s="179"/>
      <c r="Z132" s="179"/>
      <c r="AA132" s="179"/>
    </row>
    <row r="133" spans="4:27" ht="16.5" customHeight="1"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  <c r="S133" s="179"/>
      <c r="T133" s="179"/>
      <c r="U133" s="179"/>
      <c r="V133" s="179"/>
      <c r="W133" s="179"/>
      <c r="X133" s="179"/>
      <c r="Y133" s="179"/>
      <c r="Z133" s="179"/>
      <c r="AA133" s="179"/>
    </row>
    <row r="134" spans="4:27" ht="16.5" customHeight="1"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  <c r="S134" s="179"/>
      <c r="T134" s="179"/>
      <c r="U134" s="179"/>
      <c r="V134" s="179"/>
      <c r="W134" s="179"/>
      <c r="X134" s="179"/>
      <c r="Y134" s="179"/>
      <c r="Z134" s="179"/>
      <c r="AA134" s="179"/>
    </row>
    <row r="135" spans="4:27" ht="16.5" customHeight="1"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  <c r="S135" s="179"/>
      <c r="T135" s="179"/>
      <c r="U135" s="179"/>
      <c r="V135" s="179"/>
      <c r="W135" s="179"/>
      <c r="X135" s="179"/>
      <c r="Y135" s="179"/>
      <c r="Z135" s="179"/>
      <c r="AA135" s="179"/>
    </row>
    <row r="136" spans="4:27" ht="16.5" customHeight="1"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  <c r="S136" s="179"/>
      <c r="T136" s="179"/>
      <c r="U136" s="179"/>
      <c r="V136" s="179"/>
      <c r="W136" s="179"/>
      <c r="X136" s="179"/>
      <c r="Y136" s="179"/>
      <c r="Z136" s="179"/>
      <c r="AA136" s="179"/>
    </row>
    <row r="137" spans="4:27" ht="16.5" customHeight="1"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  <c r="S137" s="179"/>
      <c r="T137" s="179"/>
      <c r="U137" s="179"/>
      <c r="V137" s="179"/>
      <c r="W137" s="179"/>
      <c r="X137" s="179"/>
      <c r="Y137" s="179"/>
      <c r="Z137" s="179"/>
      <c r="AA137" s="179"/>
    </row>
    <row r="138" spans="4:27" ht="16.5" customHeight="1"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  <c r="S138" s="179"/>
      <c r="T138" s="179"/>
      <c r="U138" s="179"/>
      <c r="V138" s="179"/>
      <c r="W138" s="179"/>
      <c r="X138" s="179"/>
      <c r="Y138" s="179"/>
      <c r="Z138" s="179"/>
      <c r="AA138" s="179"/>
    </row>
    <row r="139" spans="4:27" ht="16.5" customHeight="1"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  <c r="S139" s="179"/>
      <c r="T139" s="179"/>
      <c r="U139" s="179"/>
      <c r="V139" s="179"/>
      <c r="W139" s="179"/>
      <c r="X139" s="179"/>
      <c r="Y139" s="179"/>
      <c r="Z139" s="179"/>
      <c r="AA139" s="179"/>
    </row>
    <row r="140" spans="4:27" ht="16.5" customHeight="1"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  <c r="S140" s="179"/>
      <c r="T140" s="179"/>
      <c r="U140" s="179"/>
      <c r="V140" s="179"/>
      <c r="W140" s="179"/>
      <c r="X140" s="179"/>
      <c r="Y140" s="179"/>
      <c r="Z140" s="179"/>
      <c r="AA140" s="179"/>
    </row>
    <row r="141" spans="4:27" ht="16.5" customHeight="1"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  <c r="S141" s="179"/>
      <c r="T141" s="179"/>
      <c r="U141" s="179"/>
      <c r="V141" s="179"/>
      <c r="W141" s="179"/>
      <c r="X141" s="179"/>
      <c r="Y141" s="179"/>
      <c r="Z141" s="179"/>
      <c r="AA141" s="179"/>
    </row>
    <row r="142" spans="4:27" ht="16.5" customHeight="1"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  <c r="S142" s="179"/>
      <c r="T142" s="179"/>
      <c r="U142" s="179"/>
      <c r="V142" s="179"/>
      <c r="W142" s="179"/>
      <c r="X142" s="179"/>
      <c r="Y142" s="179"/>
      <c r="Z142" s="179"/>
      <c r="AA142" s="179"/>
    </row>
    <row r="143" spans="4:27" ht="16.5" customHeight="1"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  <c r="S143" s="179"/>
      <c r="T143" s="179"/>
      <c r="U143" s="179"/>
      <c r="V143" s="179"/>
      <c r="W143" s="179"/>
      <c r="X143" s="179"/>
      <c r="Y143" s="179"/>
      <c r="Z143" s="179"/>
      <c r="AA143" s="179"/>
    </row>
    <row r="144" spans="4:27" ht="16.5" customHeight="1"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  <c r="S144" s="179"/>
      <c r="T144" s="179"/>
      <c r="U144" s="179"/>
      <c r="V144" s="179"/>
      <c r="W144" s="179"/>
      <c r="X144" s="179"/>
      <c r="Y144" s="179"/>
      <c r="Z144" s="179"/>
      <c r="AA144" s="179"/>
    </row>
    <row r="145" spans="4:27" ht="16.5" customHeight="1"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  <c r="S145" s="179"/>
      <c r="T145" s="179"/>
      <c r="U145" s="179"/>
      <c r="V145" s="179"/>
      <c r="W145" s="179"/>
      <c r="X145" s="179"/>
      <c r="Y145" s="179"/>
      <c r="Z145" s="179"/>
      <c r="AA145" s="179"/>
    </row>
    <row r="146" spans="4:27" ht="16.5" customHeight="1"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  <c r="S146" s="179"/>
      <c r="T146" s="179"/>
      <c r="U146" s="179"/>
      <c r="V146" s="179"/>
      <c r="W146" s="179"/>
      <c r="X146" s="179"/>
      <c r="Y146" s="179"/>
      <c r="Z146" s="179"/>
      <c r="AA146" s="179"/>
    </row>
    <row r="147" spans="4:27" ht="16.5" customHeight="1"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  <c r="S147" s="179"/>
      <c r="T147" s="179"/>
      <c r="U147" s="179"/>
      <c r="V147" s="179"/>
      <c r="W147" s="179"/>
      <c r="X147" s="179"/>
      <c r="Y147" s="179"/>
      <c r="Z147" s="179"/>
      <c r="AA147" s="179"/>
    </row>
    <row r="148" spans="4:27" ht="16.5" customHeight="1"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  <c r="S148" s="179"/>
      <c r="T148" s="179"/>
      <c r="U148" s="179"/>
      <c r="V148" s="179"/>
      <c r="W148" s="179"/>
      <c r="X148" s="179"/>
      <c r="Y148" s="179"/>
      <c r="Z148" s="179"/>
      <c r="AA148" s="179"/>
    </row>
    <row r="149" spans="4:27" ht="16.5" customHeight="1"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  <c r="S149" s="179"/>
      <c r="T149" s="179"/>
      <c r="U149" s="179"/>
      <c r="V149" s="179"/>
      <c r="W149" s="179"/>
      <c r="X149" s="179"/>
      <c r="Y149" s="179"/>
      <c r="Z149" s="179"/>
      <c r="AA149" s="179"/>
    </row>
    <row r="150" spans="4:27" ht="16.5" customHeight="1"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  <c r="S150" s="179"/>
      <c r="T150" s="179"/>
      <c r="U150" s="179"/>
      <c r="V150" s="179"/>
      <c r="W150" s="179"/>
      <c r="X150" s="179"/>
      <c r="Y150" s="179"/>
      <c r="Z150" s="179"/>
      <c r="AA150" s="179"/>
    </row>
    <row r="151" spans="4:27" ht="16.5" customHeight="1">
      <c r="D151" s="179"/>
      <c r="E151" s="179"/>
      <c r="F151" s="179"/>
      <c r="Z151" s="179"/>
      <c r="AA151" s="179"/>
    </row>
    <row r="152" spans="4:6" ht="16.5" customHeight="1">
      <c r="D152" s="179"/>
      <c r="E152" s="179"/>
      <c r="F152" s="179"/>
    </row>
    <row r="153" spans="4:6" ht="16.5" customHeight="1">
      <c r="D153" s="179"/>
      <c r="E153" s="179"/>
      <c r="F153" s="179"/>
    </row>
    <row r="154" spans="4:6" ht="16.5" customHeight="1">
      <c r="D154" s="179"/>
      <c r="E154" s="179"/>
      <c r="F154" s="179"/>
    </row>
    <row r="155" spans="4:6" ht="16.5" customHeight="1">
      <c r="D155" s="179"/>
      <c r="E155" s="179"/>
      <c r="F155" s="179"/>
    </row>
    <row r="156" spans="4:6" ht="16.5" customHeight="1">
      <c r="D156" s="179"/>
      <c r="E156" s="179"/>
      <c r="F156" s="179"/>
    </row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43">
    <pageSetUpPr fitToPage="1"/>
  </sheetPr>
  <dimension ref="A1:AA157"/>
  <sheetViews>
    <sheetView zoomScale="75" zoomScaleNormal="75" workbookViewId="0" topLeftCell="B1">
      <selection activeCell="L25" sqref="L25"/>
    </sheetView>
  </sheetViews>
  <sheetFormatPr defaultColWidth="11.421875" defaultRowHeight="12.75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25.7109375" style="0" customWidth="1"/>
    <col min="6" max="6" width="8.00390625" style="0" customWidth="1"/>
    <col min="7" max="7" width="5.421875" style="0" hidden="1" customWidth="1"/>
    <col min="8" max="9" width="15.7109375" style="0" customWidth="1"/>
    <col min="10" max="13" width="9.7109375" style="0" customWidth="1"/>
    <col min="14" max="14" width="6.00390625" style="0" customWidth="1"/>
    <col min="15" max="15" width="3.7109375" style="0" hidden="1" customWidth="1"/>
    <col min="16" max="16" width="13.140625" style="0" hidden="1" customWidth="1"/>
    <col min="17" max="20" width="9.57421875" style="0" hidden="1" customWidth="1"/>
    <col min="21" max="22" width="12.28125" style="0" hidden="1" customWidth="1"/>
    <col min="23" max="23" width="9.7109375" style="0" customWidth="1"/>
    <col min="24" max="25" width="15.7109375" style="0" customWidth="1"/>
  </cols>
  <sheetData>
    <row r="1" s="18" customFormat="1" ht="26.25">
      <c r="Y1" s="146"/>
    </row>
    <row r="2" spans="1:25" s="18" customFormat="1" ht="26.25">
      <c r="A2" s="91"/>
      <c r="B2" s="435" t="str">
        <f>+'TOT-1108'!B2</f>
        <v>ANEXO VI al Memoràndum D.T.E.E. N°  366 / 2010          </v>
      </c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  <c r="X2" s="435"/>
      <c r="Y2" s="435"/>
    </row>
    <row r="3" s="5" customFormat="1" ht="12.75">
      <c r="A3" s="90"/>
    </row>
    <row r="4" spans="1:2" s="25" customFormat="1" ht="11.25">
      <c r="A4" s="23" t="s">
        <v>2</v>
      </c>
      <c r="B4" s="125"/>
    </row>
    <row r="5" spans="1:2" s="25" customFormat="1" ht="11.25">
      <c r="A5" s="23" t="s">
        <v>3</v>
      </c>
      <c r="B5" s="125"/>
    </row>
    <row r="6" s="5" customFormat="1" ht="13.5" thickBot="1"/>
    <row r="7" spans="2:25" s="5" customFormat="1" ht="13.5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1"/>
    </row>
    <row r="8" spans="2:25" s="29" customFormat="1" ht="20.25">
      <c r="B8" s="79"/>
      <c r="D8" s="178" t="s">
        <v>91</v>
      </c>
      <c r="E8" s="436"/>
      <c r="F8" s="175"/>
      <c r="G8" s="174"/>
      <c r="H8" s="174"/>
      <c r="I8" s="174"/>
      <c r="J8" s="174"/>
      <c r="K8" s="174"/>
      <c r="L8" s="174"/>
      <c r="M8" s="174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437"/>
    </row>
    <row r="9" spans="2:25" s="5" customFormat="1" ht="12.75">
      <c r="B9" s="5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6"/>
    </row>
    <row r="10" spans="2:25" s="29" customFormat="1" ht="20.25">
      <c r="B10" s="79"/>
      <c r="D10" s="11" t="s">
        <v>92</v>
      </c>
      <c r="F10" s="438"/>
      <c r="G10" s="81"/>
      <c r="H10" s="81"/>
      <c r="I10" s="81"/>
      <c r="J10" s="81"/>
      <c r="K10" s="81"/>
      <c r="L10" s="81"/>
      <c r="M10" s="81"/>
      <c r="N10" s="81"/>
      <c r="O10" s="81"/>
      <c r="P10" s="30"/>
      <c r="Q10" s="30"/>
      <c r="R10" s="30"/>
      <c r="S10" s="30"/>
      <c r="T10" s="30"/>
      <c r="U10" s="30"/>
      <c r="V10" s="30"/>
      <c r="W10" s="30"/>
      <c r="X10" s="30"/>
      <c r="Y10" s="80"/>
    </row>
    <row r="11" spans="2:25" s="5" customFormat="1" ht="16.5" customHeight="1">
      <c r="B11" s="50"/>
      <c r="C11" s="4"/>
      <c r="D11" s="78"/>
      <c r="F11" s="31"/>
      <c r="G11" s="72"/>
      <c r="H11" s="72"/>
      <c r="I11" s="72"/>
      <c r="J11" s="72"/>
      <c r="K11" s="72"/>
      <c r="L11" s="72"/>
      <c r="M11" s="72"/>
      <c r="N11" s="72"/>
      <c r="O11" s="72"/>
      <c r="P11" s="4"/>
      <c r="Q11" s="4"/>
      <c r="R11" s="4"/>
      <c r="S11" s="4"/>
      <c r="T11" s="4"/>
      <c r="U11" s="4"/>
      <c r="V11" s="4"/>
      <c r="W11" s="4"/>
      <c r="X11" s="4"/>
      <c r="Y11" s="6"/>
    </row>
    <row r="12" spans="2:25" s="29" customFormat="1" ht="20.25">
      <c r="B12" s="79"/>
      <c r="D12" s="11" t="s">
        <v>93</v>
      </c>
      <c r="F12" s="438"/>
      <c r="G12" s="81"/>
      <c r="H12" s="81"/>
      <c r="I12" s="81"/>
      <c r="J12" s="81"/>
      <c r="K12" s="81"/>
      <c r="L12" s="81"/>
      <c r="M12" s="81"/>
      <c r="N12" s="81"/>
      <c r="O12" s="81"/>
      <c r="P12" s="30"/>
      <c r="Q12" s="30"/>
      <c r="R12" s="30"/>
      <c r="S12" s="30"/>
      <c r="T12" s="30"/>
      <c r="U12" s="30"/>
      <c r="V12" s="30"/>
      <c r="W12" s="30"/>
      <c r="X12" s="30"/>
      <c r="Y12" s="80"/>
    </row>
    <row r="13" spans="2:25" s="5" customFormat="1" ht="16.5" customHeight="1">
      <c r="B13" s="50"/>
      <c r="C13" s="4"/>
      <c r="D13" s="78"/>
      <c r="F13" s="31"/>
      <c r="G13" s="72"/>
      <c r="H13" s="72"/>
      <c r="I13" s="72"/>
      <c r="J13" s="72"/>
      <c r="K13" s="72"/>
      <c r="L13" s="72"/>
      <c r="M13" s="72"/>
      <c r="N13" s="72"/>
      <c r="O13" s="72"/>
      <c r="P13" s="4"/>
      <c r="Q13" s="4"/>
      <c r="R13" s="4"/>
      <c r="S13" s="4"/>
      <c r="T13" s="4"/>
      <c r="U13" s="4"/>
      <c r="V13" s="4"/>
      <c r="W13" s="4"/>
      <c r="X13" s="4"/>
      <c r="Y13" s="6"/>
    </row>
    <row r="14" spans="2:25" s="36" customFormat="1" ht="16.5" customHeight="1">
      <c r="B14" s="37" t="str">
        <f>'TOT-1108'!B14</f>
        <v>Desde el 01 al 30 de noviembre de 2008</v>
      </c>
      <c r="C14" s="439"/>
      <c r="D14" s="440"/>
      <c r="E14" s="440"/>
      <c r="F14" s="440"/>
      <c r="G14" s="440"/>
      <c r="H14" s="440"/>
      <c r="I14" s="440"/>
      <c r="J14" s="440"/>
      <c r="K14" s="440"/>
      <c r="L14" s="440"/>
      <c r="M14" s="440"/>
      <c r="N14" s="440"/>
      <c r="O14" s="440"/>
      <c r="P14" s="439"/>
      <c r="Q14" s="439"/>
      <c r="R14" s="439"/>
      <c r="S14" s="439"/>
      <c r="T14" s="439"/>
      <c r="U14" s="439"/>
      <c r="V14" s="439"/>
      <c r="W14" s="439"/>
      <c r="X14" s="439"/>
      <c r="Y14" s="441"/>
    </row>
    <row r="15" spans="2:25" s="5" customFormat="1" ht="16.5" customHeight="1" thickBot="1">
      <c r="B15" s="50"/>
      <c r="C15" s="4"/>
      <c r="D15" s="4"/>
      <c r="E15" s="4"/>
      <c r="F15" s="4"/>
      <c r="G15" s="4"/>
      <c r="H15" s="4"/>
      <c r="I15" s="4"/>
      <c r="J15" s="4"/>
      <c r="K15" s="4"/>
      <c r="P15" s="4"/>
      <c r="Q15" s="4"/>
      <c r="R15" s="4"/>
      <c r="S15" s="4"/>
      <c r="T15" s="4"/>
      <c r="U15" s="4"/>
      <c r="V15" s="4"/>
      <c r="W15" s="4"/>
      <c r="X15" s="4"/>
      <c r="Y15" s="6"/>
    </row>
    <row r="16" spans="2:25" s="5" customFormat="1" ht="16.5" customHeight="1" thickBot="1" thickTop="1">
      <c r="B16" s="50"/>
      <c r="C16" s="4"/>
      <c r="D16" s="117" t="s">
        <v>82</v>
      </c>
      <c r="E16" s="442"/>
      <c r="F16" s="925">
        <v>0.319</v>
      </c>
      <c r="G16" s="377"/>
      <c r="H16"/>
      <c r="I16" s="4"/>
      <c r="J16" s="4"/>
      <c r="K16" s="4"/>
      <c r="L16" s="4"/>
      <c r="M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6"/>
    </row>
    <row r="17" spans="2:25" s="5" customFormat="1" ht="16.5" customHeight="1" thickBot="1" thickTop="1">
      <c r="B17" s="50"/>
      <c r="C17" s="4"/>
      <c r="D17" s="443" t="s">
        <v>26</v>
      </c>
      <c r="E17" s="444"/>
      <c r="F17" s="926">
        <v>20</v>
      </c>
      <c r="G17" s="377"/>
      <c r="H17"/>
      <c r="I17" s="214"/>
      <c r="J17" s="215"/>
      <c r="K17" s="4"/>
      <c r="L17" s="4"/>
      <c r="M17" s="4"/>
      <c r="O17" s="4"/>
      <c r="P17" s="4"/>
      <c r="Q17" s="4"/>
      <c r="R17" s="116"/>
      <c r="S17" s="116"/>
      <c r="T17" s="116"/>
      <c r="U17" s="116"/>
      <c r="V17" s="116"/>
      <c r="W17" s="116"/>
      <c r="X17" s="116"/>
      <c r="Y17" s="6"/>
    </row>
    <row r="18" spans="2:25" s="5" customFormat="1" ht="16.5" customHeight="1" thickBot="1" thickTop="1">
      <c r="B18" s="50"/>
      <c r="C18" s="66"/>
      <c r="D18" s="445"/>
      <c r="E18" s="446"/>
      <c r="F18" s="446"/>
      <c r="G18" s="198"/>
      <c r="H18" s="198"/>
      <c r="I18" s="198"/>
      <c r="J18" s="198"/>
      <c r="K18" s="198"/>
      <c r="L18" s="198"/>
      <c r="M18" s="198"/>
      <c r="N18" s="198"/>
      <c r="O18" s="447"/>
      <c r="P18" s="448"/>
      <c r="Q18" s="449"/>
      <c r="R18" s="449"/>
      <c r="S18" s="449"/>
      <c r="T18" s="449"/>
      <c r="U18" s="449"/>
      <c r="V18" s="449"/>
      <c r="W18" s="450"/>
      <c r="X18" s="451"/>
      <c r="Y18" s="6"/>
    </row>
    <row r="19" spans="2:25" s="5" customFormat="1" ht="33.75" customHeight="1" thickBot="1" thickTop="1">
      <c r="B19" s="50"/>
      <c r="C19" s="84" t="s">
        <v>13</v>
      </c>
      <c r="D19" s="86" t="s">
        <v>27</v>
      </c>
      <c r="E19" s="85" t="s">
        <v>28</v>
      </c>
      <c r="F19" s="452" t="s">
        <v>29</v>
      </c>
      <c r="G19" s="130" t="s">
        <v>16</v>
      </c>
      <c r="H19" s="85" t="s">
        <v>17</v>
      </c>
      <c r="I19" s="85" t="s">
        <v>18</v>
      </c>
      <c r="J19" s="86" t="s">
        <v>36</v>
      </c>
      <c r="K19" s="86" t="s">
        <v>31</v>
      </c>
      <c r="L19" s="88" t="s">
        <v>19</v>
      </c>
      <c r="M19" s="88" t="s">
        <v>58</v>
      </c>
      <c r="N19" s="85" t="s">
        <v>32</v>
      </c>
      <c r="O19" s="130" t="s">
        <v>37</v>
      </c>
      <c r="P19" s="453" t="s">
        <v>71</v>
      </c>
      <c r="Q19" s="454" t="s">
        <v>270</v>
      </c>
      <c r="R19" s="455"/>
      <c r="S19" s="271" t="s">
        <v>271</v>
      </c>
      <c r="T19" s="272"/>
      <c r="U19" s="456" t="s">
        <v>22</v>
      </c>
      <c r="V19" s="270" t="s">
        <v>21</v>
      </c>
      <c r="W19" s="133" t="s">
        <v>80</v>
      </c>
      <c r="X19" s="457" t="s">
        <v>24</v>
      </c>
      <c r="Y19" s="6"/>
    </row>
    <row r="20" spans="2:25" s="5" customFormat="1" ht="16.5" customHeight="1" thickTop="1">
      <c r="B20" s="50"/>
      <c r="C20" s="458"/>
      <c r="D20" s="459"/>
      <c r="E20" s="459"/>
      <c r="F20" s="459"/>
      <c r="G20" s="347"/>
      <c r="H20" s="460"/>
      <c r="I20" s="460"/>
      <c r="J20" s="458"/>
      <c r="K20" s="458"/>
      <c r="L20" s="459"/>
      <c r="M20" s="187"/>
      <c r="N20" s="458"/>
      <c r="O20" s="461"/>
      <c r="P20" s="462"/>
      <c r="Q20" s="463"/>
      <c r="R20" s="464"/>
      <c r="S20" s="284"/>
      <c r="T20" s="285"/>
      <c r="U20" s="991">
        <f>'RE-11 (1)'!U42</f>
        <v>0</v>
      </c>
      <c r="V20" s="465"/>
      <c r="W20" s="466"/>
      <c r="X20" s="467">
        <f>ROUND('RE-11 (1)'!X42,2)</f>
        <v>740246.49</v>
      </c>
      <c r="Y20" s="6"/>
    </row>
    <row r="21" spans="2:25" s="5" customFormat="1" ht="16.5" customHeight="1">
      <c r="B21" s="50"/>
      <c r="C21" s="289"/>
      <c r="D21" s="468"/>
      <c r="E21" s="469"/>
      <c r="F21" s="470"/>
      <c r="G21" s="471"/>
      <c r="H21" s="472"/>
      <c r="I21" s="473"/>
      <c r="J21" s="474"/>
      <c r="K21" s="475"/>
      <c r="L21" s="476"/>
      <c r="M21" s="188"/>
      <c r="N21" s="477"/>
      <c r="O21" s="478"/>
      <c r="P21" s="479"/>
      <c r="Q21" s="480"/>
      <c r="R21" s="481"/>
      <c r="S21" s="298"/>
      <c r="T21" s="299"/>
      <c r="U21" s="482"/>
      <c r="V21" s="482"/>
      <c r="W21" s="477"/>
      <c r="X21" s="483"/>
      <c r="Y21" s="6"/>
    </row>
    <row r="22" spans="2:25" s="5" customFormat="1" ht="16.5" customHeight="1">
      <c r="B22" s="50"/>
      <c r="C22" s="157">
        <v>97</v>
      </c>
      <c r="D22" s="484" t="s">
        <v>301</v>
      </c>
      <c r="E22" s="412" t="s">
        <v>337</v>
      </c>
      <c r="F22" s="485">
        <v>245</v>
      </c>
      <c r="G22" s="306">
        <f aca="true" t="shared" si="0" ref="G22:G41">F22*$F$16</f>
        <v>78.155</v>
      </c>
      <c r="H22" s="414">
        <v>39772.98402777778</v>
      </c>
      <c r="I22" s="192">
        <v>39773.416666666664</v>
      </c>
      <c r="J22" s="415">
        <f aca="true" t="shared" si="1" ref="J22:J41">IF(D22="","",(I22-H22)*24)</f>
        <v>10.38333333330229</v>
      </c>
      <c r="K22" s="416">
        <f aca="true" t="shared" si="2" ref="K22:K41">IF(D22="","",ROUND((I22-H22)*24*60,0))</f>
        <v>623</v>
      </c>
      <c r="L22" s="234" t="s">
        <v>251</v>
      </c>
      <c r="M22" s="235" t="str">
        <f aca="true" t="shared" si="3" ref="M22:M41">IF(D22="","","--")</f>
        <v>--</v>
      </c>
      <c r="N22" s="155" t="str">
        <f aca="true" t="shared" si="4" ref="N22:N41">IF(D22="","",IF(OR(L22="P",L22="RP"),"--","NO"))</f>
        <v>--</v>
      </c>
      <c r="O22" s="486">
        <f aca="true" t="shared" si="5" ref="O22:O41">IF(OR(L22="P",L22="RP"),$F$17/10,$F$17)</f>
        <v>2</v>
      </c>
      <c r="P22" s="487">
        <f aca="true" t="shared" si="6" ref="P22:P41">IF(L22="P",G22*O22*ROUND(K22/60,2),"--")</f>
        <v>1622.4978</v>
      </c>
      <c r="Q22" s="488" t="str">
        <f aca="true" t="shared" si="7" ref="Q22:Q41">IF(AND(L22="F",N22="NO"),G22*O22,"--")</f>
        <v>--</v>
      </c>
      <c r="R22" s="489" t="str">
        <f aca="true" t="shared" si="8" ref="R22:R41">IF(L22="F",G22*O22*ROUND(K22/60,2),"--")</f>
        <v>--</v>
      </c>
      <c r="S22" s="313" t="str">
        <f aca="true" t="shared" si="9" ref="S22:S41">IF(AND(L22="R",N22="NO"),G22*O22*M22/100,"--")</f>
        <v>--</v>
      </c>
      <c r="T22" s="990" t="s">
        <v>248</v>
      </c>
      <c r="U22" s="490" t="str">
        <f aca="true" t="shared" si="10" ref="U22:U41">IF(L22="RF",G22*O22*ROUND(K22/60,2),"--")</f>
        <v>--</v>
      </c>
      <c r="V22" s="310" t="str">
        <f aca="true" t="shared" si="11" ref="V22:V41">IF(L22="RP",G22*O22*M22/100*ROUND(K22/60,2),"--")</f>
        <v>--</v>
      </c>
      <c r="W22" s="155" t="str">
        <f aca="true" t="shared" si="12" ref="W22:W41">IF(D22="","","SI")</f>
        <v>SI</v>
      </c>
      <c r="X22" s="421">
        <f aca="true" t="shared" si="13" ref="X22:X41">IF(D22="","",SUM(P22:V22)*IF(W22="SI",1,2)*IF(AND(M22&lt;&gt;"--",L22="RF"),M22/100,1))</f>
        <v>1622.4978</v>
      </c>
      <c r="Y22" s="6"/>
    </row>
    <row r="23" spans="2:25" s="5" customFormat="1" ht="16.5" customHeight="1">
      <c r="B23" s="50"/>
      <c r="C23" s="289">
        <v>98</v>
      </c>
      <c r="D23" s="484" t="s">
        <v>301</v>
      </c>
      <c r="E23" s="412" t="s">
        <v>337</v>
      </c>
      <c r="F23" s="485">
        <v>245</v>
      </c>
      <c r="G23" s="306">
        <f t="shared" si="0"/>
        <v>78.155</v>
      </c>
      <c r="H23" s="414">
        <v>39774.03055555555</v>
      </c>
      <c r="I23" s="192">
        <v>39774.80347222222</v>
      </c>
      <c r="J23" s="415">
        <f t="shared" si="1"/>
        <v>18.550000000046566</v>
      </c>
      <c r="K23" s="416">
        <f t="shared" si="2"/>
        <v>1113</v>
      </c>
      <c r="L23" s="234" t="s">
        <v>251</v>
      </c>
      <c r="M23" s="235" t="str">
        <f t="shared" si="3"/>
        <v>--</v>
      </c>
      <c r="N23" s="155" t="str">
        <f t="shared" si="4"/>
        <v>--</v>
      </c>
      <c r="O23" s="486">
        <f t="shared" si="5"/>
        <v>2</v>
      </c>
      <c r="P23" s="487">
        <f t="shared" si="6"/>
        <v>2899.5505000000003</v>
      </c>
      <c r="Q23" s="488" t="str">
        <f t="shared" si="7"/>
        <v>--</v>
      </c>
      <c r="R23" s="489" t="str">
        <f t="shared" si="8"/>
        <v>--</v>
      </c>
      <c r="S23" s="313" t="str">
        <f t="shared" si="9"/>
        <v>--</v>
      </c>
      <c r="T23" s="990" t="s">
        <v>248</v>
      </c>
      <c r="U23" s="490" t="str">
        <f t="shared" si="10"/>
        <v>--</v>
      </c>
      <c r="V23" s="310" t="str">
        <f t="shared" si="11"/>
        <v>--</v>
      </c>
      <c r="W23" s="155" t="str">
        <f t="shared" si="12"/>
        <v>SI</v>
      </c>
      <c r="X23" s="421">
        <f t="shared" si="13"/>
        <v>2899.5505000000003</v>
      </c>
      <c r="Y23" s="6"/>
    </row>
    <row r="24" spans="2:25" s="5" customFormat="1" ht="16.5" customHeight="1">
      <c r="B24" s="50"/>
      <c r="C24" s="289">
        <v>99</v>
      </c>
      <c r="D24" s="484" t="s">
        <v>301</v>
      </c>
      <c r="E24" s="412" t="s">
        <v>336</v>
      </c>
      <c r="F24" s="485">
        <v>245</v>
      </c>
      <c r="G24" s="306">
        <f t="shared" si="0"/>
        <v>78.155</v>
      </c>
      <c r="H24" s="414">
        <v>39780.67222222222</v>
      </c>
      <c r="I24" s="192">
        <v>39782.99930555555</v>
      </c>
      <c r="J24" s="415">
        <f t="shared" si="1"/>
        <v>55.84999999991851</v>
      </c>
      <c r="K24" s="416">
        <f t="shared" si="2"/>
        <v>3351</v>
      </c>
      <c r="L24" s="234" t="s">
        <v>392</v>
      </c>
      <c r="M24" s="235">
        <v>75.5</v>
      </c>
      <c r="N24" s="155" t="str">
        <f t="shared" si="4"/>
        <v>--</v>
      </c>
      <c r="O24" s="486">
        <f t="shared" si="5"/>
        <v>2</v>
      </c>
      <c r="P24" s="487" t="str">
        <f t="shared" si="6"/>
        <v>--</v>
      </c>
      <c r="Q24" s="488" t="str">
        <f t="shared" si="7"/>
        <v>--</v>
      </c>
      <c r="R24" s="489" t="str">
        <f t="shared" si="8"/>
        <v>--</v>
      </c>
      <c r="S24" s="313" t="str">
        <f>IF(AND(L24="R",N24="NO"),G24*O24*M24/100,"--")</f>
        <v>--</v>
      </c>
      <c r="T24" s="990" t="s">
        <v>248</v>
      </c>
      <c r="U24" s="490" t="str">
        <f t="shared" si="10"/>
        <v>--</v>
      </c>
      <c r="V24" s="310">
        <f>IF(L24="RP",G24*O24*M24/100*ROUND(K24/60,2),"--")</f>
        <v>6591.0846925000005</v>
      </c>
      <c r="W24" s="155" t="str">
        <f t="shared" si="12"/>
        <v>SI</v>
      </c>
      <c r="X24" s="421">
        <f t="shared" si="13"/>
        <v>6591.0846925000005</v>
      </c>
      <c r="Y24" s="491"/>
    </row>
    <row r="25" spans="2:25" s="5" customFormat="1" ht="16.5" customHeight="1">
      <c r="B25" s="50"/>
      <c r="C25" s="289"/>
      <c r="D25" s="484"/>
      <c r="E25" s="412"/>
      <c r="F25" s="485"/>
      <c r="G25" s="306">
        <f t="shared" si="0"/>
        <v>0</v>
      </c>
      <c r="H25" s="414"/>
      <c r="I25" s="192"/>
      <c r="J25" s="415">
        <f t="shared" si="1"/>
      </c>
      <c r="K25" s="416">
        <f t="shared" si="2"/>
      </c>
      <c r="L25" s="234"/>
      <c r="M25" s="235">
        <f t="shared" si="3"/>
      </c>
      <c r="N25" s="155">
        <f t="shared" si="4"/>
      </c>
      <c r="O25" s="486">
        <f t="shared" si="5"/>
        <v>20</v>
      </c>
      <c r="P25" s="487" t="str">
        <f t="shared" si="6"/>
        <v>--</v>
      </c>
      <c r="Q25" s="488" t="str">
        <f t="shared" si="7"/>
        <v>--</v>
      </c>
      <c r="R25" s="489" t="str">
        <f t="shared" si="8"/>
        <v>--</v>
      </c>
      <c r="S25" s="313" t="str">
        <f t="shared" si="9"/>
        <v>--</v>
      </c>
      <c r="T25" s="314" t="str">
        <f aca="true" t="shared" si="14" ref="T25:T41">IF(L25="R",G25*O25*M25/100*ROUND(K25/60,2),"--")</f>
        <v>--</v>
      </c>
      <c r="U25" s="490" t="str">
        <f t="shared" si="10"/>
        <v>--</v>
      </c>
      <c r="V25" s="310" t="str">
        <f t="shared" si="11"/>
        <v>--</v>
      </c>
      <c r="W25" s="155">
        <f t="shared" si="12"/>
      </c>
      <c r="X25" s="421">
        <f t="shared" si="13"/>
      </c>
      <c r="Y25" s="491"/>
    </row>
    <row r="26" spans="2:25" s="5" customFormat="1" ht="16.5" customHeight="1">
      <c r="B26" s="50"/>
      <c r="C26" s="157"/>
      <c r="D26" s="484"/>
      <c r="E26" s="412"/>
      <c r="F26" s="485"/>
      <c r="G26" s="306">
        <f t="shared" si="0"/>
        <v>0</v>
      </c>
      <c r="H26" s="414"/>
      <c r="I26" s="192"/>
      <c r="J26" s="415">
        <f t="shared" si="1"/>
      </c>
      <c r="K26" s="416">
        <f t="shared" si="2"/>
      </c>
      <c r="L26" s="234"/>
      <c r="M26" s="235">
        <f t="shared" si="3"/>
      </c>
      <c r="N26" s="155">
        <f t="shared" si="4"/>
      </c>
      <c r="O26" s="486">
        <f t="shared" si="5"/>
        <v>20</v>
      </c>
      <c r="P26" s="487" t="str">
        <f t="shared" si="6"/>
        <v>--</v>
      </c>
      <c r="Q26" s="488" t="str">
        <f t="shared" si="7"/>
        <v>--</v>
      </c>
      <c r="R26" s="489" t="str">
        <f t="shared" si="8"/>
        <v>--</v>
      </c>
      <c r="S26" s="313" t="str">
        <f t="shared" si="9"/>
        <v>--</v>
      </c>
      <c r="T26" s="314" t="str">
        <f t="shared" si="14"/>
        <v>--</v>
      </c>
      <c r="U26" s="490" t="str">
        <f t="shared" si="10"/>
        <v>--</v>
      </c>
      <c r="V26" s="310" t="str">
        <f t="shared" si="11"/>
        <v>--</v>
      </c>
      <c r="W26" s="155">
        <f t="shared" si="12"/>
      </c>
      <c r="X26" s="421">
        <f t="shared" si="13"/>
      </c>
      <c r="Y26" s="491"/>
    </row>
    <row r="27" spans="2:25" s="5" customFormat="1" ht="16.5" customHeight="1">
      <c r="B27" s="50"/>
      <c r="C27" s="157"/>
      <c r="D27" s="484"/>
      <c r="E27" s="412"/>
      <c r="F27" s="485"/>
      <c r="G27" s="306">
        <f t="shared" si="0"/>
        <v>0</v>
      </c>
      <c r="H27" s="414"/>
      <c r="I27" s="192"/>
      <c r="J27" s="415">
        <f>IF(D27="","",(I27-H27)*24)</f>
      </c>
      <c r="K27" s="416">
        <f>IF(D27="","",ROUND((I27-H27)*24*60,0))</f>
      </c>
      <c r="L27" s="234"/>
      <c r="M27" s="235">
        <f>IF(D27="","","--")</f>
      </c>
      <c r="N27" s="155">
        <f>IF(D27="","",IF(OR(L27="P",L27="RP"),"--","NO"))</f>
      </c>
      <c r="O27" s="486">
        <f>IF(OR(L27="P",L27="RP"),$F$17/10,$F$17)</f>
        <v>20</v>
      </c>
      <c r="P27" s="487" t="str">
        <f>IF(L27="P",G27*O27*ROUND(K27/60,2),"--")</f>
        <v>--</v>
      </c>
      <c r="Q27" s="488" t="str">
        <f>IF(AND(L27="F",N27="NO"),G27*O27,"--")</f>
        <v>--</v>
      </c>
      <c r="R27" s="489" t="str">
        <f>IF(L27="F",G27*O27*ROUND(K27/60,2),"--")</f>
        <v>--</v>
      </c>
      <c r="S27" s="313" t="str">
        <f>IF(AND(L27="R",N27="NO"),G27*O27*M27/100,"--")</f>
        <v>--</v>
      </c>
      <c r="T27" s="314" t="str">
        <f>IF(L27="R",G27*O27*M27/100*ROUND(K27/60,2),"--")</f>
        <v>--</v>
      </c>
      <c r="U27" s="490" t="str">
        <f>IF(L27="RF",G27*O27*ROUND(K27/60,2),"--")</f>
        <v>--</v>
      </c>
      <c r="V27" s="310" t="str">
        <f>IF(L27="RP",G27*O27*M27/100*ROUND(K27/60,2),"--")</f>
        <v>--</v>
      </c>
      <c r="W27" s="155">
        <f>IF(D27="","","SI")</f>
      </c>
      <c r="X27" s="421">
        <f>IF(D27="","",SUM(P27:V27)*IF(W27="SI",1,2)*IF(AND(M27&lt;&gt;"--",L27="RF"),M27/100,1))</f>
      </c>
      <c r="Y27" s="491"/>
    </row>
    <row r="28" spans="2:25" s="5" customFormat="1" ht="16.5" customHeight="1">
      <c r="B28" s="50"/>
      <c r="C28" s="157"/>
      <c r="D28" s="484"/>
      <c r="E28" s="412"/>
      <c r="F28" s="485"/>
      <c r="G28" s="306">
        <f t="shared" si="0"/>
        <v>0</v>
      </c>
      <c r="H28" s="414"/>
      <c r="I28" s="192"/>
      <c r="J28" s="415">
        <f>IF(D28="","",(I28-H28)*24)</f>
      </c>
      <c r="K28" s="416">
        <f>IF(D28="","",ROUND((I28-H28)*24*60,0))</f>
      </c>
      <c r="L28" s="234"/>
      <c r="M28" s="235">
        <f>IF(D28="","","--")</f>
      </c>
      <c r="N28" s="155">
        <f>IF(D28="","",IF(OR(L28="P",L28="RP"),"--","NO"))</f>
      </c>
      <c r="O28" s="486">
        <f>IF(OR(L28="P",L28="RP"),$F$17/10,$F$17)</f>
        <v>20</v>
      </c>
      <c r="P28" s="487" t="str">
        <f>IF(L28="P",G28*O28*ROUND(K28/60,2),"--")</f>
        <v>--</v>
      </c>
      <c r="Q28" s="488" t="str">
        <f>IF(AND(L28="F",N28="NO"),G28*O28,"--")</f>
        <v>--</v>
      </c>
      <c r="R28" s="489" t="str">
        <f>IF(L28="F",G28*O28*ROUND(K28/60,2),"--")</f>
        <v>--</v>
      </c>
      <c r="S28" s="313" t="str">
        <f>IF(AND(L28="R",N28="NO"),G28*O28*M28/100,"--")</f>
        <v>--</v>
      </c>
      <c r="T28" s="314" t="str">
        <f>IF(L28="R",G28*O28*M28/100*ROUND(K28/60,2),"--")</f>
        <v>--</v>
      </c>
      <c r="U28" s="490" t="str">
        <f>IF(L28="RF",G28*O28*ROUND(K28/60,2),"--")</f>
        <v>--</v>
      </c>
      <c r="V28" s="310" t="str">
        <f>IF(L28="RP",G28*O28*M28/100*ROUND(K28/60,2),"--")</f>
        <v>--</v>
      </c>
      <c r="W28" s="155">
        <f>IF(D28="","","SI")</f>
      </c>
      <c r="X28" s="421">
        <f>IF(D28="","",SUM(P28:V28)*IF(W28="SI",1,2)*IF(AND(M28&lt;&gt;"--",L28="RF"),M28/100,1))</f>
      </c>
      <c r="Y28" s="491"/>
    </row>
    <row r="29" spans="2:25" s="5" customFormat="1" ht="16.5" customHeight="1">
      <c r="B29" s="50"/>
      <c r="C29" s="289"/>
      <c r="D29" s="484"/>
      <c r="E29" s="412"/>
      <c r="F29" s="485"/>
      <c r="G29" s="306">
        <f t="shared" si="0"/>
        <v>0</v>
      </c>
      <c r="H29" s="414"/>
      <c r="I29" s="192"/>
      <c r="J29" s="415">
        <f t="shared" si="1"/>
      </c>
      <c r="K29" s="416">
        <f t="shared" si="2"/>
      </c>
      <c r="L29" s="234"/>
      <c r="M29" s="235">
        <f t="shared" si="3"/>
      </c>
      <c r="N29" s="155">
        <f t="shared" si="4"/>
      </c>
      <c r="O29" s="486">
        <f t="shared" si="5"/>
        <v>20</v>
      </c>
      <c r="P29" s="487" t="str">
        <f t="shared" si="6"/>
        <v>--</v>
      </c>
      <c r="Q29" s="488" t="str">
        <f t="shared" si="7"/>
        <v>--</v>
      </c>
      <c r="R29" s="489" t="str">
        <f t="shared" si="8"/>
        <v>--</v>
      </c>
      <c r="S29" s="313" t="str">
        <f t="shared" si="9"/>
        <v>--</v>
      </c>
      <c r="T29" s="314" t="str">
        <f t="shared" si="14"/>
        <v>--</v>
      </c>
      <c r="U29" s="490" t="str">
        <f t="shared" si="10"/>
        <v>--</v>
      </c>
      <c r="V29" s="310" t="str">
        <f t="shared" si="11"/>
        <v>--</v>
      </c>
      <c r="W29" s="155">
        <f t="shared" si="12"/>
      </c>
      <c r="X29" s="421">
        <f t="shared" si="13"/>
      </c>
      <c r="Y29" s="491"/>
    </row>
    <row r="30" spans="2:25" s="5" customFormat="1" ht="16.5" customHeight="1">
      <c r="B30" s="50"/>
      <c r="C30" s="157"/>
      <c r="D30" s="484"/>
      <c r="E30" s="412"/>
      <c r="F30" s="485"/>
      <c r="G30" s="306">
        <f t="shared" si="0"/>
        <v>0</v>
      </c>
      <c r="H30" s="414"/>
      <c r="I30" s="192"/>
      <c r="J30" s="415">
        <f t="shared" si="1"/>
      </c>
      <c r="K30" s="416">
        <f t="shared" si="2"/>
      </c>
      <c r="L30" s="234"/>
      <c r="M30" s="235">
        <f t="shared" si="3"/>
      </c>
      <c r="N30" s="155">
        <f t="shared" si="4"/>
      </c>
      <c r="O30" s="486">
        <f t="shared" si="5"/>
        <v>20</v>
      </c>
      <c r="P30" s="487" t="str">
        <f t="shared" si="6"/>
        <v>--</v>
      </c>
      <c r="Q30" s="488" t="str">
        <f t="shared" si="7"/>
        <v>--</v>
      </c>
      <c r="R30" s="489" t="str">
        <f t="shared" si="8"/>
        <v>--</v>
      </c>
      <c r="S30" s="313" t="str">
        <f t="shared" si="9"/>
        <v>--</v>
      </c>
      <c r="T30" s="314" t="str">
        <f t="shared" si="14"/>
        <v>--</v>
      </c>
      <c r="U30" s="490" t="str">
        <f t="shared" si="10"/>
        <v>--</v>
      </c>
      <c r="V30" s="310" t="str">
        <f t="shared" si="11"/>
        <v>--</v>
      </c>
      <c r="W30" s="155">
        <f t="shared" si="12"/>
      </c>
      <c r="X30" s="421">
        <f t="shared" si="13"/>
      </c>
      <c r="Y30" s="491"/>
    </row>
    <row r="31" spans="2:25" s="5" customFormat="1" ht="16.5" customHeight="1">
      <c r="B31" s="50"/>
      <c r="C31" s="289"/>
      <c r="D31" s="484"/>
      <c r="E31" s="412"/>
      <c r="F31" s="485"/>
      <c r="G31" s="306">
        <f t="shared" si="0"/>
        <v>0</v>
      </c>
      <c r="H31" s="414"/>
      <c r="I31" s="192"/>
      <c r="J31" s="415">
        <f t="shared" si="1"/>
      </c>
      <c r="K31" s="416">
        <f t="shared" si="2"/>
      </c>
      <c r="L31" s="234"/>
      <c r="M31" s="235">
        <f t="shared" si="3"/>
      </c>
      <c r="N31" s="155">
        <f t="shared" si="4"/>
      </c>
      <c r="O31" s="486">
        <f t="shared" si="5"/>
        <v>20</v>
      </c>
      <c r="P31" s="487" t="str">
        <f t="shared" si="6"/>
        <v>--</v>
      </c>
      <c r="Q31" s="488" t="str">
        <f t="shared" si="7"/>
        <v>--</v>
      </c>
      <c r="R31" s="489" t="str">
        <f t="shared" si="8"/>
        <v>--</v>
      </c>
      <c r="S31" s="313" t="str">
        <f t="shared" si="9"/>
        <v>--</v>
      </c>
      <c r="T31" s="314" t="str">
        <f t="shared" si="14"/>
        <v>--</v>
      </c>
      <c r="U31" s="490" t="str">
        <f t="shared" si="10"/>
        <v>--</v>
      </c>
      <c r="V31" s="310" t="str">
        <f t="shared" si="11"/>
        <v>--</v>
      </c>
      <c r="W31" s="155">
        <f t="shared" si="12"/>
      </c>
      <c r="X31" s="421">
        <f t="shared" si="13"/>
      </c>
      <c r="Y31" s="6"/>
    </row>
    <row r="32" spans="2:25" s="5" customFormat="1" ht="16.5" customHeight="1">
      <c r="B32" s="50"/>
      <c r="C32" s="157"/>
      <c r="D32" s="484"/>
      <c r="E32" s="412"/>
      <c r="F32" s="485"/>
      <c r="G32" s="306">
        <f t="shared" si="0"/>
        <v>0</v>
      </c>
      <c r="H32" s="414"/>
      <c r="I32" s="192"/>
      <c r="J32" s="415">
        <f t="shared" si="1"/>
      </c>
      <c r="K32" s="416">
        <f t="shared" si="2"/>
      </c>
      <c r="L32" s="234"/>
      <c r="M32" s="235">
        <f t="shared" si="3"/>
      </c>
      <c r="N32" s="155">
        <f t="shared" si="4"/>
      </c>
      <c r="O32" s="486">
        <f t="shared" si="5"/>
        <v>20</v>
      </c>
      <c r="P32" s="487" t="str">
        <f t="shared" si="6"/>
        <v>--</v>
      </c>
      <c r="Q32" s="488" t="str">
        <f t="shared" si="7"/>
        <v>--</v>
      </c>
      <c r="R32" s="489" t="str">
        <f t="shared" si="8"/>
        <v>--</v>
      </c>
      <c r="S32" s="313" t="str">
        <f t="shared" si="9"/>
        <v>--</v>
      </c>
      <c r="T32" s="314" t="str">
        <f t="shared" si="14"/>
        <v>--</v>
      </c>
      <c r="U32" s="490" t="str">
        <f t="shared" si="10"/>
        <v>--</v>
      </c>
      <c r="V32" s="310" t="str">
        <f t="shared" si="11"/>
        <v>--</v>
      </c>
      <c r="W32" s="155">
        <f t="shared" si="12"/>
      </c>
      <c r="X32" s="421">
        <f t="shared" si="13"/>
      </c>
      <c r="Y32" s="6"/>
    </row>
    <row r="33" spans="2:25" s="5" customFormat="1" ht="16.5" customHeight="1">
      <c r="B33" s="50"/>
      <c r="C33" s="289"/>
      <c r="D33" s="484"/>
      <c r="E33" s="412"/>
      <c r="F33" s="485"/>
      <c r="G33" s="306">
        <f t="shared" si="0"/>
        <v>0</v>
      </c>
      <c r="H33" s="414"/>
      <c r="I33" s="192"/>
      <c r="J33" s="415">
        <f t="shared" si="1"/>
      </c>
      <c r="K33" s="416">
        <f t="shared" si="2"/>
      </c>
      <c r="L33" s="234"/>
      <c r="M33" s="235">
        <f t="shared" si="3"/>
      </c>
      <c r="N33" s="155">
        <f t="shared" si="4"/>
      </c>
      <c r="O33" s="486">
        <f t="shared" si="5"/>
        <v>20</v>
      </c>
      <c r="P33" s="487" t="str">
        <f t="shared" si="6"/>
        <v>--</v>
      </c>
      <c r="Q33" s="488" t="str">
        <f t="shared" si="7"/>
        <v>--</v>
      </c>
      <c r="R33" s="489" t="str">
        <f t="shared" si="8"/>
        <v>--</v>
      </c>
      <c r="S33" s="313" t="str">
        <f t="shared" si="9"/>
        <v>--</v>
      </c>
      <c r="T33" s="314" t="str">
        <f t="shared" si="14"/>
        <v>--</v>
      </c>
      <c r="U33" s="490" t="str">
        <f t="shared" si="10"/>
        <v>--</v>
      </c>
      <c r="V33" s="310" t="str">
        <f t="shared" si="11"/>
        <v>--</v>
      </c>
      <c r="W33" s="155">
        <f t="shared" si="12"/>
      </c>
      <c r="X33" s="421">
        <f t="shared" si="13"/>
      </c>
      <c r="Y33" s="6"/>
    </row>
    <row r="34" spans="2:25" s="5" customFormat="1" ht="16.5" customHeight="1">
      <c r="B34" s="50"/>
      <c r="C34" s="157"/>
      <c r="D34" s="484"/>
      <c r="E34" s="412"/>
      <c r="F34" s="485"/>
      <c r="G34" s="306">
        <f t="shared" si="0"/>
        <v>0</v>
      </c>
      <c r="H34" s="414"/>
      <c r="I34" s="192"/>
      <c r="J34" s="415">
        <f t="shared" si="1"/>
      </c>
      <c r="K34" s="416">
        <f t="shared" si="2"/>
      </c>
      <c r="L34" s="234"/>
      <c r="M34" s="235">
        <f t="shared" si="3"/>
      </c>
      <c r="N34" s="155">
        <f t="shared" si="4"/>
      </c>
      <c r="O34" s="486">
        <f t="shared" si="5"/>
        <v>20</v>
      </c>
      <c r="P34" s="487" t="str">
        <f t="shared" si="6"/>
        <v>--</v>
      </c>
      <c r="Q34" s="488" t="str">
        <f t="shared" si="7"/>
        <v>--</v>
      </c>
      <c r="R34" s="489" t="str">
        <f t="shared" si="8"/>
        <v>--</v>
      </c>
      <c r="S34" s="313" t="str">
        <f t="shared" si="9"/>
        <v>--</v>
      </c>
      <c r="T34" s="314" t="str">
        <f t="shared" si="14"/>
        <v>--</v>
      </c>
      <c r="U34" s="490" t="str">
        <f t="shared" si="10"/>
        <v>--</v>
      </c>
      <c r="V34" s="310" t="str">
        <f t="shared" si="11"/>
        <v>--</v>
      </c>
      <c r="W34" s="155">
        <f t="shared" si="12"/>
      </c>
      <c r="X34" s="421">
        <f t="shared" si="13"/>
      </c>
      <c r="Y34" s="6"/>
    </row>
    <row r="35" spans="2:25" s="5" customFormat="1" ht="16.5" customHeight="1">
      <c r="B35" s="50"/>
      <c r="C35" s="289"/>
      <c r="D35" s="484"/>
      <c r="E35" s="412"/>
      <c r="F35" s="485"/>
      <c r="G35" s="306">
        <f t="shared" si="0"/>
        <v>0</v>
      </c>
      <c r="H35" s="414"/>
      <c r="I35" s="192"/>
      <c r="J35" s="415">
        <f t="shared" si="1"/>
      </c>
      <c r="K35" s="416">
        <f t="shared" si="2"/>
      </c>
      <c r="L35" s="234"/>
      <c r="M35" s="235">
        <f t="shared" si="3"/>
      </c>
      <c r="N35" s="155">
        <f t="shared" si="4"/>
      </c>
      <c r="O35" s="486">
        <f t="shared" si="5"/>
        <v>20</v>
      </c>
      <c r="P35" s="487" t="str">
        <f t="shared" si="6"/>
        <v>--</v>
      </c>
      <c r="Q35" s="488" t="str">
        <f t="shared" si="7"/>
        <v>--</v>
      </c>
      <c r="R35" s="489" t="str">
        <f t="shared" si="8"/>
        <v>--</v>
      </c>
      <c r="S35" s="313" t="str">
        <f t="shared" si="9"/>
        <v>--</v>
      </c>
      <c r="T35" s="314" t="str">
        <f t="shared" si="14"/>
        <v>--</v>
      </c>
      <c r="U35" s="490" t="str">
        <f t="shared" si="10"/>
        <v>--</v>
      </c>
      <c r="V35" s="310" t="str">
        <f t="shared" si="11"/>
        <v>--</v>
      </c>
      <c r="W35" s="155">
        <f t="shared" si="12"/>
      </c>
      <c r="X35" s="421">
        <f t="shared" si="13"/>
      </c>
      <c r="Y35" s="6"/>
    </row>
    <row r="36" spans="2:25" s="5" customFormat="1" ht="16.5" customHeight="1">
      <c r="B36" s="50"/>
      <c r="C36" s="157"/>
      <c r="D36" s="484"/>
      <c r="E36" s="412"/>
      <c r="F36" s="485"/>
      <c r="G36" s="306">
        <f t="shared" si="0"/>
        <v>0</v>
      </c>
      <c r="H36" s="414"/>
      <c r="I36" s="192"/>
      <c r="J36" s="415">
        <f t="shared" si="1"/>
      </c>
      <c r="K36" s="416">
        <f t="shared" si="2"/>
      </c>
      <c r="L36" s="234"/>
      <c r="M36" s="235">
        <f t="shared" si="3"/>
      </c>
      <c r="N36" s="155">
        <f t="shared" si="4"/>
      </c>
      <c r="O36" s="486">
        <f t="shared" si="5"/>
        <v>20</v>
      </c>
      <c r="P36" s="487" t="str">
        <f t="shared" si="6"/>
        <v>--</v>
      </c>
      <c r="Q36" s="488" t="str">
        <f t="shared" si="7"/>
        <v>--</v>
      </c>
      <c r="R36" s="489" t="str">
        <f t="shared" si="8"/>
        <v>--</v>
      </c>
      <c r="S36" s="313" t="str">
        <f t="shared" si="9"/>
        <v>--</v>
      </c>
      <c r="T36" s="314" t="str">
        <f t="shared" si="14"/>
        <v>--</v>
      </c>
      <c r="U36" s="490" t="str">
        <f t="shared" si="10"/>
        <v>--</v>
      </c>
      <c r="V36" s="310" t="str">
        <f t="shared" si="11"/>
        <v>--</v>
      </c>
      <c r="W36" s="155">
        <f t="shared" si="12"/>
      </c>
      <c r="X36" s="421">
        <f t="shared" si="13"/>
      </c>
      <c r="Y36" s="6"/>
    </row>
    <row r="37" spans="2:25" s="5" customFormat="1" ht="16.5" customHeight="1">
      <c r="B37" s="50"/>
      <c r="C37" s="289"/>
      <c r="D37" s="484"/>
      <c r="E37" s="412"/>
      <c r="F37" s="485"/>
      <c r="G37" s="306">
        <f t="shared" si="0"/>
        <v>0</v>
      </c>
      <c r="H37" s="414"/>
      <c r="I37" s="192"/>
      <c r="J37" s="415">
        <f t="shared" si="1"/>
      </c>
      <c r="K37" s="416">
        <f t="shared" si="2"/>
      </c>
      <c r="L37" s="234"/>
      <c r="M37" s="235">
        <f t="shared" si="3"/>
      </c>
      <c r="N37" s="155">
        <f t="shared" si="4"/>
      </c>
      <c r="O37" s="486">
        <f t="shared" si="5"/>
        <v>20</v>
      </c>
      <c r="P37" s="487" t="str">
        <f t="shared" si="6"/>
        <v>--</v>
      </c>
      <c r="Q37" s="488" t="str">
        <f t="shared" si="7"/>
        <v>--</v>
      </c>
      <c r="R37" s="489" t="str">
        <f t="shared" si="8"/>
        <v>--</v>
      </c>
      <c r="S37" s="313" t="str">
        <f t="shared" si="9"/>
        <v>--</v>
      </c>
      <c r="T37" s="314" t="str">
        <f t="shared" si="14"/>
        <v>--</v>
      </c>
      <c r="U37" s="490" t="str">
        <f t="shared" si="10"/>
        <v>--</v>
      </c>
      <c r="V37" s="310" t="str">
        <f t="shared" si="11"/>
        <v>--</v>
      </c>
      <c r="W37" s="155">
        <f t="shared" si="12"/>
      </c>
      <c r="X37" s="421">
        <f t="shared" si="13"/>
      </c>
      <c r="Y37" s="6"/>
    </row>
    <row r="38" spans="2:25" s="5" customFormat="1" ht="16.5" customHeight="1">
      <c r="B38" s="50"/>
      <c r="C38" s="157"/>
      <c r="D38" s="484"/>
      <c r="E38" s="412"/>
      <c r="F38" s="485"/>
      <c r="G38" s="306">
        <f t="shared" si="0"/>
        <v>0</v>
      </c>
      <c r="H38" s="414"/>
      <c r="I38" s="192"/>
      <c r="J38" s="415">
        <f t="shared" si="1"/>
      </c>
      <c r="K38" s="416">
        <f t="shared" si="2"/>
      </c>
      <c r="L38" s="234"/>
      <c r="M38" s="235">
        <f t="shared" si="3"/>
      </c>
      <c r="N38" s="155">
        <f t="shared" si="4"/>
      </c>
      <c r="O38" s="486">
        <f t="shared" si="5"/>
        <v>20</v>
      </c>
      <c r="P38" s="487" t="str">
        <f t="shared" si="6"/>
        <v>--</v>
      </c>
      <c r="Q38" s="488" t="str">
        <f t="shared" si="7"/>
        <v>--</v>
      </c>
      <c r="R38" s="489" t="str">
        <f t="shared" si="8"/>
        <v>--</v>
      </c>
      <c r="S38" s="313" t="str">
        <f t="shared" si="9"/>
        <v>--</v>
      </c>
      <c r="T38" s="314" t="str">
        <f t="shared" si="14"/>
        <v>--</v>
      </c>
      <c r="U38" s="490" t="str">
        <f t="shared" si="10"/>
        <v>--</v>
      </c>
      <c r="V38" s="310" t="str">
        <f t="shared" si="11"/>
        <v>--</v>
      </c>
      <c r="W38" s="155">
        <f t="shared" si="12"/>
      </c>
      <c r="X38" s="421">
        <f t="shared" si="13"/>
      </c>
      <c r="Y38" s="6"/>
    </row>
    <row r="39" spans="2:25" s="5" customFormat="1" ht="16.5" customHeight="1">
      <c r="B39" s="50"/>
      <c r="C39" s="289"/>
      <c r="D39" s="484"/>
      <c r="E39" s="412"/>
      <c r="F39" s="485"/>
      <c r="G39" s="306">
        <f t="shared" si="0"/>
        <v>0</v>
      </c>
      <c r="H39" s="414"/>
      <c r="I39" s="192"/>
      <c r="J39" s="415">
        <f t="shared" si="1"/>
      </c>
      <c r="K39" s="416">
        <f t="shared" si="2"/>
      </c>
      <c r="L39" s="234"/>
      <c r="M39" s="235">
        <f t="shared" si="3"/>
      </c>
      <c r="N39" s="155">
        <f t="shared" si="4"/>
      </c>
      <c r="O39" s="486">
        <f t="shared" si="5"/>
        <v>20</v>
      </c>
      <c r="P39" s="487" t="str">
        <f t="shared" si="6"/>
        <v>--</v>
      </c>
      <c r="Q39" s="488" t="str">
        <f t="shared" si="7"/>
        <v>--</v>
      </c>
      <c r="R39" s="489" t="str">
        <f t="shared" si="8"/>
        <v>--</v>
      </c>
      <c r="S39" s="313" t="str">
        <f t="shared" si="9"/>
        <v>--</v>
      </c>
      <c r="T39" s="314" t="str">
        <f t="shared" si="14"/>
        <v>--</v>
      </c>
      <c r="U39" s="490" t="str">
        <f t="shared" si="10"/>
        <v>--</v>
      </c>
      <c r="V39" s="310" t="str">
        <f t="shared" si="11"/>
        <v>--</v>
      </c>
      <c r="W39" s="155">
        <f t="shared" si="12"/>
      </c>
      <c r="X39" s="421">
        <f t="shared" si="13"/>
      </c>
      <c r="Y39" s="6"/>
    </row>
    <row r="40" spans="2:25" s="5" customFormat="1" ht="16.5" customHeight="1">
      <c r="B40" s="50"/>
      <c r="C40" s="157"/>
      <c r="D40" s="484"/>
      <c r="E40" s="412"/>
      <c r="F40" s="485"/>
      <c r="G40" s="306">
        <f t="shared" si="0"/>
        <v>0</v>
      </c>
      <c r="H40" s="414"/>
      <c r="I40" s="192"/>
      <c r="J40" s="415">
        <f t="shared" si="1"/>
      </c>
      <c r="K40" s="416">
        <f t="shared" si="2"/>
      </c>
      <c r="L40" s="234"/>
      <c r="M40" s="235">
        <f t="shared" si="3"/>
      </c>
      <c r="N40" s="155">
        <f t="shared" si="4"/>
      </c>
      <c r="O40" s="486">
        <f t="shared" si="5"/>
        <v>20</v>
      </c>
      <c r="P40" s="487" t="str">
        <f t="shared" si="6"/>
        <v>--</v>
      </c>
      <c r="Q40" s="488" t="str">
        <f t="shared" si="7"/>
        <v>--</v>
      </c>
      <c r="R40" s="489" t="str">
        <f t="shared" si="8"/>
        <v>--</v>
      </c>
      <c r="S40" s="313" t="str">
        <f t="shared" si="9"/>
        <v>--</v>
      </c>
      <c r="T40" s="314" t="str">
        <f t="shared" si="14"/>
        <v>--</v>
      </c>
      <c r="U40" s="490" t="str">
        <f t="shared" si="10"/>
        <v>--</v>
      </c>
      <c r="V40" s="310" t="str">
        <f t="shared" si="11"/>
        <v>--</v>
      </c>
      <c r="W40" s="155">
        <f t="shared" si="12"/>
      </c>
      <c r="X40" s="421">
        <f t="shared" si="13"/>
      </c>
      <c r="Y40" s="6"/>
    </row>
    <row r="41" spans="2:25" s="5" customFormat="1" ht="16.5" customHeight="1">
      <c r="B41" s="50"/>
      <c r="C41" s="289"/>
      <c r="D41" s="484"/>
      <c r="E41" s="412"/>
      <c r="F41" s="485"/>
      <c r="G41" s="306">
        <f t="shared" si="0"/>
        <v>0</v>
      </c>
      <c r="H41" s="414"/>
      <c r="I41" s="192"/>
      <c r="J41" s="415">
        <f t="shared" si="1"/>
      </c>
      <c r="K41" s="416">
        <f t="shared" si="2"/>
      </c>
      <c r="L41" s="234"/>
      <c r="M41" s="235">
        <f t="shared" si="3"/>
      </c>
      <c r="N41" s="155">
        <f t="shared" si="4"/>
      </c>
      <c r="O41" s="486">
        <f t="shared" si="5"/>
        <v>20</v>
      </c>
      <c r="P41" s="487" t="str">
        <f t="shared" si="6"/>
        <v>--</v>
      </c>
      <c r="Q41" s="488" t="str">
        <f t="shared" si="7"/>
        <v>--</v>
      </c>
      <c r="R41" s="489" t="str">
        <f t="shared" si="8"/>
        <v>--</v>
      </c>
      <c r="S41" s="313" t="str">
        <f t="shared" si="9"/>
        <v>--</v>
      </c>
      <c r="T41" s="314" t="str">
        <f t="shared" si="14"/>
        <v>--</v>
      </c>
      <c r="U41" s="490" t="str">
        <f t="shared" si="10"/>
        <v>--</v>
      </c>
      <c r="V41" s="310" t="str">
        <f t="shared" si="11"/>
        <v>--</v>
      </c>
      <c r="W41" s="155">
        <f t="shared" si="12"/>
      </c>
      <c r="X41" s="421">
        <f t="shared" si="13"/>
      </c>
      <c r="Y41" s="6"/>
    </row>
    <row r="42" spans="2:25" s="5" customFormat="1" ht="16.5" customHeight="1" thickBot="1">
      <c r="B42" s="50"/>
      <c r="C42" s="157"/>
      <c r="D42" s="492"/>
      <c r="E42" s="149"/>
      <c r="F42" s="493"/>
      <c r="G42" s="132"/>
      <c r="H42" s="422"/>
      <c r="I42" s="422"/>
      <c r="J42" s="423"/>
      <c r="K42" s="423"/>
      <c r="L42" s="422"/>
      <c r="M42" s="197"/>
      <c r="N42" s="154"/>
      <c r="O42" s="494"/>
      <c r="P42" s="495"/>
      <c r="Q42" s="496"/>
      <c r="R42" s="497"/>
      <c r="S42" s="331"/>
      <c r="T42" s="332"/>
      <c r="U42" s="498"/>
      <c r="V42" s="498"/>
      <c r="W42" s="154"/>
      <c r="X42" s="499"/>
      <c r="Y42" s="6"/>
    </row>
    <row r="43" spans="2:25" s="5" customFormat="1" ht="16.5" customHeight="1" thickBot="1" thickTop="1">
      <c r="B43" s="50"/>
      <c r="C43" s="128" t="s">
        <v>25</v>
      </c>
      <c r="D43" s="129" t="s">
        <v>369</v>
      </c>
      <c r="G43" s="4"/>
      <c r="H43" s="4"/>
      <c r="I43" s="4"/>
      <c r="J43" s="4"/>
      <c r="K43" s="4"/>
      <c r="L43" s="4"/>
      <c r="M43" s="4"/>
      <c r="N43" s="4"/>
      <c r="O43" s="4"/>
      <c r="P43" s="500">
        <f aca="true" t="shared" si="15" ref="P43:V43">SUM(P20:P42)</f>
        <v>4522.0483</v>
      </c>
      <c r="Q43" s="501">
        <f t="shared" si="15"/>
        <v>0</v>
      </c>
      <c r="R43" s="502">
        <f t="shared" si="15"/>
        <v>0</v>
      </c>
      <c r="S43" s="341">
        <f t="shared" si="15"/>
        <v>0</v>
      </c>
      <c r="T43" s="342">
        <f t="shared" si="15"/>
        <v>0</v>
      </c>
      <c r="U43" s="503">
        <f t="shared" si="15"/>
        <v>0</v>
      </c>
      <c r="V43" s="503">
        <f t="shared" si="15"/>
        <v>6591.0846925000005</v>
      </c>
      <c r="X43" s="101">
        <f>ROUND(SUM(X20:X42),2)</f>
        <v>751359.62</v>
      </c>
      <c r="Y43" s="504"/>
    </row>
    <row r="44" spans="2:25" s="5" customFormat="1" ht="16.5" customHeight="1" thickBot="1" thickTop="1">
      <c r="B44" s="74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6"/>
    </row>
    <row r="45" spans="4:27" ht="16.5" customHeight="1" thickTop="1">
      <c r="D45" s="181"/>
      <c r="E45" s="181"/>
      <c r="F45" s="181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</row>
    <row r="46" spans="4:27" ht="16.5" customHeight="1">
      <c r="D46" s="181"/>
      <c r="E46" s="181"/>
      <c r="F46" s="181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</row>
    <row r="47" spans="4:27" ht="16.5" customHeight="1">
      <c r="D47" s="181"/>
      <c r="E47" s="181"/>
      <c r="F47" s="181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</row>
    <row r="48" spans="4:27" ht="16.5" customHeight="1">
      <c r="D48" s="181"/>
      <c r="E48" s="181"/>
      <c r="F48" s="181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</row>
    <row r="49" spans="4:27" ht="16.5" customHeight="1">
      <c r="D49" s="181"/>
      <c r="E49" s="181"/>
      <c r="F49" s="181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</row>
    <row r="50" spans="4:27" ht="16.5" customHeight="1">
      <c r="D50" s="181"/>
      <c r="E50" s="181"/>
      <c r="F50" s="181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</row>
    <row r="51" spans="4:27" ht="16.5" customHeight="1"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</row>
    <row r="52" spans="4:27" ht="16.5" customHeight="1"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</row>
    <row r="53" spans="4:27" ht="16.5" customHeight="1"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</row>
    <row r="54" spans="4:27" ht="16.5" customHeight="1"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</row>
    <row r="55" spans="4:27" ht="16.5" customHeight="1"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</row>
    <row r="56" spans="4:27" ht="16.5" customHeight="1"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</row>
    <row r="57" spans="4:27" ht="16.5" customHeight="1"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</row>
    <row r="58" spans="4:27" ht="16.5" customHeight="1"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</row>
    <row r="59" spans="4:27" ht="16.5" customHeight="1"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</row>
    <row r="60" spans="4:27" ht="16.5" customHeight="1"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</row>
    <row r="61" spans="4:27" ht="16.5" customHeight="1"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</row>
    <row r="62" spans="4:27" ht="16.5" customHeight="1"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</row>
    <row r="63" spans="4:27" ht="16.5" customHeight="1"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</row>
    <row r="64" spans="4:27" ht="16.5" customHeight="1"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</row>
    <row r="65" spans="4:27" ht="16.5" customHeight="1"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</row>
    <row r="66" spans="4:27" ht="16.5" customHeight="1"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</row>
    <row r="67" spans="4:27" ht="16.5" customHeight="1"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</row>
    <row r="68" spans="4:27" ht="16.5" customHeight="1"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</row>
    <row r="69" spans="4:27" ht="16.5" customHeight="1"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</row>
    <row r="70" spans="4:27" ht="16.5" customHeight="1"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</row>
    <row r="71" spans="4:27" ht="16.5" customHeight="1"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</row>
    <row r="72" spans="4:27" ht="16.5" customHeight="1"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</row>
    <row r="73" spans="4:27" ht="16.5" customHeight="1"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</row>
    <row r="74" spans="4:27" ht="16.5" customHeight="1"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</row>
    <row r="75" spans="4:27" ht="16.5" customHeight="1"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79"/>
    </row>
    <row r="76" spans="4:27" ht="16.5" customHeight="1"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</row>
    <row r="77" spans="4:27" ht="16.5" customHeight="1"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  <c r="AA77" s="179"/>
    </row>
    <row r="78" spans="4:27" ht="16.5" customHeight="1"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</row>
    <row r="79" spans="4:27" ht="16.5" customHeight="1"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</row>
    <row r="80" spans="4:27" ht="16.5" customHeight="1"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  <c r="AA80" s="179"/>
    </row>
    <row r="81" spans="4:27" ht="16.5" customHeight="1"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  <c r="AA81" s="179"/>
    </row>
    <row r="82" spans="4:27" ht="16.5" customHeight="1"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  <c r="Z82" s="179"/>
      <c r="AA82" s="179"/>
    </row>
    <row r="83" spans="4:27" ht="16.5" customHeight="1"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79"/>
      <c r="AA83" s="179"/>
    </row>
    <row r="84" spans="4:27" ht="16.5" customHeight="1"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  <c r="T84" s="179"/>
      <c r="U84" s="179"/>
      <c r="V84" s="179"/>
      <c r="W84" s="179"/>
      <c r="X84" s="179"/>
      <c r="Y84" s="179"/>
      <c r="Z84" s="179"/>
      <c r="AA84" s="179"/>
    </row>
    <row r="85" spans="4:27" ht="16.5" customHeight="1"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</row>
    <row r="86" spans="4:27" ht="16.5" customHeight="1"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  <c r="W86" s="179"/>
      <c r="X86" s="179"/>
      <c r="Y86" s="179"/>
      <c r="Z86" s="179"/>
      <c r="AA86" s="179"/>
    </row>
    <row r="87" spans="4:27" ht="16.5" customHeight="1"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</row>
    <row r="88" spans="4:27" ht="16.5" customHeight="1"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79"/>
      <c r="X88" s="179"/>
      <c r="Y88" s="179"/>
      <c r="Z88" s="179"/>
      <c r="AA88" s="179"/>
    </row>
    <row r="89" spans="4:27" ht="16.5" customHeight="1"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  <c r="AA89" s="179"/>
    </row>
    <row r="90" spans="4:27" ht="16.5" customHeight="1"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  <c r="X90" s="179"/>
      <c r="Y90" s="179"/>
      <c r="Z90" s="179"/>
      <c r="AA90" s="179"/>
    </row>
    <row r="91" spans="4:27" ht="16.5" customHeight="1"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79"/>
      <c r="Z91" s="179"/>
      <c r="AA91" s="179"/>
    </row>
    <row r="92" spans="4:27" ht="16.5" customHeight="1"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</row>
    <row r="93" spans="4:27" ht="16.5" customHeight="1"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  <c r="X93" s="179"/>
      <c r="Y93" s="179"/>
      <c r="Z93" s="179"/>
      <c r="AA93" s="179"/>
    </row>
    <row r="94" spans="4:27" ht="16.5" customHeight="1"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9"/>
      <c r="Z94" s="179"/>
      <c r="AA94" s="179"/>
    </row>
    <row r="95" spans="4:27" ht="16.5" customHeight="1"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  <c r="X95" s="179"/>
      <c r="Y95" s="179"/>
      <c r="Z95" s="179"/>
      <c r="AA95" s="179"/>
    </row>
    <row r="96" spans="4:27" ht="16.5" customHeight="1"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79"/>
      <c r="AA96" s="179"/>
    </row>
    <row r="97" spans="4:27" ht="16.5" customHeight="1"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  <c r="Z97" s="179"/>
      <c r="AA97" s="179"/>
    </row>
    <row r="98" spans="4:27" ht="16.5" customHeight="1"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  <c r="S98" s="179"/>
      <c r="T98" s="179"/>
      <c r="U98" s="179"/>
      <c r="V98" s="179"/>
      <c r="W98" s="179"/>
      <c r="X98" s="179"/>
      <c r="Y98" s="179"/>
      <c r="Z98" s="179"/>
      <c r="AA98" s="179"/>
    </row>
    <row r="99" spans="4:27" ht="16.5" customHeight="1"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  <c r="S99" s="179"/>
      <c r="T99" s="179"/>
      <c r="U99" s="179"/>
      <c r="V99" s="179"/>
      <c r="W99" s="179"/>
      <c r="X99" s="179"/>
      <c r="Y99" s="179"/>
      <c r="Z99" s="179"/>
      <c r="AA99" s="179"/>
    </row>
    <row r="100" spans="4:27" ht="16.5" customHeight="1"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179"/>
      <c r="U100" s="179"/>
      <c r="V100" s="179"/>
      <c r="W100" s="179"/>
      <c r="X100" s="179"/>
      <c r="Y100" s="179"/>
      <c r="Z100" s="179"/>
      <c r="AA100" s="179"/>
    </row>
    <row r="101" spans="4:27" ht="16.5" customHeight="1"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  <c r="S101" s="179"/>
      <c r="T101" s="179"/>
      <c r="U101" s="179"/>
      <c r="V101" s="179"/>
      <c r="W101" s="179"/>
      <c r="X101" s="179"/>
      <c r="Y101" s="179"/>
      <c r="Z101" s="179"/>
      <c r="AA101" s="179"/>
    </row>
    <row r="102" spans="4:27" ht="16.5" customHeight="1"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179"/>
      <c r="Y102" s="179"/>
      <c r="Z102" s="179"/>
      <c r="AA102" s="179"/>
    </row>
    <row r="103" spans="4:27" ht="16.5" customHeight="1"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  <c r="S103" s="179"/>
      <c r="T103" s="179"/>
      <c r="U103" s="179"/>
      <c r="V103" s="179"/>
      <c r="W103" s="179"/>
      <c r="X103" s="179"/>
      <c r="Y103" s="179"/>
      <c r="Z103" s="179"/>
      <c r="AA103" s="179"/>
    </row>
    <row r="104" spans="4:27" ht="16.5" customHeight="1"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179"/>
      <c r="U104" s="179"/>
      <c r="V104" s="179"/>
      <c r="W104" s="179"/>
      <c r="X104" s="179"/>
      <c r="Y104" s="179"/>
      <c r="Z104" s="179"/>
      <c r="AA104" s="179"/>
    </row>
    <row r="105" spans="4:27" ht="16.5" customHeight="1"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  <c r="S105" s="179"/>
      <c r="T105" s="179"/>
      <c r="U105" s="179"/>
      <c r="V105" s="179"/>
      <c r="W105" s="179"/>
      <c r="X105" s="179"/>
      <c r="Y105" s="179"/>
      <c r="Z105" s="179"/>
      <c r="AA105" s="179"/>
    </row>
    <row r="106" spans="4:27" ht="16.5" customHeight="1"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T106" s="179"/>
      <c r="U106" s="179"/>
      <c r="V106" s="179"/>
      <c r="W106" s="179"/>
      <c r="X106" s="179"/>
      <c r="Y106" s="179"/>
      <c r="Z106" s="179"/>
      <c r="AA106" s="179"/>
    </row>
    <row r="107" spans="4:27" ht="16.5" customHeight="1"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  <c r="S107" s="179"/>
      <c r="T107" s="179"/>
      <c r="U107" s="179"/>
      <c r="V107" s="179"/>
      <c r="W107" s="179"/>
      <c r="X107" s="179"/>
      <c r="Y107" s="179"/>
      <c r="Z107" s="179"/>
      <c r="AA107" s="179"/>
    </row>
    <row r="108" spans="4:27" ht="16.5" customHeight="1"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  <c r="S108" s="179"/>
      <c r="T108" s="179"/>
      <c r="U108" s="179"/>
      <c r="V108" s="179"/>
      <c r="W108" s="179"/>
      <c r="X108" s="179"/>
      <c r="Y108" s="179"/>
      <c r="Z108" s="179"/>
      <c r="AA108" s="179"/>
    </row>
    <row r="109" spans="4:27" ht="16.5" customHeight="1"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  <c r="S109" s="179"/>
      <c r="T109" s="179"/>
      <c r="U109" s="179"/>
      <c r="V109" s="179"/>
      <c r="W109" s="179"/>
      <c r="X109" s="179"/>
      <c r="Y109" s="179"/>
      <c r="Z109" s="179"/>
      <c r="AA109" s="179"/>
    </row>
    <row r="110" spans="4:27" ht="16.5" customHeight="1"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  <c r="S110" s="179"/>
      <c r="T110" s="179"/>
      <c r="U110" s="179"/>
      <c r="V110" s="179"/>
      <c r="W110" s="179"/>
      <c r="X110" s="179"/>
      <c r="Y110" s="179"/>
      <c r="Z110" s="179"/>
      <c r="AA110" s="179"/>
    </row>
    <row r="111" spans="4:27" ht="16.5" customHeight="1"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  <c r="S111" s="179"/>
      <c r="T111" s="179"/>
      <c r="U111" s="179"/>
      <c r="V111" s="179"/>
      <c r="W111" s="179"/>
      <c r="X111" s="179"/>
      <c r="Y111" s="179"/>
      <c r="Z111" s="179"/>
      <c r="AA111" s="179"/>
    </row>
    <row r="112" spans="4:27" ht="16.5" customHeight="1"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  <c r="S112" s="179"/>
      <c r="T112" s="179"/>
      <c r="U112" s="179"/>
      <c r="V112" s="179"/>
      <c r="W112" s="179"/>
      <c r="X112" s="179"/>
      <c r="Y112" s="179"/>
      <c r="Z112" s="179"/>
      <c r="AA112" s="179"/>
    </row>
    <row r="113" spans="4:27" ht="16.5" customHeight="1"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  <c r="S113" s="179"/>
      <c r="T113" s="179"/>
      <c r="U113" s="179"/>
      <c r="V113" s="179"/>
      <c r="W113" s="179"/>
      <c r="X113" s="179"/>
      <c r="Y113" s="179"/>
      <c r="Z113" s="179"/>
      <c r="AA113" s="179"/>
    </row>
    <row r="114" spans="4:27" ht="16.5" customHeight="1"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  <c r="S114" s="179"/>
      <c r="T114" s="179"/>
      <c r="U114" s="179"/>
      <c r="V114" s="179"/>
      <c r="W114" s="179"/>
      <c r="X114" s="179"/>
      <c r="Y114" s="179"/>
      <c r="Z114" s="179"/>
      <c r="AA114" s="179"/>
    </row>
    <row r="115" spans="4:27" ht="16.5" customHeight="1"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  <c r="S115" s="179"/>
      <c r="T115" s="179"/>
      <c r="U115" s="179"/>
      <c r="V115" s="179"/>
      <c r="W115" s="179"/>
      <c r="X115" s="179"/>
      <c r="Y115" s="179"/>
      <c r="Z115" s="179"/>
      <c r="AA115" s="179"/>
    </row>
    <row r="116" spans="4:27" ht="16.5" customHeight="1"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  <c r="S116" s="179"/>
      <c r="T116" s="179"/>
      <c r="U116" s="179"/>
      <c r="V116" s="179"/>
      <c r="W116" s="179"/>
      <c r="X116" s="179"/>
      <c r="Y116" s="179"/>
      <c r="Z116" s="179"/>
      <c r="AA116" s="179"/>
    </row>
    <row r="117" spans="4:27" ht="16.5" customHeight="1"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  <c r="S117" s="179"/>
      <c r="T117" s="179"/>
      <c r="U117" s="179"/>
      <c r="V117" s="179"/>
      <c r="W117" s="179"/>
      <c r="X117" s="179"/>
      <c r="Y117" s="179"/>
      <c r="Z117" s="179"/>
      <c r="AA117" s="179"/>
    </row>
    <row r="118" spans="4:27" ht="16.5" customHeight="1"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  <c r="S118" s="179"/>
      <c r="T118" s="179"/>
      <c r="U118" s="179"/>
      <c r="V118" s="179"/>
      <c r="W118" s="179"/>
      <c r="X118" s="179"/>
      <c r="Y118" s="179"/>
      <c r="Z118" s="179"/>
      <c r="AA118" s="179"/>
    </row>
    <row r="119" spans="4:27" ht="16.5" customHeight="1"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  <c r="S119" s="179"/>
      <c r="T119" s="179"/>
      <c r="U119" s="179"/>
      <c r="V119" s="179"/>
      <c r="W119" s="179"/>
      <c r="X119" s="179"/>
      <c r="Y119" s="179"/>
      <c r="Z119" s="179"/>
      <c r="AA119" s="179"/>
    </row>
    <row r="120" spans="4:27" ht="16.5" customHeight="1"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  <c r="S120" s="179"/>
      <c r="T120" s="179"/>
      <c r="U120" s="179"/>
      <c r="V120" s="179"/>
      <c r="W120" s="179"/>
      <c r="X120" s="179"/>
      <c r="Y120" s="179"/>
      <c r="Z120" s="179"/>
      <c r="AA120" s="179"/>
    </row>
    <row r="121" spans="4:27" ht="16.5" customHeight="1"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  <c r="S121" s="179"/>
      <c r="T121" s="179"/>
      <c r="U121" s="179"/>
      <c r="V121" s="179"/>
      <c r="W121" s="179"/>
      <c r="X121" s="179"/>
      <c r="Y121" s="179"/>
      <c r="Z121" s="179"/>
      <c r="AA121" s="179"/>
    </row>
    <row r="122" spans="4:27" ht="16.5" customHeight="1"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  <c r="S122" s="179"/>
      <c r="T122" s="179"/>
      <c r="U122" s="179"/>
      <c r="V122" s="179"/>
      <c r="W122" s="179"/>
      <c r="X122" s="179"/>
      <c r="Y122" s="179"/>
      <c r="Z122" s="179"/>
      <c r="AA122" s="179"/>
    </row>
    <row r="123" spans="4:27" ht="16.5" customHeight="1"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  <c r="S123" s="179"/>
      <c r="T123" s="179"/>
      <c r="U123" s="179"/>
      <c r="V123" s="179"/>
      <c r="W123" s="179"/>
      <c r="X123" s="179"/>
      <c r="Y123" s="179"/>
      <c r="Z123" s="179"/>
      <c r="AA123" s="179"/>
    </row>
    <row r="124" spans="4:27" ht="16.5" customHeight="1"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  <c r="S124" s="179"/>
      <c r="T124" s="179"/>
      <c r="U124" s="179"/>
      <c r="V124" s="179"/>
      <c r="W124" s="179"/>
      <c r="X124" s="179"/>
      <c r="Y124" s="179"/>
      <c r="Z124" s="179"/>
      <c r="AA124" s="179"/>
    </row>
    <row r="125" spans="4:27" ht="16.5" customHeight="1"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  <c r="S125" s="179"/>
      <c r="T125" s="179"/>
      <c r="U125" s="179"/>
      <c r="V125" s="179"/>
      <c r="W125" s="179"/>
      <c r="X125" s="179"/>
      <c r="Y125" s="179"/>
      <c r="Z125" s="179"/>
      <c r="AA125" s="179"/>
    </row>
    <row r="126" spans="4:27" ht="16.5" customHeight="1"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  <c r="S126" s="179"/>
      <c r="T126" s="179"/>
      <c r="U126" s="179"/>
      <c r="V126" s="179"/>
      <c r="W126" s="179"/>
      <c r="X126" s="179"/>
      <c r="Y126" s="179"/>
      <c r="Z126" s="179"/>
      <c r="AA126" s="179"/>
    </row>
    <row r="127" spans="4:27" ht="16.5" customHeight="1"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  <c r="S127" s="179"/>
      <c r="T127" s="179"/>
      <c r="U127" s="179"/>
      <c r="V127" s="179"/>
      <c r="W127" s="179"/>
      <c r="X127" s="179"/>
      <c r="Y127" s="179"/>
      <c r="Z127" s="179"/>
      <c r="AA127" s="179"/>
    </row>
    <row r="128" spans="4:27" ht="16.5" customHeight="1"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  <c r="S128" s="179"/>
      <c r="T128" s="179"/>
      <c r="U128" s="179"/>
      <c r="V128" s="179"/>
      <c r="W128" s="179"/>
      <c r="X128" s="179"/>
      <c r="Y128" s="179"/>
      <c r="Z128" s="179"/>
      <c r="AA128" s="179"/>
    </row>
    <row r="129" spans="4:27" ht="16.5" customHeight="1"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  <c r="S129" s="179"/>
      <c r="T129" s="179"/>
      <c r="U129" s="179"/>
      <c r="V129" s="179"/>
      <c r="W129" s="179"/>
      <c r="X129" s="179"/>
      <c r="Y129" s="179"/>
      <c r="Z129" s="179"/>
      <c r="AA129" s="179"/>
    </row>
    <row r="130" spans="4:27" ht="16.5" customHeight="1"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  <c r="S130" s="179"/>
      <c r="T130" s="179"/>
      <c r="U130" s="179"/>
      <c r="V130" s="179"/>
      <c r="W130" s="179"/>
      <c r="X130" s="179"/>
      <c r="Y130" s="179"/>
      <c r="Z130" s="179"/>
      <c r="AA130" s="179"/>
    </row>
    <row r="131" spans="4:27" ht="16.5" customHeight="1"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  <c r="S131" s="179"/>
      <c r="T131" s="179"/>
      <c r="U131" s="179"/>
      <c r="V131" s="179"/>
      <c r="W131" s="179"/>
      <c r="X131" s="179"/>
      <c r="Y131" s="179"/>
      <c r="Z131" s="179"/>
      <c r="AA131" s="179"/>
    </row>
    <row r="132" spans="4:27" ht="16.5" customHeight="1"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  <c r="S132" s="179"/>
      <c r="T132" s="179"/>
      <c r="U132" s="179"/>
      <c r="V132" s="179"/>
      <c r="W132" s="179"/>
      <c r="X132" s="179"/>
      <c r="Y132" s="179"/>
      <c r="Z132" s="179"/>
      <c r="AA132" s="179"/>
    </row>
    <row r="133" spans="4:27" ht="16.5" customHeight="1"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  <c r="S133" s="179"/>
      <c r="T133" s="179"/>
      <c r="U133" s="179"/>
      <c r="V133" s="179"/>
      <c r="W133" s="179"/>
      <c r="X133" s="179"/>
      <c r="Y133" s="179"/>
      <c r="Z133" s="179"/>
      <c r="AA133" s="179"/>
    </row>
    <row r="134" spans="4:27" ht="16.5" customHeight="1"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  <c r="S134" s="179"/>
      <c r="T134" s="179"/>
      <c r="U134" s="179"/>
      <c r="V134" s="179"/>
      <c r="W134" s="179"/>
      <c r="X134" s="179"/>
      <c r="Y134" s="179"/>
      <c r="Z134" s="179"/>
      <c r="AA134" s="179"/>
    </row>
    <row r="135" spans="4:27" ht="16.5" customHeight="1"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  <c r="S135" s="179"/>
      <c r="T135" s="179"/>
      <c r="U135" s="179"/>
      <c r="V135" s="179"/>
      <c r="W135" s="179"/>
      <c r="X135" s="179"/>
      <c r="Y135" s="179"/>
      <c r="Z135" s="179"/>
      <c r="AA135" s="179"/>
    </row>
    <row r="136" spans="4:27" ht="16.5" customHeight="1"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  <c r="S136" s="179"/>
      <c r="T136" s="179"/>
      <c r="U136" s="179"/>
      <c r="V136" s="179"/>
      <c r="W136" s="179"/>
      <c r="X136" s="179"/>
      <c r="Y136" s="179"/>
      <c r="Z136" s="179"/>
      <c r="AA136" s="179"/>
    </row>
    <row r="137" spans="4:27" ht="16.5" customHeight="1"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  <c r="S137" s="179"/>
      <c r="T137" s="179"/>
      <c r="U137" s="179"/>
      <c r="V137" s="179"/>
      <c r="W137" s="179"/>
      <c r="X137" s="179"/>
      <c r="Y137" s="179"/>
      <c r="Z137" s="179"/>
      <c r="AA137" s="179"/>
    </row>
    <row r="138" spans="4:27" ht="16.5" customHeight="1"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  <c r="S138" s="179"/>
      <c r="T138" s="179"/>
      <c r="U138" s="179"/>
      <c r="V138" s="179"/>
      <c r="W138" s="179"/>
      <c r="X138" s="179"/>
      <c r="Y138" s="179"/>
      <c r="Z138" s="179"/>
      <c r="AA138" s="179"/>
    </row>
    <row r="139" spans="4:27" ht="16.5" customHeight="1"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  <c r="S139" s="179"/>
      <c r="T139" s="179"/>
      <c r="U139" s="179"/>
      <c r="V139" s="179"/>
      <c r="W139" s="179"/>
      <c r="X139" s="179"/>
      <c r="Y139" s="179"/>
      <c r="Z139" s="179"/>
      <c r="AA139" s="179"/>
    </row>
    <row r="140" spans="4:27" ht="16.5" customHeight="1"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  <c r="S140" s="179"/>
      <c r="T140" s="179"/>
      <c r="U140" s="179"/>
      <c r="V140" s="179"/>
      <c r="W140" s="179"/>
      <c r="X140" s="179"/>
      <c r="Y140" s="179"/>
      <c r="Z140" s="179"/>
      <c r="AA140" s="179"/>
    </row>
    <row r="141" spans="4:27" ht="16.5" customHeight="1"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  <c r="S141" s="179"/>
      <c r="T141" s="179"/>
      <c r="U141" s="179"/>
      <c r="V141" s="179"/>
      <c r="W141" s="179"/>
      <c r="X141" s="179"/>
      <c r="Y141" s="179"/>
      <c r="Z141" s="179"/>
      <c r="AA141" s="179"/>
    </row>
    <row r="142" spans="4:27" ht="16.5" customHeight="1"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  <c r="S142" s="179"/>
      <c r="T142" s="179"/>
      <c r="U142" s="179"/>
      <c r="V142" s="179"/>
      <c r="W142" s="179"/>
      <c r="X142" s="179"/>
      <c r="Y142" s="179"/>
      <c r="Z142" s="179"/>
      <c r="AA142" s="179"/>
    </row>
    <row r="143" spans="4:27" ht="16.5" customHeight="1"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  <c r="S143" s="179"/>
      <c r="T143" s="179"/>
      <c r="U143" s="179"/>
      <c r="V143" s="179"/>
      <c r="W143" s="179"/>
      <c r="X143" s="179"/>
      <c r="Y143" s="179"/>
      <c r="Z143" s="179"/>
      <c r="AA143" s="179"/>
    </row>
    <row r="144" spans="4:27" ht="16.5" customHeight="1"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  <c r="S144" s="179"/>
      <c r="T144" s="179"/>
      <c r="U144" s="179"/>
      <c r="V144" s="179"/>
      <c r="W144" s="179"/>
      <c r="X144" s="179"/>
      <c r="Y144" s="179"/>
      <c r="Z144" s="179"/>
      <c r="AA144" s="179"/>
    </row>
    <row r="145" spans="4:27" ht="16.5" customHeight="1"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  <c r="S145" s="179"/>
      <c r="T145" s="179"/>
      <c r="U145" s="179"/>
      <c r="V145" s="179"/>
      <c r="W145" s="179"/>
      <c r="X145" s="179"/>
      <c r="Y145" s="179"/>
      <c r="Z145" s="179"/>
      <c r="AA145" s="179"/>
    </row>
    <row r="146" spans="4:27" ht="16.5" customHeight="1"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  <c r="S146" s="179"/>
      <c r="T146" s="179"/>
      <c r="U146" s="179"/>
      <c r="V146" s="179"/>
      <c r="W146" s="179"/>
      <c r="X146" s="179"/>
      <c r="Y146" s="179"/>
      <c r="Z146" s="179"/>
      <c r="AA146" s="179"/>
    </row>
    <row r="147" spans="4:27" ht="16.5" customHeight="1"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  <c r="S147" s="179"/>
      <c r="T147" s="179"/>
      <c r="U147" s="179"/>
      <c r="V147" s="179"/>
      <c r="W147" s="179"/>
      <c r="X147" s="179"/>
      <c r="Y147" s="179"/>
      <c r="Z147" s="179"/>
      <c r="AA147" s="179"/>
    </row>
    <row r="148" spans="4:27" ht="16.5" customHeight="1"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  <c r="S148" s="179"/>
      <c r="T148" s="179"/>
      <c r="U148" s="179"/>
      <c r="V148" s="179"/>
      <c r="W148" s="179"/>
      <c r="X148" s="179"/>
      <c r="Y148" s="179"/>
      <c r="Z148" s="179"/>
      <c r="AA148" s="179"/>
    </row>
    <row r="149" spans="4:27" ht="16.5" customHeight="1"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  <c r="S149" s="179"/>
      <c r="T149" s="179"/>
      <c r="U149" s="179"/>
      <c r="V149" s="179"/>
      <c r="W149" s="179"/>
      <c r="X149" s="179"/>
      <c r="Y149" s="179"/>
      <c r="Z149" s="179"/>
      <c r="AA149" s="179"/>
    </row>
    <row r="150" spans="4:27" ht="16.5" customHeight="1"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  <c r="S150" s="179"/>
      <c r="T150" s="179"/>
      <c r="U150" s="179"/>
      <c r="V150" s="179"/>
      <c r="W150" s="179"/>
      <c r="X150" s="179"/>
      <c r="Y150" s="179"/>
      <c r="Z150" s="179"/>
      <c r="AA150" s="179"/>
    </row>
    <row r="151" spans="4:27" ht="16.5" customHeight="1"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  <c r="S151" s="179"/>
      <c r="T151" s="179"/>
      <c r="U151" s="179"/>
      <c r="V151" s="179"/>
      <c r="W151" s="179"/>
      <c r="X151" s="179"/>
      <c r="Y151" s="179"/>
      <c r="Z151" s="179"/>
      <c r="AA151" s="179"/>
    </row>
    <row r="152" spans="4:27" ht="16.5" customHeight="1">
      <c r="D152" s="179"/>
      <c r="E152" s="179"/>
      <c r="F152" s="179"/>
      <c r="Z152" s="179"/>
      <c r="AA152" s="179"/>
    </row>
    <row r="153" spans="4:6" ht="16.5" customHeight="1">
      <c r="D153" s="179"/>
      <c r="E153" s="179"/>
      <c r="F153" s="179"/>
    </row>
    <row r="154" spans="4:6" ht="16.5" customHeight="1">
      <c r="D154" s="179"/>
      <c r="E154" s="179"/>
      <c r="F154" s="179"/>
    </row>
    <row r="155" spans="4:6" ht="16.5" customHeight="1">
      <c r="D155" s="179"/>
      <c r="E155" s="179"/>
      <c r="F155" s="179"/>
    </row>
    <row r="156" spans="4:6" ht="16.5" customHeight="1">
      <c r="D156" s="179"/>
      <c r="E156" s="179"/>
      <c r="F156" s="179"/>
    </row>
    <row r="157" spans="4:6" ht="16.5" customHeight="1">
      <c r="D157" s="179"/>
      <c r="E157" s="179"/>
      <c r="F157" s="179"/>
    </row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4">
    <pageSetUpPr fitToPage="1"/>
  </sheetPr>
  <dimension ref="A1:Y157"/>
  <sheetViews>
    <sheetView zoomScale="75" zoomScaleNormal="75" workbookViewId="0" topLeftCell="C1">
      <selection activeCell="N31" sqref="N31"/>
    </sheetView>
  </sheetViews>
  <sheetFormatPr defaultColWidth="11.421875" defaultRowHeight="12.75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25.7109375" style="0" customWidth="1"/>
    <col min="6" max="6" width="8.7109375" style="0" customWidth="1"/>
    <col min="7" max="7" width="13.421875" style="0" hidden="1" customWidth="1"/>
    <col min="8" max="9" width="15.7109375" style="0" customWidth="1"/>
    <col min="10" max="13" width="9.7109375" style="0" customWidth="1"/>
    <col min="14" max="14" width="6.00390625" style="0" customWidth="1"/>
    <col min="15" max="15" width="3.7109375" style="0" hidden="1" customWidth="1"/>
    <col min="16" max="16" width="13.140625" style="0" hidden="1" customWidth="1"/>
    <col min="17" max="18" width="5.7109375" style="0" hidden="1" customWidth="1"/>
    <col min="19" max="20" width="12.28125" style="0" hidden="1" customWidth="1"/>
    <col min="21" max="21" width="9.7109375" style="0" customWidth="1"/>
    <col min="22" max="23" width="15.7109375" style="0" customWidth="1"/>
  </cols>
  <sheetData>
    <row r="1" s="18" customFormat="1" ht="26.25">
      <c r="W1" s="146"/>
    </row>
    <row r="2" spans="1:23" s="18" customFormat="1" ht="26.25">
      <c r="A2" s="91"/>
      <c r="B2" s="435" t="str">
        <f>'TOT-1108'!B2</f>
        <v>ANEXO VI al Memoràndum D.T.E.E. N°  366 / 2010          </v>
      </c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</row>
    <row r="3" s="5" customFormat="1" ht="12.75">
      <c r="A3" s="90"/>
    </row>
    <row r="4" spans="1:2" s="25" customFormat="1" ht="11.25">
      <c r="A4" s="23" t="s">
        <v>2</v>
      </c>
      <c r="B4" s="125"/>
    </row>
    <row r="5" spans="1:2" s="25" customFormat="1" ht="11.25">
      <c r="A5" s="23" t="s">
        <v>3</v>
      </c>
      <c r="B5" s="125"/>
    </row>
    <row r="6" s="5" customFormat="1" ht="13.5" thickBot="1"/>
    <row r="7" spans="2:23" s="5" customFormat="1" ht="13.5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1"/>
    </row>
    <row r="8" spans="2:23" s="29" customFormat="1" ht="20.25">
      <c r="B8" s="79"/>
      <c r="D8" s="178" t="s">
        <v>91</v>
      </c>
      <c r="E8" s="436"/>
      <c r="F8" s="175"/>
      <c r="G8" s="174"/>
      <c r="H8" s="174"/>
      <c r="I8" s="174"/>
      <c r="J8" s="174"/>
      <c r="K8" s="174"/>
      <c r="L8" s="174"/>
      <c r="M8" s="174"/>
      <c r="N8" s="175"/>
      <c r="O8" s="175"/>
      <c r="P8" s="175"/>
      <c r="Q8" s="175"/>
      <c r="R8" s="175"/>
      <c r="S8" s="175"/>
      <c r="T8" s="175"/>
      <c r="U8" s="175"/>
      <c r="V8" s="175"/>
      <c r="W8" s="437"/>
    </row>
    <row r="9" spans="2:23" s="5" customFormat="1" ht="12.75">
      <c r="B9" s="5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6"/>
    </row>
    <row r="10" spans="2:23" s="29" customFormat="1" ht="20.25">
      <c r="B10" s="79"/>
      <c r="D10" s="11" t="s">
        <v>92</v>
      </c>
      <c r="F10" s="438"/>
      <c r="G10" s="81"/>
      <c r="H10" s="81"/>
      <c r="I10" s="81"/>
      <c r="J10" s="81"/>
      <c r="K10" s="81"/>
      <c r="L10" s="81"/>
      <c r="M10" s="81"/>
      <c r="N10" s="81"/>
      <c r="O10" s="81"/>
      <c r="P10" s="30"/>
      <c r="Q10" s="30"/>
      <c r="R10" s="30"/>
      <c r="S10" s="30"/>
      <c r="T10" s="30"/>
      <c r="U10" s="30"/>
      <c r="V10" s="30"/>
      <c r="W10" s="80"/>
    </row>
    <row r="11" spans="2:23" s="5" customFormat="1" ht="16.5" customHeight="1">
      <c r="B11" s="50"/>
      <c r="C11" s="4"/>
      <c r="D11" s="78"/>
      <c r="F11" s="31"/>
      <c r="G11" s="72"/>
      <c r="H11" s="72"/>
      <c r="I11" s="72"/>
      <c r="J11" s="72"/>
      <c r="K11" s="72"/>
      <c r="L11" s="72"/>
      <c r="M11" s="72"/>
      <c r="N11" s="72"/>
      <c r="O11" s="72"/>
      <c r="P11" s="4"/>
      <c r="Q11" s="4"/>
      <c r="R11" s="4"/>
      <c r="S11" s="4"/>
      <c r="T11" s="4"/>
      <c r="U11" s="4"/>
      <c r="V11" s="4"/>
      <c r="W11" s="6"/>
    </row>
    <row r="12" spans="2:23" s="29" customFormat="1" ht="20.25">
      <c r="B12" s="79"/>
      <c r="D12" s="11" t="s">
        <v>247</v>
      </c>
      <c r="F12" s="438"/>
      <c r="G12" s="81"/>
      <c r="H12" s="81"/>
      <c r="I12" s="81"/>
      <c r="J12" s="81"/>
      <c r="K12" s="81"/>
      <c r="L12" s="81"/>
      <c r="M12" s="81"/>
      <c r="N12" s="81"/>
      <c r="O12" s="81"/>
      <c r="P12" s="30"/>
      <c r="Q12" s="30"/>
      <c r="R12" s="30"/>
      <c r="S12" s="30"/>
      <c r="T12" s="30"/>
      <c r="U12" s="30"/>
      <c r="V12" s="30"/>
      <c r="W12" s="80"/>
    </row>
    <row r="13" spans="2:23" s="5" customFormat="1" ht="16.5" customHeight="1">
      <c r="B13" s="50"/>
      <c r="C13" s="4"/>
      <c r="D13" s="78"/>
      <c r="F13" s="31"/>
      <c r="G13" s="72"/>
      <c r="H13" s="72"/>
      <c r="I13" s="72"/>
      <c r="J13" s="72"/>
      <c r="K13" s="72"/>
      <c r="L13" s="72"/>
      <c r="M13" s="72"/>
      <c r="N13" s="72"/>
      <c r="O13" s="72"/>
      <c r="P13" s="4"/>
      <c r="Q13" s="4"/>
      <c r="R13" s="4"/>
      <c r="S13" s="4"/>
      <c r="T13" s="4"/>
      <c r="U13" s="4"/>
      <c r="V13" s="4"/>
      <c r="W13" s="6"/>
    </row>
    <row r="14" spans="2:23" s="36" customFormat="1" ht="16.5" customHeight="1">
      <c r="B14" s="37" t="str">
        <f>'TOT-1108'!B14</f>
        <v>Desde el 01 al 30 de noviembre de 2008</v>
      </c>
      <c r="C14" s="439"/>
      <c r="D14" s="440"/>
      <c r="E14" s="440"/>
      <c r="F14" s="440"/>
      <c r="G14" s="440"/>
      <c r="H14" s="440"/>
      <c r="I14" s="440"/>
      <c r="J14" s="440"/>
      <c r="K14" s="440"/>
      <c r="L14" s="440"/>
      <c r="M14" s="440"/>
      <c r="N14" s="440"/>
      <c r="O14" s="440"/>
      <c r="P14" s="439"/>
      <c r="Q14" s="439"/>
      <c r="R14" s="439"/>
      <c r="S14" s="439"/>
      <c r="T14" s="439"/>
      <c r="U14" s="439"/>
      <c r="V14" s="439"/>
      <c r="W14" s="441"/>
    </row>
    <row r="15" spans="2:23" s="5" customFormat="1" ht="16.5" customHeight="1" thickBot="1">
      <c r="B15" s="50"/>
      <c r="C15" s="4"/>
      <c r="D15" s="4"/>
      <c r="E15" s="4"/>
      <c r="F15" s="4"/>
      <c r="G15" s="4"/>
      <c r="H15" s="4"/>
      <c r="I15" s="4"/>
      <c r="J15" s="4"/>
      <c r="K15" s="4"/>
      <c r="P15" s="4"/>
      <c r="Q15" s="4"/>
      <c r="R15" s="4"/>
      <c r="S15" s="4"/>
      <c r="T15" s="4"/>
      <c r="U15" s="4"/>
      <c r="V15" s="4"/>
      <c r="W15" s="6"/>
    </row>
    <row r="16" spans="2:23" s="5" customFormat="1" ht="16.5" customHeight="1" thickBot="1" thickTop="1">
      <c r="B16" s="50"/>
      <c r="C16" s="4"/>
      <c r="D16" s="117" t="s">
        <v>82</v>
      </c>
      <c r="E16" s="442"/>
      <c r="F16" s="925">
        <v>0.245</v>
      </c>
      <c r="G16" s="377"/>
      <c r="H16"/>
      <c r="I16" s="4"/>
      <c r="J16" s="4"/>
      <c r="K16" s="4"/>
      <c r="L16" s="4"/>
      <c r="M16" s="4"/>
      <c r="O16" s="4"/>
      <c r="P16" s="4"/>
      <c r="Q16" s="4"/>
      <c r="R16" s="4"/>
      <c r="S16" s="4"/>
      <c r="T16" s="4"/>
      <c r="U16" s="4"/>
      <c r="V16" s="4"/>
      <c r="W16" s="6"/>
    </row>
    <row r="17" spans="2:23" s="5" customFormat="1" ht="16.5" customHeight="1" thickBot="1" thickTop="1">
      <c r="B17" s="50"/>
      <c r="C17" s="4"/>
      <c r="D17" s="443" t="s">
        <v>26</v>
      </c>
      <c r="E17" s="444"/>
      <c r="F17" s="926">
        <v>20</v>
      </c>
      <c r="G17" s="377"/>
      <c r="H17"/>
      <c r="I17" s="214"/>
      <c r="J17" s="215"/>
      <c r="K17" s="4"/>
      <c r="L17" s="4"/>
      <c r="M17" s="4"/>
      <c r="O17" s="4"/>
      <c r="P17" s="4"/>
      <c r="Q17" s="4"/>
      <c r="R17" s="116"/>
      <c r="S17" s="116"/>
      <c r="T17" s="116"/>
      <c r="U17" s="116"/>
      <c r="V17" s="116"/>
      <c r="W17" s="6"/>
    </row>
    <row r="18" spans="2:23" s="5" customFormat="1" ht="16.5" customHeight="1" thickBot="1" thickTop="1">
      <c r="B18" s="50"/>
      <c r="C18" s="66"/>
      <c r="D18" s="445"/>
      <c r="E18" s="446"/>
      <c r="F18" s="446"/>
      <c r="G18" s="198"/>
      <c r="H18" s="198"/>
      <c r="I18" s="198"/>
      <c r="J18" s="198"/>
      <c r="K18" s="198"/>
      <c r="L18" s="198"/>
      <c r="M18" s="198"/>
      <c r="N18" s="198"/>
      <c r="O18" s="447"/>
      <c r="P18" s="448"/>
      <c r="Q18" s="449"/>
      <c r="R18" s="449"/>
      <c r="S18" s="449"/>
      <c r="T18" s="449"/>
      <c r="U18" s="450"/>
      <c r="V18" s="451"/>
      <c r="W18" s="6"/>
    </row>
    <row r="19" spans="2:23" s="5" customFormat="1" ht="33.75" customHeight="1" thickBot="1" thickTop="1">
      <c r="B19" s="50"/>
      <c r="C19" s="84" t="s">
        <v>13</v>
      </c>
      <c r="D19" s="86" t="s">
        <v>27</v>
      </c>
      <c r="E19" s="85" t="s">
        <v>28</v>
      </c>
      <c r="F19" s="452" t="s">
        <v>29</v>
      </c>
      <c r="G19" s="130" t="s">
        <v>16</v>
      </c>
      <c r="H19" s="85" t="s">
        <v>17</v>
      </c>
      <c r="I19" s="85" t="s">
        <v>18</v>
      </c>
      <c r="J19" s="86" t="s">
        <v>36</v>
      </c>
      <c r="K19" s="86" t="s">
        <v>31</v>
      </c>
      <c r="L19" s="88" t="s">
        <v>19</v>
      </c>
      <c r="M19" s="88" t="s">
        <v>58</v>
      </c>
      <c r="N19" s="85" t="s">
        <v>32</v>
      </c>
      <c r="O19" s="130" t="s">
        <v>37</v>
      </c>
      <c r="P19" s="453" t="s">
        <v>71</v>
      </c>
      <c r="Q19" s="454" t="s">
        <v>94</v>
      </c>
      <c r="R19" s="455"/>
      <c r="S19" s="456" t="s">
        <v>22</v>
      </c>
      <c r="T19" s="270" t="s">
        <v>21</v>
      </c>
      <c r="U19" s="133" t="s">
        <v>80</v>
      </c>
      <c r="V19" s="457" t="s">
        <v>24</v>
      </c>
      <c r="W19" s="6"/>
    </row>
    <row r="20" spans="2:23" s="5" customFormat="1" ht="16.5" customHeight="1" thickTop="1">
      <c r="B20" s="50"/>
      <c r="C20" s="458"/>
      <c r="D20" s="459"/>
      <c r="E20" s="459"/>
      <c r="F20" s="459"/>
      <c r="G20" s="347"/>
      <c r="H20" s="460"/>
      <c r="I20" s="460"/>
      <c r="J20" s="458"/>
      <c r="K20" s="458"/>
      <c r="L20" s="459"/>
      <c r="M20" s="187"/>
      <c r="N20" s="458"/>
      <c r="O20" s="461"/>
      <c r="P20" s="462"/>
      <c r="Q20" s="463"/>
      <c r="R20" s="464"/>
      <c r="S20" s="465"/>
      <c r="T20" s="465"/>
      <c r="U20" s="466"/>
      <c r="V20" s="467"/>
      <c r="W20" s="6"/>
    </row>
    <row r="21" spans="2:23" s="5" customFormat="1" ht="16.5" customHeight="1">
      <c r="B21" s="50"/>
      <c r="C21" s="289"/>
      <c r="D21" s="468"/>
      <c r="E21" s="469"/>
      <c r="F21" s="470"/>
      <c r="G21" s="471"/>
      <c r="H21" s="472"/>
      <c r="I21" s="473"/>
      <c r="J21" s="474"/>
      <c r="K21" s="475"/>
      <c r="L21" s="476"/>
      <c r="M21" s="188"/>
      <c r="N21" s="477"/>
      <c r="O21" s="478"/>
      <c r="P21" s="479"/>
      <c r="Q21" s="480"/>
      <c r="R21" s="481"/>
      <c r="S21" s="482"/>
      <c r="T21" s="482"/>
      <c r="U21" s="477"/>
      <c r="V21" s="483"/>
      <c r="W21" s="6"/>
    </row>
    <row r="22" spans="2:23" s="5" customFormat="1" ht="16.5" customHeight="1">
      <c r="B22" s="50"/>
      <c r="C22" s="10">
        <v>100</v>
      </c>
      <c r="D22" s="484" t="s">
        <v>346</v>
      </c>
      <c r="E22" s="412" t="s">
        <v>347</v>
      </c>
      <c r="F22" s="485">
        <v>247</v>
      </c>
      <c r="G22" s="306">
        <f aca="true" t="shared" si="0" ref="G22:G41">F22*$F$16</f>
        <v>60.515</v>
      </c>
      <c r="H22" s="414">
        <v>39781.38055555556</v>
      </c>
      <c r="I22" s="192">
        <v>39781.705555555556</v>
      </c>
      <c r="J22" s="415">
        <f aca="true" t="shared" si="1" ref="J22:J41">IF(D22="","",(I22-H22)*24)</f>
        <v>7.799999999930151</v>
      </c>
      <c r="K22" s="416">
        <f aca="true" t="shared" si="2" ref="K22:K41">IF(D22="","",ROUND((I22-H22)*24*60,0))</f>
        <v>468</v>
      </c>
      <c r="L22" s="234" t="s">
        <v>251</v>
      </c>
      <c r="M22" s="235" t="str">
        <f aca="true" t="shared" si="3" ref="M22:M41">IF(D22="","","--")</f>
        <v>--</v>
      </c>
      <c r="N22" s="155" t="str">
        <f aca="true" t="shared" si="4" ref="N22:N41">IF(D22="","",IF(OR(L22="P",L22="RP"),"--","NO"))</f>
        <v>--</v>
      </c>
      <c r="O22" s="486">
        <f aca="true" t="shared" si="5" ref="O22:O41">IF(OR(L22="P",L22="RP"),$F$17/10,$F$17)</f>
        <v>2</v>
      </c>
      <c r="P22" s="487">
        <f aca="true" t="shared" si="6" ref="P22:P41">IF(L22="P",G22*O22*ROUND(K22/60,2),"--")</f>
        <v>944.034</v>
      </c>
      <c r="Q22" s="488" t="str">
        <f aca="true" t="shared" si="7" ref="Q22:Q41">IF(AND(L22="F",N22="NO"),G22*O22,"--")</f>
        <v>--</v>
      </c>
      <c r="R22" s="489" t="str">
        <f aca="true" t="shared" si="8" ref="R22:R41">IF(L22="F",G22*O22*ROUND(K22/60,2),"--")</f>
        <v>--</v>
      </c>
      <c r="S22" s="490" t="str">
        <f aca="true" t="shared" si="9" ref="S22:S41">IF(L22="RF",G22*O22*ROUND(K22/60,2),"--")</f>
        <v>--</v>
      </c>
      <c r="T22" s="310" t="s">
        <v>248</v>
      </c>
      <c r="U22" s="155" t="str">
        <f aca="true" t="shared" si="10" ref="U22:U41">IF(D22="","","SI")</f>
        <v>SI</v>
      </c>
      <c r="V22" s="421">
        <v>0</v>
      </c>
      <c r="W22" s="6"/>
    </row>
    <row r="23" spans="2:23" s="5" customFormat="1" ht="16.5" customHeight="1">
      <c r="B23" s="50"/>
      <c r="C23" s="157"/>
      <c r="D23" s="484"/>
      <c r="E23" s="412"/>
      <c r="F23" s="485"/>
      <c r="G23" s="306">
        <f t="shared" si="0"/>
        <v>0</v>
      </c>
      <c r="H23" s="414"/>
      <c r="I23" s="192"/>
      <c r="J23" s="415">
        <f t="shared" si="1"/>
      </c>
      <c r="K23" s="416">
        <f t="shared" si="2"/>
      </c>
      <c r="L23" s="234"/>
      <c r="M23" s="235">
        <f t="shared" si="3"/>
      </c>
      <c r="N23" s="155">
        <f t="shared" si="4"/>
      </c>
      <c r="O23" s="486">
        <f t="shared" si="5"/>
        <v>20</v>
      </c>
      <c r="P23" s="487" t="str">
        <f t="shared" si="6"/>
        <v>--</v>
      </c>
      <c r="Q23" s="488" t="str">
        <f t="shared" si="7"/>
        <v>--</v>
      </c>
      <c r="R23" s="489" t="str">
        <f t="shared" si="8"/>
        <v>--</v>
      </c>
      <c r="S23" s="490" t="str">
        <f t="shared" si="9"/>
        <v>--</v>
      </c>
      <c r="T23" s="310" t="s">
        <v>248</v>
      </c>
      <c r="U23" s="155">
        <f t="shared" si="10"/>
      </c>
      <c r="V23" s="421">
        <f aca="true" t="shared" si="11" ref="V23:V41">IF(D23="","",SUM(P23:T23)*IF(U23="SI",1,2)*IF(AND(M23&lt;&gt;"--",L23="RF"),M23/100,1))</f>
      </c>
      <c r="W23" s="6"/>
    </row>
    <row r="24" spans="2:23" s="5" customFormat="1" ht="16.5" customHeight="1">
      <c r="B24" s="50"/>
      <c r="C24" s="157"/>
      <c r="D24" s="484"/>
      <c r="E24" s="412"/>
      <c r="F24" s="485"/>
      <c r="G24" s="306">
        <f t="shared" si="0"/>
        <v>0</v>
      </c>
      <c r="H24" s="414"/>
      <c r="I24" s="192"/>
      <c r="J24" s="415">
        <f t="shared" si="1"/>
      </c>
      <c r="K24" s="416">
        <f t="shared" si="2"/>
      </c>
      <c r="L24" s="234"/>
      <c r="M24" s="235">
        <f t="shared" si="3"/>
      </c>
      <c r="N24" s="155">
        <f t="shared" si="4"/>
      </c>
      <c r="O24" s="486">
        <f t="shared" si="5"/>
        <v>20</v>
      </c>
      <c r="P24" s="487" t="str">
        <f t="shared" si="6"/>
        <v>--</v>
      </c>
      <c r="Q24" s="488" t="str">
        <f t="shared" si="7"/>
        <v>--</v>
      </c>
      <c r="R24" s="489" t="str">
        <f t="shared" si="8"/>
        <v>--</v>
      </c>
      <c r="S24" s="490" t="str">
        <f t="shared" si="9"/>
        <v>--</v>
      </c>
      <c r="T24" s="310" t="s">
        <v>248</v>
      </c>
      <c r="U24" s="155">
        <f t="shared" si="10"/>
      </c>
      <c r="V24" s="421">
        <f t="shared" si="11"/>
      </c>
      <c r="W24" s="6"/>
    </row>
    <row r="25" spans="2:23" s="5" customFormat="1" ht="16.5" customHeight="1">
      <c r="B25" s="50"/>
      <c r="C25" s="157"/>
      <c r="D25" s="484"/>
      <c r="E25" s="412"/>
      <c r="F25" s="485"/>
      <c r="G25" s="306">
        <f t="shared" si="0"/>
        <v>0</v>
      </c>
      <c r="H25" s="414"/>
      <c r="I25" s="192"/>
      <c r="J25" s="415">
        <f t="shared" si="1"/>
      </c>
      <c r="K25" s="416">
        <f t="shared" si="2"/>
      </c>
      <c r="L25" s="234"/>
      <c r="M25" s="235">
        <f t="shared" si="3"/>
      </c>
      <c r="N25" s="155">
        <f t="shared" si="4"/>
      </c>
      <c r="O25" s="486">
        <f t="shared" si="5"/>
        <v>20</v>
      </c>
      <c r="P25" s="487" t="str">
        <f t="shared" si="6"/>
        <v>--</v>
      </c>
      <c r="Q25" s="488" t="str">
        <f t="shared" si="7"/>
        <v>--</v>
      </c>
      <c r="R25" s="489" t="str">
        <f t="shared" si="8"/>
        <v>--</v>
      </c>
      <c r="S25" s="490" t="str">
        <f t="shared" si="9"/>
        <v>--</v>
      </c>
      <c r="T25" s="310" t="str">
        <f aca="true" t="shared" si="12" ref="T25:T41">IF(L25="RP",G25*O25*M25/100*ROUND(K25/60,2),"--")</f>
        <v>--</v>
      </c>
      <c r="U25" s="155">
        <f t="shared" si="10"/>
      </c>
      <c r="V25" s="421">
        <f t="shared" si="11"/>
      </c>
      <c r="W25" s="6"/>
    </row>
    <row r="26" spans="2:23" s="5" customFormat="1" ht="16.5" customHeight="1">
      <c r="B26" s="50"/>
      <c r="C26" s="289"/>
      <c r="D26" s="484"/>
      <c r="E26" s="412"/>
      <c r="F26" s="485"/>
      <c r="G26" s="306">
        <f t="shared" si="0"/>
        <v>0</v>
      </c>
      <c r="H26" s="414"/>
      <c r="I26" s="192"/>
      <c r="J26" s="415">
        <f t="shared" si="1"/>
      </c>
      <c r="K26" s="416">
        <f t="shared" si="2"/>
      </c>
      <c r="L26" s="234"/>
      <c r="M26" s="235">
        <f t="shared" si="3"/>
      </c>
      <c r="N26" s="155">
        <f t="shared" si="4"/>
      </c>
      <c r="O26" s="486">
        <f t="shared" si="5"/>
        <v>20</v>
      </c>
      <c r="P26" s="487" t="str">
        <f t="shared" si="6"/>
        <v>--</v>
      </c>
      <c r="Q26" s="488" t="str">
        <f t="shared" si="7"/>
        <v>--</v>
      </c>
      <c r="R26" s="489" t="str">
        <f t="shared" si="8"/>
        <v>--</v>
      </c>
      <c r="S26" s="490" t="str">
        <f t="shared" si="9"/>
        <v>--</v>
      </c>
      <c r="T26" s="310" t="str">
        <f t="shared" si="12"/>
        <v>--</v>
      </c>
      <c r="U26" s="155">
        <f t="shared" si="10"/>
      </c>
      <c r="V26" s="421">
        <f t="shared" si="11"/>
      </c>
      <c r="W26" s="491"/>
    </row>
    <row r="27" spans="2:23" s="5" customFormat="1" ht="16.5" customHeight="1">
      <c r="B27" s="50"/>
      <c r="C27" s="157"/>
      <c r="D27" s="484"/>
      <c r="E27" s="412"/>
      <c r="F27" s="485"/>
      <c r="G27" s="306">
        <f t="shared" si="0"/>
        <v>0</v>
      </c>
      <c r="H27" s="414"/>
      <c r="I27" s="192"/>
      <c r="J27" s="415">
        <f t="shared" si="1"/>
      </c>
      <c r="K27" s="416">
        <f t="shared" si="2"/>
      </c>
      <c r="L27" s="234"/>
      <c r="M27" s="235">
        <f t="shared" si="3"/>
      </c>
      <c r="N27" s="155">
        <f t="shared" si="4"/>
      </c>
      <c r="O27" s="486">
        <f t="shared" si="5"/>
        <v>20</v>
      </c>
      <c r="P27" s="487" t="str">
        <f t="shared" si="6"/>
        <v>--</v>
      </c>
      <c r="Q27" s="488" t="str">
        <f t="shared" si="7"/>
        <v>--</v>
      </c>
      <c r="R27" s="489" t="str">
        <f t="shared" si="8"/>
        <v>--</v>
      </c>
      <c r="S27" s="490" t="str">
        <f t="shared" si="9"/>
        <v>--</v>
      </c>
      <c r="T27" s="310" t="str">
        <f t="shared" si="12"/>
        <v>--</v>
      </c>
      <c r="U27" s="155">
        <f t="shared" si="10"/>
      </c>
      <c r="V27" s="421">
        <f t="shared" si="11"/>
      </c>
      <c r="W27" s="491"/>
    </row>
    <row r="28" spans="2:23" s="5" customFormat="1" ht="16.5" customHeight="1">
      <c r="B28" s="50"/>
      <c r="C28" s="289"/>
      <c r="D28" s="484"/>
      <c r="E28" s="412"/>
      <c r="F28" s="485"/>
      <c r="G28" s="306">
        <f t="shared" si="0"/>
        <v>0</v>
      </c>
      <c r="H28" s="414"/>
      <c r="I28" s="192"/>
      <c r="J28" s="415">
        <f t="shared" si="1"/>
      </c>
      <c r="K28" s="416">
        <f t="shared" si="2"/>
      </c>
      <c r="L28" s="234"/>
      <c r="M28" s="235">
        <f t="shared" si="3"/>
      </c>
      <c r="N28" s="155">
        <f t="shared" si="4"/>
      </c>
      <c r="O28" s="486">
        <f t="shared" si="5"/>
        <v>20</v>
      </c>
      <c r="P28" s="487" t="str">
        <f t="shared" si="6"/>
        <v>--</v>
      </c>
      <c r="Q28" s="488" t="str">
        <f t="shared" si="7"/>
        <v>--</v>
      </c>
      <c r="R28" s="489" t="str">
        <f t="shared" si="8"/>
        <v>--</v>
      </c>
      <c r="S28" s="490" t="str">
        <f t="shared" si="9"/>
        <v>--</v>
      </c>
      <c r="T28" s="310" t="str">
        <f t="shared" si="12"/>
        <v>--</v>
      </c>
      <c r="U28" s="155">
        <f t="shared" si="10"/>
      </c>
      <c r="V28" s="421">
        <f t="shared" si="11"/>
      </c>
      <c r="W28" s="491"/>
    </row>
    <row r="29" spans="2:23" s="5" customFormat="1" ht="16.5" customHeight="1">
      <c r="B29" s="50"/>
      <c r="C29" s="157"/>
      <c r="D29" s="484"/>
      <c r="E29" s="412"/>
      <c r="F29" s="485"/>
      <c r="G29" s="306">
        <f t="shared" si="0"/>
        <v>0</v>
      </c>
      <c r="H29" s="414"/>
      <c r="I29" s="192"/>
      <c r="J29" s="415">
        <f t="shared" si="1"/>
      </c>
      <c r="K29" s="416">
        <f t="shared" si="2"/>
      </c>
      <c r="L29" s="234"/>
      <c r="M29" s="235">
        <f t="shared" si="3"/>
      </c>
      <c r="N29" s="155">
        <f t="shared" si="4"/>
      </c>
      <c r="O29" s="486">
        <f t="shared" si="5"/>
        <v>20</v>
      </c>
      <c r="P29" s="487" t="str">
        <f t="shared" si="6"/>
        <v>--</v>
      </c>
      <c r="Q29" s="488" t="str">
        <f t="shared" si="7"/>
        <v>--</v>
      </c>
      <c r="R29" s="489" t="str">
        <f t="shared" si="8"/>
        <v>--</v>
      </c>
      <c r="S29" s="490" t="str">
        <f t="shared" si="9"/>
        <v>--</v>
      </c>
      <c r="T29" s="310" t="str">
        <f t="shared" si="12"/>
        <v>--</v>
      </c>
      <c r="U29" s="155">
        <f t="shared" si="10"/>
      </c>
      <c r="V29" s="421">
        <f t="shared" si="11"/>
      </c>
      <c r="W29" s="491"/>
    </row>
    <row r="30" spans="2:23" s="5" customFormat="1" ht="16.5" customHeight="1">
      <c r="B30" s="50"/>
      <c r="C30" s="289"/>
      <c r="D30" s="484"/>
      <c r="E30" s="412"/>
      <c r="F30" s="485"/>
      <c r="G30" s="306">
        <f t="shared" si="0"/>
        <v>0</v>
      </c>
      <c r="H30" s="414"/>
      <c r="I30" s="192"/>
      <c r="J30" s="415">
        <f t="shared" si="1"/>
      </c>
      <c r="K30" s="416">
        <f t="shared" si="2"/>
      </c>
      <c r="L30" s="234"/>
      <c r="M30" s="235">
        <f t="shared" si="3"/>
      </c>
      <c r="N30" s="155">
        <f t="shared" si="4"/>
      </c>
      <c r="O30" s="486">
        <f t="shared" si="5"/>
        <v>20</v>
      </c>
      <c r="P30" s="487" t="str">
        <f t="shared" si="6"/>
        <v>--</v>
      </c>
      <c r="Q30" s="488" t="str">
        <f t="shared" si="7"/>
        <v>--</v>
      </c>
      <c r="R30" s="489" t="str">
        <f t="shared" si="8"/>
        <v>--</v>
      </c>
      <c r="S30" s="490" t="str">
        <f t="shared" si="9"/>
        <v>--</v>
      </c>
      <c r="T30" s="310" t="str">
        <f t="shared" si="12"/>
        <v>--</v>
      </c>
      <c r="U30" s="155">
        <f t="shared" si="10"/>
      </c>
      <c r="V30" s="421">
        <f t="shared" si="11"/>
      </c>
      <c r="W30" s="491"/>
    </row>
    <row r="31" spans="2:23" s="5" customFormat="1" ht="16.5" customHeight="1">
      <c r="B31" s="50"/>
      <c r="C31" s="157"/>
      <c r="D31" s="484"/>
      <c r="E31" s="412"/>
      <c r="F31" s="485"/>
      <c r="G31" s="306">
        <f t="shared" si="0"/>
        <v>0</v>
      </c>
      <c r="H31" s="414"/>
      <c r="I31" s="192"/>
      <c r="J31" s="415">
        <f t="shared" si="1"/>
      </c>
      <c r="K31" s="416">
        <f t="shared" si="2"/>
      </c>
      <c r="L31" s="234"/>
      <c r="M31" s="235">
        <f t="shared" si="3"/>
      </c>
      <c r="N31" s="155">
        <f t="shared" si="4"/>
      </c>
      <c r="O31" s="486">
        <f t="shared" si="5"/>
        <v>20</v>
      </c>
      <c r="P31" s="487" t="str">
        <f t="shared" si="6"/>
        <v>--</v>
      </c>
      <c r="Q31" s="488" t="str">
        <f t="shared" si="7"/>
        <v>--</v>
      </c>
      <c r="R31" s="489" t="str">
        <f t="shared" si="8"/>
        <v>--</v>
      </c>
      <c r="S31" s="490" t="str">
        <f t="shared" si="9"/>
        <v>--</v>
      </c>
      <c r="T31" s="310" t="str">
        <f t="shared" si="12"/>
        <v>--</v>
      </c>
      <c r="U31" s="155">
        <f t="shared" si="10"/>
      </c>
      <c r="V31" s="421">
        <f t="shared" si="11"/>
      </c>
      <c r="W31" s="491"/>
    </row>
    <row r="32" spans="2:23" s="5" customFormat="1" ht="16.5" customHeight="1">
      <c r="B32" s="50"/>
      <c r="C32" s="289"/>
      <c r="D32" s="484"/>
      <c r="E32" s="412"/>
      <c r="F32" s="485"/>
      <c r="G32" s="306">
        <f t="shared" si="0"/>
        <v>0</v>
      </c>
      <c r="H32" s="414"/>
      <c r="I32" s="192"/>
      <c r="J32" s="415">
        <f t="shared" si="1"/>
      </c>
      <c r="K32" s="416">
        <f t="shared" si="2"/>
      </c>
      <c r="L32" s="234"/>
      <c r="M32" s="235">
        <f t="shared" si="3"/>
      </c>
      <c r="N32" s="155">
        <f t="shared" si="4"/>
      </c>
      <c r="O32" s="486">
        <f t="shared" si="5"/>
        <v>20</v>
      </c>
      <c r="P32" s="487" t="str">
        <f t="shared" si="6"/>
        <v>--</v>
      </c>
      <c r="Q32" s="488" t="str">
        <f t="shared" si="7"/>
        <v>--</v>
      </c>
      <c r="R32" s="489" t="str">
        <f t="shared" si="8"/>
        <v>--</v>
      </c>
      <c r="S32" s="490" t="str">
        <f t="shared" si="9"/>
        <v>--</v>
      </c>
      <c r="T32" s="310" t="str">
        <f t="shared" si="12"/>
        <v>--</v>
      </c>
      <c r="U32" s="155">
        <f t="shared" si="10"/>
      </c>
      <c r="V32" s="421">
        <f t="shared" si="11"/>
      </c>
      <c r="W32" s="6"/>
    </row>
    <row r="33" spans="2:23" s="5" customFormat="1" ht="16.5" customHeight="1">
      <c r="B33" s="50"/>
      <c r="C33" s="157"/>
      <c r="D33" s="484"/>
      <c r="E33" s="412"/>
      <c r="F33" s="485"/>
      <c r="G33" s="306">
        <f t="shared" si="0"/>
        <v>0</v>
      </c>
      <c r="H33" s="414"/>
      <c r="I33" s="192"/>
      <c r="J33" s="415">
        <f t="shared" si="1"/>
      </c>
      <c r="K33" s="416">
        <f t="shared" si="2"/>
      </c>
      <c r="L33" s="234"/>
      <c r="M33" s="235">
        <f t="shared" si="3"/>
      </c>
      <c r="N33" s="155">
        <f t="shared" si="4"/>
      </c>
      <c r="O33" s="486">
        <f t="shared" si="5"/>
        <v>20</v>
      </c>
      <c r="P33" s="487" t="str">
        <f t="shared" si="6"/>
        <v>--</v>
      </c>
      <c r="Q33" s="488" t="str">
        <f t="shared" si="7"/>
        <v>--</v>
      </c>
      <c r="R33" s="489" t="str">
        <f t="shared" si="8"/>
        <v>--</v>
      </c>
      <c r="S33" s="490" t="str">
        <f t="shared" si="9"/>
        <v>--</v>
      </c>
      <c r="T33" s="310" t="str">
        <f t="shared" si="12"/>
        <v>--</v>
      </c>
      <c r="U33" s="155">
        <f t="shared" si="10"/>
      </c>
      <c r="V33" s="421">
        <f t="shared" si="11"/>
      </c>
      <c r="W33" s="6"/>
    </row>
    <row r="34" spans="2:23" s="5" customFormat="1" ht="16.5" customHeight="1">
      <c r="B34" s="50"/>
      <c r="C34" s="289"/>
      <c r="D34" s="484"/>
      <c r="E34" s="412"/>
      <c r="F34" s="485"/>
      <c r="G34" s="306">
        <f t="shared" si="0"/>
        <v>0</v>
      </c>
      <c r="H34" s="414"/>
      <c r="I34" s="192"/>
      <c r="J34" s="415">
        <f t="shared" si="1"/>
      </c>
      <c r="K34" s="416">
        <f t="shared" si="2"/>
      </c>
      <c r="L34" s="234"/>
      <c r="M34" s="235">
        <f t="shared" si="3"/>
      </c>
      <c r="N34" s="155">
        <f t="shared" si="4"/>
      </c>
      <c r="O34" s="486">
        <f t="shared" si="5"/>
        <v>20</v>
      </c>
      <c r="P34" s="487" t="str">
        <f t="shared" si="6"/>
        <v>--</v>
      </c>
      <c r="Q34" s="488" t="str">
        <f t="shared" si="7"/>
        <v>--</v>
      </c>
      <c r="R34" s="489" t="str">
        <f t="shared" si="8"/>
        <v>--</v>
      </c>
      <c r="S34" s="490" t="str">
        <f t="shared" si="9"/>
        <v>--</v>
      </c>
      <c r="T34" s="310" t="str">
        <f t="shared" si="12"/>
        <v>--</v>
      </c>
      <c r="U34" s="155">
        <f t="shared" si="10"/>
      </c>
      <c r="V34" s="421">
        <f t="shared" si="11"/>
      </c>
      <c r="W34" s="6"/>
    </row>
    <row r="35" spans="2:23" s="5" customFormat="1" ht="16.5" customHeight="1">
      <c r="B35" s="50"/>
      <c r="C35" s="157"/>
      <c r="D35" s="484"/>
      <c r="E35" s="412"/>
      <c r="F35" s="485"/>
      <c r="G35" s="306">
        <f t="shared" si="0"/>
        <v>0</v>
      </c>
      <c r="H35" s="414"/>
      <c r="I35" s="192"/>
      <c r="J35" s="415">
        <f t="shared" si="1"/>
      </c>
      <c r="K35" s="416">
        <f t="shared" si="2"/>
      </c>
      <c r="L35" s="234"/>
      <c r="M35" s="235">
        <f t="shared" si="3"/>
      </c>
      <c r="N35" s="155">
        <f t="shared" si="4"/>
      </c>
      <c r="O35" s="486">
        <f t="shared" si="5"/>
        <v>20</v>
      </c>
      <c r="P35" s="487" t="str">
        <f t="shared" si="6"/>
        <v>--</v>
      </c>
      <c r="Q35" s="488" t="str">
        <f t="shared" si="7"/>
        <v>--</v>
      </c>
      <c r="R35" s="489" t="str">
        <f t="shared" si="8"/>
        <v>--</v>
      </c>
      <c r="S35" s="490" t="str">
        <f t="shared" si="9"/>
        <v>--</v>
      </c>
      <c r="T35" s="310" t="str">
        <f t="shared" si="12"/>
        <v>--</v>
      </c>
      <c r="U35" s="155">
        <f t="shared" si="10"/>
      </c>
      <c r="V35" s="421">
        <f t="shared" si="11"/>
      </c>
      <c r="W35" s="6"/>
    </row>
    <row r="36" spans="2:23" s="5" customFormat="1" ht="16.5" customHeight="1">
      <c r="B36" s="50"/>
      <c r="C36" s="289"/>
      <c r="D36" s="484"/>
      <c r="E36" s="412"/>
      <c r="F36" s="485"/>
      <c r="G36" s="306">
        <f t="shared" si="0"/>
        <v>0</v>
      </c>
      <c r="H36" s="414"/>
      <c r="I36" s="192"/>
      <c r="J36" s="415">
        <f t="shared" si="1"/>
      </c>
      <c r="K36" s="416">
        <f t="shared" si="2"/>
      </c>
      <c r="L36" s="234"/>
      <c r="M36" s="235">
        <f t="shared" si="3"/>
      </c>
      <c r="N36" s="155">
        <f t="shared" si="4"/>
      </c>
      <c r="O36" s="486">
        <f t="shared" si="5"/>
        <v>20</v>
      </c>
      <c r="P36" s="487" t="str">
        <f t="shared" si="6"/>
        <v>--</v>
      </c>
      <c r="Q36" s="488" t="str">
        <f t="shared" si="7"/>
        <v>--</v>
      </c>
      <c r="R36" s="489" t="str">
        <f t="shared" si="8"/>
        <v>--</v>
      </c>
      <c r="S36" s="490" t="str">
        <f t="shared" si="9"/>
        <v>--</v>
      </c>
      <c r="T36" s="310" t="str">
        <f t="shared" si="12"/>
        <v>--</v>
      </c>
      <c r="U36" s="155">
        <f t="shared" si="10"/>
      </c>
      <c r="V36" s="421">
        <f t="shared" si="11"/>
      </c>
      <c r="W36" s="6"/>
    </row>
    <row r="37" spans="2:23" s="5" customFormat="1" ht="16.5" customHeight="1">
      <c r="B37" s="50"/>
      <c r="C37" s="157"/>
      <c r="D37" s="484"/>
      <c r="E37" s="412"/>
      <c r="F37" s="485"/>
      <c r="G37" s="306">
        <f t="shared" si="0"/>
        <v>0</v>
      </c>
      <c r="H37" s="414"/>
      <c r="I37" s="192"/>
      <c r="J37" s="415">
        <f t="shared" si="1"/>
      </c>
      <c r="K37" s="416">
        <f t="shared" si="2"/>
      </c>
      <c r="L37" s="234"/>
      <c r="M37" s="235">
        <f t="shared" si="3"/>
      </c>
      <c r="N37" s="155">
        <f t="shared" si="4"/>
      </c>
      <c r="O37" s="486">
        <f t="shared" si="5"/>
        <v>20</v>
      </c>
      <c r="P37" s="487" t="str">
        <f t="shared" si="6"/>
        <v>--</v>
      </c>
      <c r="Q37" s="488" t="str">
        <f t="shared" si="7"/>
        <v>--</v>
      </c>
      <c r="R37" s="489" t="str">
        <f t="shared" si="8"/>
        <v>--</v>
      </c>
      <c r="S37" s="490" t="str">
        <f t="shared" si="9"/>
        <v>--</v>
      </c>
      <c r="T37" s="310" t="str">
        <f t="shared" si="12"/>
        <v>--</v>
      </c>
      <c r="U37" s="155">
        <f t="shared" si="10"/>
      </c>
      <c r="V37" s="421">
        <f t="shared" si="11"/>
      </c>
      <c r="W37" s="6"/>
    </row>
    <row r="38" spans="2:23" s="5" customFormat="1" ht="16.5" customHeight="1">
      <c r="B38" s="50"/>
      <c r="C38" s="289"/>
      <c r="D38" s="484"/>
      <c r="E38" s="412"/>
      <c r="F38" s="485"/>
      <c r="G38" s="306">
        <f t="shared" si="0"/>
        <v>0</v>
      </c>
      <c r="H38" s="414"/>
      <c r="I38" s="192"/>
      <c r="J38" s="415">
        <f t="shared" si="1"/>
      </c>
      <c r="K38" s="416">
        <f t="shared" si="2"/>
      </c>
      <c r="L38" s="234"/>
      <c r="M38" s="235">
        <f t="shared" si="3"/>
      </c>
      <c r="N38" s="155">
        <f t="shared" si="4"/>
      </c>
      <c r="O38" s="486">
        <f t="shared" si="5"/>
        <v>20</v>
      </c>
      <c r="P38" s="487" t="str">
        <f t="shared" si="6"/>
        <v>--</v>
      </c>
      <c r="Q38" s="488" t="str">
        <f t="shared" si="7"/>
        <v>--</v>
      </c>
      <c r="R38" s="489" t="str">
        <f t="shared" si="8"/>
        <v>--</v>
      </c>
      <c r="S38" s="490" t="str">
        <f t="shared" si="9"/>
        <v>--</v>
      </c>
      <c r="T38" s="310" t="str">
        <f t="shared" si="12"/>
        <v>--</v>
      </c>
      <c r="U38" s="155">
        <f t="shared" si="10"/>
      </c>
      <c r="V38" s="421">
        <f t="shared" si="11"/>
      </c>
      <c r="W38" s="6"/>
    </row>
    <row r="39" spans="2:23" s="5" customFormat="1" ht="16.5" customHeight="1">
      <c r="B39" s="50"/>
      <c r="C39" s="157"/>
      <c r="D39" s="484"/>
      <c r="E39" s="412"/>
      <c r="F39" s="485"/>
      <c r="G39" s="306">
        <f t="shared" si="0"/>
        <v>0</v>
      </c>
      <c r="H39" s="414"/>
      <c r="I39" s="192"/>
      <c r="J39" s="415">
        <f t="shared" si="1"/>
      </c>
      <c r="K39" s="416">
        <f t="shared" si="2"/>
      </c>
      <c r="L39" s="234"/>
      <c r="M39" s="235">
        <f t="shared" si="3"/>
      </c>
      <c r="N39" s="155">
        <f t="shared" si="4"/>
      </c>
      <c r="O39" s="486">
        <f t="shared" si="5"/>
        <v>20</v>
      </c>
      <c r="P39" s="487" t="str">
        <f t="shared" si="6"/>
        <v>--</v>
      </c>
      <c r="Q39" s="488" t="str">
        <f t="shared" si="7"/>
        <v>--</v>
      </c>
      <c r="R39" s="489" t="str">
        <f t="shared" si="8"/>
        <v>--</v>
      </c>
      <c r="S39" s="490" t="str">
        <f t="shared" si="9"/>
        <v>--</v>
      </c>
      <c r="T39" s="310" t="str">
        <f t="shared" si="12"/>
        <v>--</v>
      </c>
      <c r="U39" s="155">
        <f t="shared" si="10"/>
      </c>
      <c r="V39" s="421">
        <f t="shared" si="11"/>
      </c>
      <c r="W39" s="6"/>
    </row>
    <row r="40" spans="2:23" s="5" customFormat="1" ht="16.5" customHeight="1">
      <c r="B40" s="50"/>
      <c r="C40" s="289"/>
      <c r="D40" s="484"/>
      <c r="E40" s="412"/>
      <c r="F40" s="485"/>
      <c r="G40" s="306">
        <f t="shared" si="0"/>
        <v>0</v>
      </c>
      <c r="H40" s="414"/>
      <c r="I40" s="192"/>
      <c r="J40" s="415">
        <f t="shared" si="1"/>
      </c>
      <c r="K40" s="416">
        <f t="shared" si="2"/>
      </c>
      <c r="L40" s="234"/>
      <c r="M40" s="235">
        <f t="shared" si="3"/>
      </c>
      <c r="N40" s="155">
        <f t="shared" si="4"/>
      </c>
      <c r="O40" s="486">
        <f t="shared" si="5"/>
        <v>20</v>
      </c>
      <c r="P40" s="487" t="str">
        <f t="shared" si="6"/>
        <v>--</v>
      </c>
      <c r="Q40" s="488" t="str">
        <f t="shared" si="7"/>
        <v>--</v>
      </c>
      <c r="R40" s="489" t="str">
        <f t="shared" si="8"/>
        <v>--</v>
      </c>
      <c r="S40" s="490" t="str">
        <f t="shared" si="9"/>
        <v>--</v>
      </c>
      <c r="T40" s="310" t="str">
        <f t="shared" si="12"/>
        <v>--</v>
      </c>
      <c r="U40" s="155">
        <f t="shared" si="10"/>
      </c>
      <c r="V40" s="421">
        <f t="shared" si="11"/>
      </c>
      <c r="W40" s="6"/>
    </row>
    <row r="41" spans="2:23" s="5" customFormat="1" ht="16.5" customHeight="1">
      <c r="B41" s="50"/>
      <c r="C41" s="157"/>
      <c r="D41" s="484"/>
      <c r="E41" s="412"/>
      <c r="F41" s="485"/>
      <c r="G41" s="306">
        <f t="shared" si="0"/>
        <v>0</v>
      </c>
      <c r="H41" s="414"/>
      <c r="I41" s="192"/>
      <c r="J41" s="415">
        <f t="shared" si="1"/>
      </c>
      <c r="K41" s="416">
        <f t="shared" si="2"/>
      </c>
      <c r="L41" s="234"/>
      <c r="M41" s="235">
        <f t="shared" si="3"/>
      </c>
      <c r="N41" s="155">
        <f t="shared" si="4"/>
      </c>
      <c r="O41" s="486">
        <f t="shared" si="5"/>
        <v>20</v>
      </c>
      <c r="P41" s="487" t="str">
        <f t="shared" si="6"/>
        <v>--</v>
      </c>
      <c r="Q41" s="488" t="str">
        <f t="shared" si="7"/>
        <v>--</v>
      </c>
      <c r="R41" s="489" t="str">
        <f t="shared" si="8"/>
        <v>--</v>
      </c>
      <c r="S41" s="490" t="str">
        <f t="shared" si="9"/>
        <v>--</v>
      </c>
      <c r="T41" s="310" t="str">
        <f t="shared" si="12"/>
        <v>--</v>
      </c>
      <c r="U41" s="155">
        <f t="shared" si="10"/>
      </c>
      <c r="V41" s="421">
        <f t="shared" si="11"/>
      </c>
      <c r="W41" s="6"/>
    </row>
    <row r="42" spans="2:23" s="5" customFormat="1" ht="16.5" customHeight="1" thickBot="1">
      <c r="B42" s="50"/>
      <c r="C42" s="157"/>
      <c r="D42" s="492"/>
      <c r="E42" s="149"/>
      <c r="F42" s="493"/>
      <c r="G42" s="132"/>
      <c r="H42" s="422"/>
      <c r="I42" s="422"/>
      <c r="J42" s="423"/>
      <c r="K42" s="423"/>
      <c r="L42" s="422"/>
      <c r="M42" s="197"/>
      <c r="N42" s="154"/>
      <c r="O42" s="494"/>
      <c r="P42" s="495"/>
      <c r="Q42" s="496"/>
      <c r="R42" s="497"/>
      <c r="S42" s="498"/>
      <c r="T42" s="498"/>
      <c r="U42" s="154"/>
      <c r="V42" s="499"/>
      <c r="W42" s="6"/>
    </row>
    <row r="43" spans="2:23" s="5" customFormat="1" ht="16.5" customHeight="1" thickBot="1" thickTop="1">
      <c r="B43" s="50"/>
      <c r="C43" s="128" t="s">
        <v>25</v>
      </c>
      <c r="D43" s="129" t="s">
        <v>366</v>
      </c>
      <c r="G43" s="4"/>
      <c r="H43" s="4"/>
      <c r="I43" s="4"/>
      <c r="J43" s="4"/>
      <c r="K43" s="4"/>
      <c r="L43" s="4"/>
      <c r="M43" s="4"/>
      <c r="N43" s="4"/>
      <c r="O43" s="4"/>
      <c r="P43" s="500">
        <f>SUM(P20:P42)</f>
        <v>944.034</v>
      </c>
      <c r="Q43" s="501">
        <f>SUM(Q20:Q42)</f>
        <v>0</v>
      </c>
      <c r="R43" s="502">
        <f>SUM(R20:R42)</f>
        <v>0</v>
      </c>
      <c r="S43" s="503">
        <f>SUM(S20:S42)</f>
        <v>0</v>
      </c>
      <c r="T43" s="503">
        <f>SUM(T20:T42)</f>
        <v>0</v>
      </c>
      <c r="V43" s="101">
        <f>ROUND(SUM(V20:V42),2)</f>
        <v>0</v>
      </c>
      <c r="W43" s="504"/>
    </row>
    <row r="44" spans="2:23" s="5" customFormat="1" ht="16.5" customHeight="1" thickBot="1" thickTop="1">
      <c r="B44" s="74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6"/>
    </row>
    <row r="45" spans="4:25" ht="16.5" customHeight="1" thickTop="1">
      <c r="D45" s="181"/>
      <c r="E45" s="181"/>
      <c r="F45" s="181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</row>
    <row r="46" spans="4:25" ht="16.5" customHeight="1">
      <c r="D46" s="181"/>
      <c r="E46" s="181"/>
      <c r="F46" s="181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</row>
    <row r="47" spans="4:25" ht="16.5" customHeight="1">
      <c r="D47" s="181"/>
      <c r="E47" s="181"/>
      <c r="F47" s="181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</row>
    <row r="48" spans="4:25" ht="16.5" customHeight="1">
      <c r="D48" s="181"/>
      <c r="E48" s="181"/>
      <c r="F48" s="181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</row>
    <row r="49" spans="4:25" ht="16.5" customHeight="1">
      <c r="D49" s="181"/>
      <c r="E49" s="181"/>
      <c r="F49" s="181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</row>
    <row r="50" spans="4:25" ht="16.5" customHeight="1">
      <c r="D50" s="181"/>
      <c r="E50" s="181"/>
      <c r="F50" s="181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</row>
    <row r="51" spans="4:25" ht="16.5" customHeight="1"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</row>
    <row r="52" spans="4:25" ht="16.5" customHeight="1"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</row>
    <row r="53" spans="4:25" ht="16.5" customHeight="1"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</row>
    <row r="54" spans="4:25" ht="16.5" customHeight="1"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</row>
    <row r="55" spans="4:25" ht="16.5" customHeight="1"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</row>
    <row r="56" spans="4:25" ht="16.5" customHeight="1"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</row>
    <row r="57" spans="4:25" ht="16.5" customHeight="1"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</row>
    <row r="58" spans="4:25" ht="16.5" customHeight="1"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</row>
    <row r="59" spans="4:25" ht="16.5" customHeight="1"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</row>
    <row r="60" spans="4:25" ht="16.5" customHeight="1"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</row>
    <row r="61" spans="4:25" ht="16.5" customHeight="1"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</row>
    <row r="62" spans="4:25" ht="16.5" customHeight="1"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</row>
    <row r="63" spans="4:25" ht="16.5" customHeight="1"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</row>
    <row r="64" spans="4:25" ht="16.5" customHeight="1"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</row>
    <row r="65" spans="4:25" ht="16.5" customHeight="1"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</row>
    <row r="66" spans="4:25" ht="16.5" customHeight="1"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</row>
    <row r="67" spans="4:25" ht="16.5" customHeight="1"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</row>
    <row r="68" spans="4:25" ht="16.5" customHeight="1"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</row>
    <row r="69" spans="4:25" ht="16.5" customHeight="1"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</row>
    <row r="70" spans="4:25" ht="16.5" customHeight="1"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</row>
    <row r="71" spans="4:25" ht="16.5" customHeight="1"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</row>
    <row r="72" spans="4:25" ht="16.5" customHeight="1"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</row>
    <row r="73" spans="4:25" ht="16.5" customHeight="1"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</row>
    <row r="74" spans="4:25" ht="16.5" customHeight="1"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</row>
    <row r="75" spans="4:25" ht="16.5" customHeight="1"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</row>
    <row r="76" spans="4:25" ht="16.5" customHeight="1"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</row>
    <row r="77" spans="4:25" ht="16.5" customHeight="1"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</row>
    <row r="78" spans="4:25" ht="16.5" customHeight="1"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</row>
    <row r="79" spans="4:25" ht="16.5" customHeight="1"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</row>
    <row r="80" spans="4:25" ht="16.5" customHeight="1"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</row>
    <row r="81" spans="4:25" ht="16.5" customHeight="1"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</row>
    <row r="82" spans="4:25" ht="16.5" customHeight="1"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</row>
    <row r="83" spans="4:25" ht="16.5" customHeight="1"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79"/>
    </row>
    <row r="84" spans="4:25" ht="16.5" customHeight="1"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  <c r="T84" s="179"/>
      <c r="U84" s="179"/>
      <c r="V84" s="179"/>
      <c r="W84" s="179"/>
      <c r="X84" s="179"/>
      <c r="Y84" s="179"/>
    </row>
    <row r="85" spans="4:25" ht="16.5" customHeight="1"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</row>
    <row r="86" spans="4:25" ht="16.5" customHeight="1"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  <c r="W86" s="179"/>
      <c r="X86" s="179"/>
      <c r="Y86" s="179"/>
    </row>
    <row r="87" spans="4:25" ht="16.5" customHeight="1"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</row>
    <row r="88" spans="4:25" ht="16.5" customHeight="1"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79"/>
      <c r="X88" s="179"/>
      <c r="Y88" s="179"/>
    </row>
    <row r="89" spans="4:25" ht="16.5" customHeight="1"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</row>
    <row r="90" spans="4:25" ht="16.5" customHeight="1"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  <c r="X90" s="179"/>
      <c r="Y90" s="179"/>
    </row>
    <row r="91" spans="4:25" ht="16.5" customHeight="1"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79"/>
    </row>
    <row r="92" spans="4:25" ht="16.5" customHeight="1"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</row>
    <row r="93" spans="4:25" ht="16.5" customHeight="1"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  <c r="X93" s="179"/>
      <c r="Y93" s="179"/>
    </row>
    <row r="94" spans="4:25" ht="16.5" customHeight="1"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9"/>
    </row>
    <row r="95" spans="4:25" ht="16.5" customHeight="1"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  <c r="X95" s="179"/>
      <c r="Y95" s="179"/>
    </row>
    <row r="96" spans="4:25" ht="16.5" customHeight="1"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</row>
    <row r="97" spans="4:25" ht="16.5" customHeight="1"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</row>
    <row r="98" spans="4:25" ht="16.5" customHeight="1"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  <c r="S98" s="179"/>
      <c r="T98" s="179"/>
      <c r="U98" s="179"/>
      <c r="V98" s="179"/>
      <c r="W98" s="179"/>
      <c r="X98" s="179"/>
      <c r="Y98" s="179"/>
    </row>
    <row r="99" spans="4:25" ht="16.5" customHeight="1"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  <c r="S99" s="179"/>
      <c r="T99" s="179"/>
      <c r="U99" s="179"/>
      <c r="V99" s="179"/>
      <c r="W99" s="179"/>
      <c r="X99" s="179"/>
      <c r="Y99" s="179"/>
    </row>
    <row r="100" spans="4:25" ht="16.5" customHeight="1"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179"/>
      <c r="U100" s="179"/>
      <c r="V100" s="179"/>
      <c r="W100" s="179"/>
      <c r="X100" s="179"/>
      <c r="Y100" s="179"/>
    </row>
    <row r="101" spans="4:25" ht="16.5" customHeight="1"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  <c r="S101" s="179"/>
      <c r="T101" s="179"/>
      <c r="U101" s="179"/>
      <c r="V101" s="179"/>
      <c r="W101" s="179"/>
      <c r="X101" s="179"/>
      <c r="Y101" s="179"/>
    </row>
    <row r="102" spans="4:25" ht="16.5" customHeight="1"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179"/>
      <c r="Y102" s="179"/>
    </row>
    <row r="103" spans="4:25" ht="16.5" customHeight="1"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  <c r="S103" s="179"/>
      <c r="T103" s="179"/>
      <c r="U103" s="179"/>
      <c r="V103" s="179"/>
      <c r="W103" s="179"/>
      <c r="X103" s="179"/>
      <c r="Y103" s="179"/>
    </row>
    <row r="104" spans="4:25" ht="16.5" customHeight="1"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179"/>
      <c r="U104" s="179"/>
      <c r="V104" s="179"/>
      <c r="W104" s="179"/>
      <c r="X104" s="179"/>
      <c r="Y104" s="179"/>
    </row>
    <row r="105" spans="4:25" ht="16.5" customHeight="1"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  <c r="S105" s="179"/>
      <c r="T105" s="179"/>
      <c r="U105" s="179"/>
      <c r="V105" s="179"/>
      <c r="W105" s="179"/>
      <c r="X105" s="179"/>
      <c r="Y105" s="179"/>
    </row>
    <row r="106" spans="4:25" ht="16.5" customHeight="1"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T106" s="179"/>
      <c r="U106" s="179"/>
      <c r="V106" s="179"/>
      <c r="W106" s="179"/>
      <c r="X106" s="179"/>
      <c r="Y106" s="179"/>
    </row>
    <row r="107" spans="4:25" ht="16.5" customHeight="1"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  <c r="S107" s="179"/>
      <c r="T107" s="179"/>
      <c r="U107" s="179"/>
      <c r="V107" s="179"/>
      <c r="W107" s="179"/>
      <c r="X107" s="179"/>
      <c r="Y107" s="179"/>
    </row>
    <row r="108" spans="4:25" ht="16.5" customHeight="1"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  <c r="S108" s="179"/>
      <c r="T108" s="179"/>
      <c r="U108" s="179"/>
      <c r="V108" s="179"/>
      <c r="W108" s="179"/>
      <c r="X108" s="179"/>
      <c r="Y108" s="179"/>
    </row>
    <row r="109" spans="4:25" ht="16.5" customHeight="1"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  <c r="S109" s="179"/>
      <c r="T109" s="179"/>
      <c r="U109" s="179"/>
      <c r="V109" s="179"/>
      <c r="W109" s="179"/>
      <c r="X109" s="179"/>
      <c r="Y109" s="179"/>
    </row>
    <row r="110" spans="4:25" ht="16.5" customHeight="1"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  <c r="S110" s="179"/>
      <c r="T110" s="179"/>
      <c r="U110" s="179"/>
      <c r="V110" s="179"/>
      <c r="W110" s="179"/>
      <c r="X110" s="179"/>
      <c r="Y110" s="179"/>
    </row>
    <row r="111" spans="4:25" ht="16.5" customHeight="1"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  <c r="S111" s="179"/>
      <c r="T111" s="179"/>
      <c r="U111" s="179"/>
      <c r="V111" s="179"/>
      <c r="W111" s="179"/>
      <c r="X111" s="179"/>
      <c r="Y111" s="179"/>
    </row>
    <row r="112" spans="4:25" ht="16.5" customHeight="1"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  <c r="S112" s="179"/>
      <c r="T112" s="179"/>
      <c r="U112" s="179"/>
      <c r="V112" s="179"/>
      <c r="W112" s="179"/>
      <c r="X112" s="179"/>
      <c r="Y112" s="179"/>
    </row>
    <row r="113" spans="4:25" ht="16.5" customHeight="1"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  <c r="S113" s="179"/>
      <c r="T113" s="179"/>
      <c r="U113" s="179"/>
      <c r="V113" s="179"/>
      <c r="W113" s="179"/>
      <c r="X113" s="179"/>
      <c r="Y113" s="179"/>
    </row>
    <row r="114" spans="4:25" ht="16.5" customHeight="1"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  <c r="S114" s="179"/>
      <c r="T114" s="179"/>
      <c r="U114" s="179"/>
      <c r="V114" s="179"/>
      <c r="W114" s="179"/>
      <c r="X114" s="179"/>
      <c r="Y114" s="179"/>
    </row>
    <row r="115" spans="4:25" ht="16.5" customHeight="1"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  <c r="S115" s="179"/>
      <c r="T115" s="179"/>
      <c r="U115" s="179"/>
      <c r="V115" s="179"/>
      <c r="W115" s="179"/>
      <c r="X115" s="179"/>
      <c r="Y115" s="179"/>
    </row>
    <row r="116" spans="4:25" ht="16.5" customHeight="1"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  <c r="S116" s="179"/>
      <c r="T116" s="179"/>
      <c r="U116" s="179"/>
      <c r="V116" s="179"/>
      <c r="W116" s="179"/>
      <c r="X116" s="179"/>
      <c r="Y116" s="179"/>
    </row>
    <row r="117" spans="4:25" ht="16.5" customHeight="1"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  <c r="S117" s="179"/>
      <c r="T117" s="179"/>
      <c r="U117" s="179"/>
      <c r="V117" s="179"/>
      <c r="W117" s="179"/>
      <c r="X117" s="179"/>
      <c r="Y117" s="179"/>
    </row>
    <row r="118" spans="4:25" ht="16.5" customHeight="1"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  <c r="S118" s="179"/>
      <c r="T118" s="179"/>
      <c r="U118" s="179"/>
      <c r="V118" s="179"/>
      <c r="W118" s="179"/>
      <c r="X118" s="179"/>
      <c r="Y118" s="179"/>
    </row>
    <row r="119" spans="4:25" ht="16.5" customHeight="1"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  <c r="S119" s="179"/>
      <c r="T119" s="179"/>
      <c r="U119" s="179"/>
      <c r="V119" s="179"/>
      <c r="W119" s="179"/>
      <c r="X119" s="179"/>
      <c r="Y119" s="179"/>
    </row>
    <row r="120" spans="4:25" ht="16.5" customHeight="1"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  <c r="S120" s="179"/>
      <c r="T120" s="179"/>
      <c r="U120" s="179"/>
      <c r="V120" s="179"/>
      <c r="W120" s="179"/>
      <c r="X120" s="179"/>
      <c r="Y120" s="179"/>
    </row>
    <row r="121" spans="4:25" ht="16.5" customHeight="1"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  <c r="S121" s="179"/>
      <c r="T121" s="179"/>
      <c r="U121" s="179"/>
      <c r="V121" s="179"/>
      <c r="W121" s="179"/>
      <c r="X121" s="179"/>
      <c r="Y121" s="179"/>
    </row>
    <row r="122" spans="4:25" ht="16.5" customHeight="1"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  <c r="S122" s="179"/>
      <c r="T122" s="179"/>
      <c r="U122" s="179"/>
      <c r="V122" s="179"/>
      <c r="W122" s="179"/>
      <c r="X122" s="179"/>
      <c r="Y122" s="179"/>
    </row>
    <row r="123" spans="4:25" ht="16.5" customHeight="1"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  <c r="S123" s="179"/>
      <c r="T123" s="179"/>
      <c r="U123" s="179"/>
      <c r="V123" s="179"/>
      <c r="W123" s="179"/>
      <c r="X123" s="179"/>
      <c r="Y123" s="179"/>
    </row>
    <row r="124" spans="4:25" ht="16.5" customHeight="1"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  <c r="S124" s="179"/>
      <c r="T124" s="179"/>
      <c r="U124" s="179"/>
      <c r="V124" s="179"/>
      <c r="W124" s="179"/>
      <c r="X124" s="179"/>
      <c r="Y124" s="179"/>
    </row>
    <row r="125" spans="4:25" ht="16.5" customHeight="1"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  <c r="S125" s="179"/>
      <c r="T125" s="179"/>
      <c r="U125" s="179"/>
      <c r="V125" s="179"/>
      <c r="W125" s="179"/>
      <c r="X125" s="179"/>
      <c r="Y125" s="179"/>
    </row>
    <row r="126" spans="4:25" ht="16.5" customHeight="1"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  <c r="S126" s="179"/>
      <c r="T126" s="179"/>
      <c r="U126" s="179"/>
      <c r="V126" s="179"/>
      <c r="W126" s="179"/>
      <c r="X126" s="179"/>
      <c r="Y126" s="179"/>
    </row>
    <row r="127" spans="4:25" ht="16.5" customHeight="1"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  <c r="S127" s="179"/>
      <c r="T127" s="179"/>
      <c r="U127" s="179"/>
      <c r="V127" s="179"/>
      <c r="W127" s="179"/>
      <c r="X127" s="179"/>
      <c r="Y127" s="179"/>
    </row>
    <row r="128" spans="4:25" ht="16.5" customHeight="1"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  <c r="S128" s="179"/>
      <c r="T128" s="179"/>
      <c r="U128" s="179"/>
      <c r="V128" s="179"/>
      <c r="W128" s="179"/>
      <c r="X128" s="179"/>
      <c r="Y128" s="179"/>
    </row>
    <row r="129" spans="4:25" ht="16.5" customHeight="1"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  <c r="S129" s="179"/>
      <c r="T129" s="179"/>
      <c r="U129" s="179"/>
      <c r="V129" s="179"/>
      <c r="W129" s="179"/>
      <c r="X129" s="179"/>
      <c r="Y129" s="179"/>
    </row>
    <row r="130" spans="4:25" ht="16.5" customHeight="1"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  <c r="S130" s="179"/>
      <c r="T130" s="179"/>
      <c r="U130" s="179"/>
      <c r="V130" s="179"/>
      <c r="W130" s="179"/>
      <c r="X130" s="179"/>
      <c r="Y130" s="179"/>
    </row>
    <row r="131" spans="4:25" ht="16.5" customHeight="1"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  <c r="S131" s="179"/>
      <c r="T131" s="179"/>
      <c r="U131" s="179"/>
      <c r="V131" s="179"/>
      <c r="W131" s="179"/>
      <c r="X131" s="179"/>
      <c r="Y131" s="179"/>
    </row>
    <row r="132" spans="4:25" ht="16.5" customHeight="1"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  <c r="S132" s="179"/>
      <c r="T132" s="179"/>
      <c r="U132" s="179"/>
      <c r="V132" s="179"/>
      <c r="W132" s="179"/>
      <c r="X132" s="179"/>
      <c r="Y132" s="179"/>
    </row>
    <row r="133" spans="4:25" ht="16.5" customHeight="1"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  <c r="S133" s="179"/>
      <c r="T133" s="179"/>
      <c r="U133" s="179"/>
      <c r="V133" s="179"/>
      <c r="W133" s="179"/>
      <c r="X133" s="179"/>
      <c r="Y133" s="179"/>
    </row>
    <row r="134" spans="4:25" ht="16.5" customHeight="1"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  <c r="S134" s="179"/>
      <c r="T134" s="179"/>
      <c r="U134" s="179"/>
      <c r="V134" s="179"/>
      <c r="W134" s="179"/>
      <c r="X134" s="179"/>
      <c r="Y134" s="179"/>
    </row>
    <row r="135" spans="4:25" ht="16.5" customHeight="1"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  <c r="S135" s="179"/>
      <c r="T135" s="179"/>
      <c r="U135" s="179"/>
      <c r="V135" s="179"/>
      <c r="W135" s="179"/>
      <c r="X135" s="179"/>
      <c r="Y135" s="179"/>
    </row>
    <row r="136" spans="4:25" ht="16.5" customHeight="1"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  <c r="S136" s="179"/>
      <c r="T136" s="179"/>
      <c r="U136" s="179"/>
      <c r="V136" s="179"/>
      <c r="W136" s="179"/>
      <c r="X136" s="179"/>
      <c r="Y136" s="179"/>
    </row>
    <row r="137" spans="4:25" ht="16.5" customHeight="1"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  <c r="S137" s="179"/>
      <c r="T137" s="179"/>
      <c r="U137" s="179"/>
      <c r="V137" s="179"/>
      <c r="W137" s="179"/>
      <c r="X137" s="179"/>
      <c r="Y137" s="179"/>
    </row>
    <row r="138" spans="4:25" ht="16.5" customHeight="1"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  <c r="S138" s="179"/>
      <c r="T138" s="179"/>
      <c r="U138" s="179"/>
      <c r="V138" s="179"/>
      <c r="W138" s="179"/>
      <c r="X138" s="179"/>
      <c r="Y138" s="179"/>
    </row>
    <row r="139" spans="4:25" ht="16.5" customHeight="1"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  <c r="S139" s="179"/>
      <c r="T139" s="179"/>
      <c r="U139" s="179"/>
      <c r="V139" s="179"/>
      <c r="W139" s="179"/>
      <c r="X139" s="179"/>
      <c r="Y139" s="179"/>
    </row>
    <row r="140" spans="4:25" ht="16.5" customHeight="1"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  <c r="S140" s="179"/>
      <c r="T140" s="179"/>
      <c r="U140" s="179"/>
      <c r="V140" s="179"/>
      <c r="W140" s="179"/>
      <c r="X140" s="179"/>
      <c r="Y140" s="179"/>
    </row>
    <row r="141" spans="4:25" ht="16.5" customHeight="1"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  <c r="S141" s="179"/>
      <c r="T141" s="179"/>
      <c r="U141" s="179"/>
      <c r="V141" s="179"/>
      <c r="W141" s="179"/>
      <c r="X141" s="179"/>
      <c r="Y141" s="179"/>
    </row>
    <row r="142" spans="4:25" ht="16.5" customHeight="1"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  <c r="S142" s="179"/>
      <c r="T142" s="179"/>
      <c r="U142" s="179"/>
      <c r="V142" s="179"/>
      <c r="W142" s="179"/>
      <c r="X142" s="179"/>
      <c r="Y142" s="179"/>
    </row>
    <row r="143" spans="4:25" ht="16.5" customHeight="1"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  <c r="S143" s="179"/>
      <c r="T143" s="179"/>
      <c r="U143" s="179"/>
      <c r="V143" s="179"/>
      <c r="W143" s="179"/>
      <c r="X143" s="179"/>
      <c r="Y143" s="179"/>
    </row>
    <row r="144" spans="4:25" ht="16.5" customHeight="1"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  <c r="S144" s="179"/>
      <c r="T144" s="179"/>
      <c r="U144" s="179"/>
      <c r="V144" s="179"/>
      <c r="W144" s="179"/>
      <c r="X144" s="179"/>
      <c r="Y144" s="179"/>
    </row>
    <row r="145" spans="4:25" ht="16.5" customHeight="1"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  <c r="S145" s="179"/>
      <c r="T145" s="179"/>
      <c r="U145" s="179"/>
      <c r="V145" s="179"/>
      <c r="W145" s="179"/>
      <c r="X145" s="179"/>
      <c r="Y145" s="179"/>
    </row>
    <row r="146" spans="4:25" ht="16.5" customHeight="1"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  <c r="S146" s="179"/>
      <c r="T146" s="179"/>
      <c r="U146" s="179"/>
      <c r="V146" s="179"/>
      <c r="W146" s="179"/>
      <c r="X146" s="179"/>
      <c r="Y146" s="179"/>
    </row>
    <row r="147" spans="4:25" ht="16.5" customHeight="1"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  <c r="S147" s="179"/>
      <c r="T147" s="179"/>
      <c r="U147" s="179"/>
      <c r="V147" s="179"/>
      <c r="W147" s="179"/>
      <c r="X147" s="179"/>
      <c r="Y147" s="179"/>
    </row>
    <row r="148" spans="4:25" ht="16.5" customHeight="1"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  <c r="S148" s="179"/>
      <c r="T148" s="179"/>
      <c r="U148" s="179"/>
      <c r="V148" s="179"/>
      <c r="W148" s="179"/>
      <c r="X148" s="179"/>
      <c r="Y148" s="179"/>
    </row>
    <row r="149" spans="4:25" ht="16.5" customHeight="1"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  <c r="S149" s="179"/>
      <c r="T149" s="179"/>
      <c r="U149" s="179"/>
      <c r="V149" s="179"/>
      <c r="W149" s="179"/>
      <c r="X149" s="179"/>
      <c r="Y149" s="179"/>
    </row>
    <row r="150" spans="4:25" ht="16.5" customHeight="1"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  <c r="S150" s="179"/>
      <c r="T150" s="179"/>
      <c r="U150" s="179"/>
      <c r="V150" s="179"/>
      <c r="W150" s="179"/>
      <c r="X150" s="179"/>
      <c r="Y150" s="179"/>
    </row>
    <row r="151" spans="4:25" ht="16.5" customHeight="1"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  <c r="S151" s="179"/>
      <c r="T151" s="179"/>
      <c r="U151" s="179"/>
      <c r="V151" s="179"/>
      <c r="W151" s="179"/>
      <c r="X151" s="179"/>
      <c r="Y151" s="179"/>
    </row>
    <row r="152" spans="4:25" ht="16.5" customHeight="1">
      <c r="D152" s="179"/>
      <c r="E152" s="179"/>
      <c r="F152" s="179"/>
      <c r="X152" s="179"/>
      <c r="Y152" s="179"/>
    </row>
    <row r="153" spans="4:6" ht="16.5" customHeight="1">
      <c r="D153" s="179"/>
      <c r="E153" s="179"/>
      <c r="F153" s="179"/>
    </row>
    <row r="154" spans="4:6" ht="16.5" customHeight="1">
      <c r="D154" s="179"/>
      <c r="E154" s="179"/>
      <c r="F154" s="179"/>
    </row>
    <row r="155" spans="4:6" ht="16.5" customHeight="1">
      <c r="D155" s="179"/>
      <c r="E155" s="179"/>
      <c r="F155" s="179"/>
    </row>
    <row r="156" spans="4:6" ht="16.5" customHeight="1">
      <c r="D156" s="179"/>
      <c r="E156" s="179"/>
      <c r="F156" s="179"/>
    </row>
    <row r="157" spans="4:6" ht="16.5" customHeight="1">
      <c r="D157" s="179"/>
      <c r="E157" s="179"/>
      <c r="F157" s="179"/>
    </row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45">
    <pageSetUpPr fitToPage="1"/>
  </sheetPr>
  <dimension ref="A1:Y159"/>
  <sheetViews>
    <sheetView zoomScale="75" zoomScaleNormal="75" workbookViewId="0" topLeftCell="B1">
      <selection activeCell="E48" sqref="E48"/>
    </sheetView>
  </sheetViews>
  <sheetFormatPr defaultColWidth="11.421875" defaultRowHeight="12.75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25.7109375" style="0" customWidth="1"/>
    <col min="6" max="6" width="12.00390625" style="0" customWidth="1"/>
    <col min="7" max="7" width="12.00390625" style="0" hidden="1" customWidth="1"/>
    <col min="8" max="9" width="16.7109375" style="0" customWidth="1"/>
    <col min="10" max="13" width="9.7109375" style="0" customWidth="1"/>
    <col min="14" max="14" width="6.28125" style="0" bestFit="1" customWidth="1"/>
    <col min="15" max="15" width="12.7109375" style="0" hidden="1" customWidth="1"/>
    <col min="16" max="16" width="13.140625" style="0" hidden="1" customWidth="1"/>
    <col min="17" max="17" width="12.28125" style="0" hidden="1" customWidth="1"/>
    <col min="18" max="18" width="5.7109375" style="0" hidden="1" customWidth="1"/>
    <col min="19" max="19" width="12.28125" style="0" hidden="1" customWidth="1"/>
    <col min="20" max="20" width="9.7109375" style="0" customWidth="1"/>
    <col min="21" max="21" width="16.00390625" style="0" hidden="1" customWidth="1"/>
    <col min="22" max="23" width="15.7109375" style="0" customWidth="1"/>
  </cols>
  <sheetData>
    <row r="1" s="18" customFormat="1" ht="26.25">
      <c r="W1" s="146"/>
    </row>
    <row r="2" spans="1:23" s="18" customFormat="1" ht="26.25">
      <c r="A2" s="91"/>
      <c r="B2" s="435" t="str">
        <f>+'TOT-1108'!B2</f>
        <v>ANEXO VI al Memoràndum D.T.E.E. N°  366 / 2010          </v>
      </c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</row>
    <row r="3" s="5" customFormat="1" ht="12.75">
      <c r="A3" s="90"/>
    </row>
    <row r="4" spans="1:2" s="25" customFormat="1" ht="11.25">
      <c r="A4" s="23" t="s">
        <v>2</v>
      </c>
      <c r="B4" s="125"/>
    </row>
    <row r="5" spans="1:2" s="25" customFormat="1" ht="11.25">
      <c r="A5" s="23" t="s">
        <v>3</v>
      </c>
      <c r="B5" s="125"/>
    </row>
    <row r="6" s="5" customFormat="1" ht="13.5" thickBot="1"/>
    <row r="7" spans="2:23" s="5" customFormat="1" ht="13.5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1"/>
    </row>
    <row r="8" spans="2:23" s="29" customFormat="1" ht="20.25">
      <c r="B8" s="79"/>
      <c r="D8" s="178" t="s">
        <v>91</v>
      </c>
      <c r="E8" s="436"/>
      <c r="F8" s="175"/>
      <c r="G8" s="174"/>
      <c r="H8" s="174"/>
      <c r="I8" s="174"/>
      <c r="J8" s="174"/>
      <c r="K8" s="174"/>
      <c r="L8" s="174"/>
      <c r="M8" s="174"/>
      <c r="N8" s="175"/>
      <c r="O8" s="175"/>
      <c r="P8" s="175"/>
      <c r="Q8" s="175"/>
      <c r="R8" s="175"/>
      <c r="S8" s="175"/>
      <c r="T8" s="175"/>
      <c r="U8" s="175"/>
      <c r="V8" s="175"/>
      <c r="W8" s="437"/>
    </row>
    <row r="9" spans="2:23" s="5" customFormat="1" ht="12.75">
      <c r="B9" s="5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6"/>
    </row>
    <row r="10" spans="2:23" s="29" customFormat="1" ht="20.25">
      <c r="B10" s="79"/>
      <c r="D10" s="11" t="s">
        <v>92</v>
      </c>
      <c r="F10" s="438"/>
      <c r="G10" s="81"/>
      <c r="H10" s="81"/>
      <c r="I10" s="81"/>
      <c r="J10" s="81"/>
      <c r="K10" s="81"/>
      <c r="L10" s="81"/>
      <c r="M10" s="81"/>
      <c r="N10" s="81"/>
      <c r="O10" s="81"/>
      <c r="P10" s="30"/>
      <c r="Q10" s="30"/>
      <c r="R10" s="30"/>
      <c r="S10" s="30"/>
      <c r="T10" s="30"/>
      <c r="U10" s="30"/>
      <c r="V10"/>
      <c r="W10" s="80"/>
    </row>
    <row r="11" spans="2:23" s="5" customFormat="1" ht="16.5" customHeight="1">
      <c r="B11" s="50"/>
      <c r="C11" s="4"/>
      <c r="D11" s="78"/>
      <c r="F11" s="31"/>
      <c r="G11" s="72"/>
      <c r="H11" s="72"/>
      <c r="I11" s="72"/>
      <c r="J11" s="72"/>
      <c r="K11" s="72"/>
      <c r="L11" s="72"/>
      <c r="M11" s="72"/>
      <c r="N11" s="72"/>
      <c r="O11" s="72"/>
      <c r="P11" s="4"/>
      <c r="Q11" s="4"/>
      <c r="R11" s="4"/>
      <c r="S11" s="4"/>
      <c r="T11" s="4"/>
      <c r="U11" s="4"/>
      <c r="V11"/>
      <c r="W11" s="6"/>
    </row>
    <row r="12" spans="2:23" s="29" customFormat="1" ht="20.25">
      <c r="B12" s="79"/>
      <c r="D12" s="11" t="s">
        <v>95</v>
      </c>
      <c r="F12" s="438"/>
      <c r="G12" s="81"/>
      <c r="H12" s="81"/>
      <c r="I12" s="81"/>
      <c r="J12" s="81"/>
      <c r="K12" s="81"/>
      <c r="L12" s="81"/>
      <c r="M12" s="81"/>
      <c r="N12" s="81"/>
      <c r="O12" s="81"/>
      <c r="P12" s="30"/>
      <c r="Q12" s="30"/>
      <c r="R12" s="30"/>
      <c r="S12" s="30"/>
      <c r="T12" s="30"/>
      <c r="U12" s="30"/>
      <c r="V12" s="30"/>
      <c r="W12" s="80"/>
    </row>
    <row r="13" spans="2:23" s="5" customFormat="1" ht="16.5" customHeight="1">
      <c r="B13" s="50"/>
      <c r="C13" s="4"/>
      <c r="D13" s="78"/>
      <c r="F13" s="31"/>
      <c r="G13" s="72"/>
      <c r="H13" s="72"/>
      <c r="I13" s="72"/>
      <c r="J13" s="72"/>
      <c r="K13" s="72"/>
      <c r="L13" s="72"/>
      <c r="M13" s="72"/>
      <c r="N13" s="72"/>
      <c r="O13" s="72"/>
      <c r="P13" s="4"/>
      <c r="Q13" s="4"/>
      <c r="R13" s="4"/>
      <c r="S13" s="4"/>
      <c r="T13" s="4"/>
      <c r="U13" s="4"/>
      <c r="V13" s="4"/>
      <c r="W13" s="6"/>
    </row>
    <row r="14" spans="2:23" s="36" customFormat="1" ht="16.5" customHeight="1">
      <c r="B14" s="37" t="str">
        <f>'TOT-1108'!B14</f>
        <v>Desde el 01 al 30 de noviembre de 2008</v>
      </c>
      <c r="C14" s="439"/>
      <c r="D14" s="440"/>
      <c r="E14" s="440"/>
      <c r="F14" s="440"/>
      <c r="G14" s="440"/>
      <c r="H14" s="440"/>
      <c r="I14" s="440"/>
      <c r="J14" s="440"/>
      <c r="K14" s="440"/>
      <c r="L14" s="440"/>
      <c r="M14" s="440"/>
      <c r="N14" s="440"/>
      <c r="O14" s="440"/>
      <c r="P14" s="439"/>
      <c r="Q14" s="439"/>
      <c r="R14" s="439"/>
      <c r="S14" s="439"/>
      <c r="T14" s="439"/>
      <c r="U14" s="439"/>
      <c r="V14" s="439"/>
      <c r="W14" s="441"/>
    </row>
    <row r="15" spans="2:23" s="5" customFormat="1" ht="16.5" customHeight="1" thickBot="1">
      <c r="B15" s="50"/>
      <c r="C15" s="4"/>
      <c r="D15" s="4"/>
      <c r="E15" s="4"/>
      <c r="F15" s="4"/>
      <c r="G15" s="4"/>
      <c r="H15" s="4"/>
      <c r="I15" s="4"/>
      <c r="J15" s="4"/>
      <c r="K15" s="4"/>
      <c r="P15" s="4"/>
      <c r="Q15" s="4"/>
      <c r="R15" s="4"/>
      <c r="S15" s="4"/>
      <c r="T15" s="4"/>
      <c r="U15" s="4"/>
      <c r="V15" s="4"/>
      <c r="W15" s="6"/>
    </row>
    <row r="16" spans="2:23" s="5" customFormat="1" ht="16.5" customHeight="1" thickBot="1" thickTop="1">
      <c r="B16" s="50"/>
      <c r="C16" s="4"/>
      <c r="D16" s="4"/>
      <c r="E16" s="4"/>
      <c r="F16" s="4"/>
      <c r="G16" s="4"/>
      <c r="H16" s="4"/>
      <c r="I16" s="4"/>
      <c r="J16" s="1075" t="s">
        <v>72</v>
      </c>
      <c r="K16" s="1076"/>
      <c r="L16" s="1076"/>
      <c r="M16" s="1076"/>
      <c r="N16" s="1077"/>
      <c r="O16" s="206" t="b">
        <f>AND(N17&lt;=0.82,N18&lt;=1.17)</f>
        <v>1</v>
      </c>
      <c r="P16" s="206" t="b">
        <f>AND(N17&gt;=1.17,N18&gt;=1.7)</f>
        <v>0</v>
      </c>
      <c r="Q16" s="207">
        <f>((N18/1.17)+(N17/0.82))*0.852446393-1.454892785</f>
        <v>-0.43113967470752534</v>
      </c>
      <c r="R16" s="4"/>
      <c r="S16" s="4"/>
      <c r="T16" s="4"/>
      <c r="U16" s="4"/>
      <c r="V16" s="4"/>
      <c r="W16" s="6"/>
    </row>
    <row r="17" spans="2:23" s="5" customFormat="1" ht="16.5" customHeight="1" thickBot="1" thickTop="1">
      <c r="B17" s="50"/>
      <c r="C17" s="4"/>
      <c r="D17" s="117" t="s">
        <v>82</v>
      </c>
      <c r="E17" s="442"/>
      <c r="F17" s="925">
        <v>0.245</v>
      </c>
      <c r="G17" s="377"/>
      <c r="H17"/>
      <c r="I17" s="4"/>
      <c r="J17" s="209" t="s">
        <v>73</v>
      </c>
      <c r="K17" s="210"/>
      <c r="L17" s="210"/>
      <c r="M17" s="210"/>
      <c r="N17" s="211">
        <v>0.34</v>
      </c>
      <c r="O17" s="212"/>
      <c r="P17" s="206"/>
      <c r="Q17" s="207"/>
      <c r="R17" s="4"/>
      <c r="S17" s="4"/>
      <c r="T17" s="4"/>
      <c r="U17" s="4"/>
      <c r="V17" s="4"/>
      <c r="W17" s="6"/>
    </row>
    <row r="18" spans="2:23" s="5" customFormat="1" ht="16.5" customHeight="1" thickBot="1" thickTop="1">
      <c r="B18" s="50"/>
      <c r="C18" s="4"/>
      <c r="D18" s="443" t="s">
        <v>26</v>
      </c>
      <c r="E18" s="444"/>
      <c r="F18" s="926">
        <v>20</v>
      </c>
      <c r="G18" s="377"/>
      <c r="H18" s="142" t="s">
        <v>74</v>
      </c>
      <c r="I18" s="213">
        <f>4*N19</f>
        <v>1</v>
      </c>
      <c r="J18" s="209" t="s">
        <v>75</v>
      </c>
      <c r="K18" s="210"/>
      <c r="L18" s="210"/>
      <c r="M18" s="210"/>
      <c r="N18" s="211">
        <v>0.92</v>
      </c>
      <c r="O18" s="212"/>
      <c r="P18" s="206"/>
      <c r="Q18" s="207"/>
      <c r="R18" s="116"/>
      <c r="S18" s="116"/>
      <c r="T18" s="116"/>
      <c r="U18" s="116"/>
      <c r="V18" s="116"/>
      <c r="W18" s="6"/>
    </row>
    <row r="19" spans="2:23" s="5" customFormat="1" ht="16.5" customHeight="1" thickBot="1" thickTop="1">
      <c r="B19" s="50"/>
      <c r="C19" s="4"/>
      <c r="D19" s="505"/>
      <c r="E19" s="214"/>
      <c r="F19" s="506"/>
      <c r="G19" s="377"/>
      <c r="H19" s="142"/>
      <c r="I19" s="213"/>
      <c r="J19" s="209" t="s">
        <v>76</v>
      </c>
      <c r="K19" s="210"/>
      <c r="L19" s="210"/>
      <c r="M19" s="210"/>
      <c r="N19" s="211">
        <f>IF(O16=TRUE,0.25,IF(P16=TRUE,1,Q16))</f>
        <v>0.25</v>
      </c>
      <c r="O19" s="216"/>
      <c r="P19" s="216"/>
      <c r="Q19" s="216"/>
      <c r="R19" s="116"/>
      <c r="S19" s="116"/>
      <c r="T19" s="116"/>
      <c r="U19" s="116"/>
      <c r="V19" s="116"/>
      <c r="W19" s="6"/>
    </row>
    <row r="20" spans="2:23" s="5" customFormat="1" ht="16.5" customHeight="1" thickBot="1" thickTop="1">
      <c r="B20" s="50"/>
      <c r="C20" s="66"/>
      <c r="D20" s="445"/>
      <c r="E20" s="446"/>
      <c r="F20" s="446"/>
      <c r="G20" s="198"/>
      <c r="H20" s="198"/>
      <c r="I20" s="198"/>
      <c r="J20" s="198"/>
      <c r="K20" s="198"/>
      <c r="L20" s="198"/>
      <c r="M20" s="198"/>
      <c r="N20" s="198"/>
      <c r="O20" s="447"/>
      <c r="P20" s="448"/>
      <c r="Q20" s="449"/>
      <c r="R20" s="449"/>
      <c r="S20" s="449"/>
      <c r="T20" s="450"/>
      <c r="U20" s="450"/>
      <c r="V20" s="451"/>
      <c r="W20" s="6"/>
    </row>
    <row r="21" spans="2:23" s="5" customFormat="1" ht="33.75" customHeight="1" thickBot="1" thickTop="1">
      <c r="B21" s="50"/>
      <c r="C21" s="84" t="s">
        <v>13</v>
      </c>
      <c r="D21" s="86" t="s">
        <v>27</v>
      </c>
      <c r="E21" s="85" t="s">
        <v>28</v>
      </c>
      <c r="F21" s="452" t="s">
        <v>29</v>
      </c>
      <c r="G21" s="130" t="s">
        <v>16</v>
      </c>
      <c r="H21" s="85" t="s">
        <v>17</v>
      </c>
      <c r="I21" s="85" t="s">
        <v>18</v>
      </c>
      <c r="J21" s="86" t="s">
        <v>36</v>
      </c>
      <c r="K21" s="86" t="s">
        <v>31</v>
      </c>
      <c r="L21" s="88" t="s">
        <v>19</v>
      </c>
      <c r="M21" s="88" t="s">
        <v>58</v>
      </c>
      <c r="N21" s="85" t="s">
        <v>32</v>
      </c>
      <c r="O21" s="130" t="s">
        <v>96</v>
      </c>
      <c r="P21" s="507" t="s">
        <v>71</v>
      </c>
      <c r="Q21" s="508" t="s">
        <v>94</v>
      </c>
      <c r="R21" s="509"/>
      <c r="S21" s="510" t="s">
        <v>22</v>
      </c>
      <c r="T21" s="133" t="s">
        <v>80</v>
      </c>
      <c r="U21" s="346" t="s">
        <v>24</v>
      </c>
      <c r="V21" s="457" t="s">
        <v>24</v>
      </c>
      <c r="W21" s="6"/>
    </row>
    <row r="22" spans="2:23" s="5" customFormat="1" ht="16.5" customHeight="1" thickTop="1">
      <c r="B22" s="50"/>
      <c r="C22" s="458"/>
      <c r="D22" s="458"/>
      <c r="E22" s="458"/>
      <c r="F22" s="458"/>
      <c r="G22" s="347"/>
      <c r="H22" s="460"/>
      <c r="I22" s="460"/>
      <c r="J22" s="458"/>
      <c r="K22" s="458"/>
      <c r="L22" s="459"/>
      <c r="M22" s="187"/>
      <c r="N22" s="458"/>
      <c r="O22" s="277"/>
      <c r="P22" s="511"/>
      <c r="Q22" s="512"/>
      <c r="R22" s="513"/>
      <c r="S22" s="514"/>
      <c r="T22" s="515"/>
      <c r="U22" s="348"/>
      <c r="V22" s="467"/>
      <c r="W22" s="6"/>
    </row>
    <row r="23" spans="2:23" s="5" customFormat="1" ht="16.5" customHeight="1">
      <c r="B23" s="50"/>
      <c r="C23" s="289"/>
      <c r="D23" s="470"/>
      <c r="E23" s="470"/>
      <c r="F23" s="470"/>
      <c r="G23" s="471"/>
      <c r="H23" s="472"/>
      <c r="I23" s="473"/>
      <c r="J23" s="474"/>
      <c r="K23" s="475"/>
      <c r="L23" s="476"/>
      <c r="M23" s="188"/>
      <c r="N23" s="477"/>
      <c r="O23" s="516"/>
      <c r="P23" s="517"/>
      <c r="Q23" s="518"/>
      <c r="R23" s="519"/>
      <c r="S23" s="520"/>
      <c r="T23" s="521"/>
      <c r="U23" s="522"/>
      <c r="V23" s="483"/>
      <c r="W23" s="6"/>
    </row>
    <row r="24" spans="2:23" s="5" customFormat="1" ht="16.5" customHeight="1">
      <c r="B24" s="50"/>
      <c r="C24" s="157">
        <v>102</v>
      </c>
      <c r="D24" s="485" t="s">
        <v>348</v>
      </c>
      <c r="E24" s="485" t="s">
        <v>349</v>
      </c>
      <c r="F24" s="485">
        <v>80</v>
      </c>
      <c r="G24" s="306">
        <f aca="true" t="shared" si="0" ref="G24:G43">F24*$F$17</f>
        <v>19.6</v>
      </c>
      <c r="H24" s="414">
        <v>39772.404861111114</v>
      </c>
      <c r="I24" s="192">
        <v>39772.5</v>
      </c>
      <c r="J24" s="415">
        <f aca="true" t="shared" si="1" ref="J24:J43">IF(D24="","",(I24-H24)*24)</f>
        <v>2.2833333332673647</v>
      </c>
      <c r="K24" s="416">
        <f aca="true" t="shared" si="2" ref="K24:K43">IF(D24="","",ROUND((I24-H24)*24*60,0))</f>
        <v>137</v>
      </c>
      <c r="L24" s="234" t="s">
        <v>251</v>
      </c>
      <c r="M24" s="235" t="str">
        <f aca="true" t="shared" si="3" ref="M24:M43">IF(D24="","","--")</f>
        <v>--</v>
      </c>
      <c r="N24" s="155" t="str">
        <f>IF(D24="","",IF(OR(L24="P",L24="RP"),"--","NO"))</f>
        <v>--</v>
      </c>
      <c r="O24" s="523">
        <f aca="true" t="shared" si="4" ref="O24:O43">IF(L24="P",$F$18*0.1,$F$18)</f>
        <v>2</v>
      </c>
      <c r="P24" s="524">
        <f aca="true" t="shared" si="5" ref="P24:P43">IF(L24="P",G24*O24*ROUND(K24/60,2),"--")</f>
        <v>89.376</v>
      </c>
      <c r="Q24" s="525" t="str">
        <f aca="true" t="shared" si="6" ref="Q24:Q43">IF(AND(L24="F",N24="NO"),G24*O24,"--")</f>
        <v>--</v>
      </c>
      <c r="R24" s="526" t="str">
        <f aca="true" t="shared" si="7" ref="R24:R43">IF(L24="F",G24*O24*ROUND(K24/60,2),"--")</f>
        <v>--</v>
      </c>
      <c r="S24" s="527" t="str">
        <f aca="true" t="shared" si="8" ref="S24:S43">IF(L24="RF",G24*O24*ROUND(K24/60,2),"--")</f>
        <v>--</v>
      </c>
      <c r="T24" s="528" t="s">
        <v>248</v>
      </c>
      <c r="U24" s="529">
        <f aca="true" t="shared" si="9" ref="U24:U43">SUM(P24:S24)*IF(T24="SI",1,2)</f>
        <v>89.376</v>
      </c>
      <c r="V24" s="421">
        <f aca="true" t="shared" si="10" ref="V24:V43">IF(D24="","",U24*$I$18*IF(AND(M22&lt;&gt;"--",L22="RF"),M22/100,1))</f>
        <v>89.376</v>
      </c>
      <c r="W24" s="6"/>
    </row>
    <row r="25" spans="2:23" s="5" customFormat="1" ht="16.5" customHeight="1">
      <c r="B25" s="50"/>
      <c r="C25" s="289">
        <v>103</v>
      </c>
      <c r="D25" s="485" t="s">
        <v>348</v>
      </c>
      <c r="E25" s="485" t="s">
        <v>349</v>
      </c>
      <c r="F25" s="485">
        <v>80</v>
      </c>
      <c r="G25" s="306">
        <f t="shared" si="0"/>
        <v>19.6</v>
      </c>
      <c r="H25" s="414">
        <v>39772.56319444445</v>
      </c>
      <c r="I25" s="192">
        <v>39772.66527777778</v>
      </c>
      <c r="J25" s="415">
        <f t="shared" si="1"/>
        <v>2.449999999953434</v>
      </c>
      <c r="K25" s="416">
        <f t="shared" si="2"/>
        <v>147</v>
      </c>
      <c r="L25" s="234" t="s">
        <v>251</v>
      </c>
      <c r="M25" s="235" t="str">
        <f t="shared" si="3"/>
        <v>--</v>
      </c>
      <c r="N25" s="155" t="str">
        <f aca="true" t="shared" si="11" ref="N25:N43">IF(D25="","",IF(L25="P","--","NO"))</f>
        <v>--</v>
      </c>
      <c r="O25" s="523">
        <f t="shared" si="4"/>
        <v>2</v>
      </c>
      <c r="P25" s="524">
        <f t="shared" si="5"/>
        <v>96.04000000000002</v>
      </c>
      <c r="Q25" s="525" t="str">
        <f t="shared" si="6"/>
        <v>--</v>
      </c>
      <c r="R25" s="526" t="str">
        <f t="shared" si="7"/>
        <v>--</v>
      </c>
      <c r="S25" s="527" t="str">
        <f t="shared" si="8"/>
        <v>--</v>
      </c>
      <c r="T25" s="528" t="s">
        <v>248</v>
      </c>
      <c r="U25" s="529">
        <f t="shared" si="9"/>
        <v>96.04000000000002</v>
      </c>
      <c r="V25" s="421">
        <f t="shared" si="10"/>
        <v>96.04000000000002</v>
      </c>
      <c r="W25" s="6"/>
    </row>
    <row r="26" spans="2:23" s="5" customFormat="1" ht="16.5" customHeight="1">
      <c r="B26" s="50"/>
      <c r="C26" s="157"/>
      <c r="D26" s="485"/>
      <c r="E26" s="485"/>
      <c r="F26" s="485"/>
      <c r="G26" s="306">
        <f t="shared" si="0"/>
        <v>0</v>
      </c>
      <c r="H26" s="414"/>
      <c r="I26" s="192"/>
      <c r="J26" s="415">
        <f t="shared" si="1"/>
      </c>
      <c r="K26" s="416">
        <f t="shared" si="2"/>
      </c>
      <c r="L26" s="234"/>
      <c r="M26" s="235">
        <f t="shared" si="3"/>
      </c>
      <c r="N26" s="155">
        <f t="shared" si="11"/>
      </c>
      <c r="O26" s="523">
        <f t="shared" si="4"/>
        <v>20</v>
      </c>
      <c r="P26" s="524" t="str">
        <f t="shared" si="5"/>
        <v>--</v>
      </c>
      <c r="Q26" s="525" t="str">
        <f t="shared" si="6"/>
        <v>--</v>
      </c>
      <c r="R26" s="526" t="str">
        <f t="shared" si="7"/>
        <v>--</v>
      </c>
      <c r="S26" s="527" t="str">
        <f t="shared" si="8"/>
        <v>--</v>
      </c>
      <c r="T26" s="528">
        <f aca="true" t="shared" si="12" ref="T26:T43">IF(D26="","","SI")</f>
      </c>
      <c r="U26" s="529">
        <f t="shared" si="9"/>
        <v>0</v>
      </c>
      <c r="V26" s="421">
        <f t="shared" si="10"/>
      </c>
      <c r="W26" s="6"/>
    </row>
    <row r="27" spans="2:23" s="5" customFormat="1" ht="16.5" customHeight="1">
      <c r="B27" s="50"/>
      <c r="C27" s="289"/>
      <c r="D27" s="485"/>
      <c r="E27" s="485"/>
      <c r="F27" s="485"/>
      <c r="G27" s="306">
        <f t="shared" si="0"/>
        <v>0</v>
      </c>
      <c r="H27" s="414"/>
      <c r="I27" s="192"/>
      <c r="J27" s="415">
        <f t="shared" si="1"/>
      </c>
      <c r="K27" s="416">
        <f t="shared" si="2"/>
      </c>
      <c r="L27" s="234"/>
      <c r="M27" s="235">
        <f t="shared" si="3"/>
      </c>
      <c r="N27" s="155">
        <f t="shared" si="11"/>
      </c>
      <c r="O27" s="523">
        <f t="shared" si="4"/>
        <v>20</v>
      </c>
      <c r="P27" s="524" t="str">
        <f t="shared" si="5"/>
        <v>--</v>
      </c>
      <c r="Q27" s="525" t="str">
        <f t="shared" si="6"/>
        <v>--</v>
      </c>
      <c r="R27" s="526" t="str">
        <f t="shared" si="7"/>
        <v>--</v>
      </c>
      <c r="S27" s="527" t="str">
        <f t="shared" si="8"/>
        <v>--</v>
      </c>
      <c r="T27" s="528">
        <f t="shared" si="12"/>
      </c>
      <c r="U27" s="529">
        <f t="shared" si="9"/>
        <v>0</v>
      </c>
      <c r="V27" s="421">
        <f t="shared" si="10"/>
      </c>
      <c r="W27" s="491"/>
    </row>
    <row r="28" spans="2:23" s="5" customFormat="1" ht="16.5" customHeight="1">
      <c r="B28" s="50"/>
      <c r="C28" s="157"/>
      <c r="D28" s="485"/>
      <c r="E28" s="485"/>
      <c r="F28" s="485"/>
      <c r="G28" s="306">
        <f t="shared" si="0"/>
        <v>0</v>
      </c>
      <c r="H28" s="414"/>
      <c r="I28" s="192"/>
      <c r="J28" s="415">
        <f t="shared" si="1"/>
      </c>
      <c r="K28" s="416">
        <f t="shared" si="2"/>
      </c>
      <c r="L28" s="234"/>
      <c r="M28" s="235">
        <f t="shared" si="3"/>
      </c>
      <c r="N28" s="155">
        <f t="shared" si="11"/>
      </c>
      <c r="O28" s="523">
        <f t="shared" si="4"/>
        <v>20</v>
      </c>
      <c r="P28" s="524" t="str">
        <f t="shared" si="5"/>
        <v>--</v>
      </c>
      <c r="Q28" s="525" t="str">
        <f t="shared" si="6"/>
        <v>--</v>
      </c>
      <c r="R28" s="526" t="str">
        <f t="shared" si="7"/>
        <v>--</v>
      </c>
      <c r="S28" s="527" t="str">
        <f t="shared" si="8"/>
        <v>--</v>
      </c>
      <c r="T28" s="528">
        <f t="shared" si="12"/>
      </c>
      <c r="U28" s="529">
        <f t="shared" si="9"/>
        <v>0</v>
      </c>
      <c r="V28" s="421">
        <f t="shared" si="10"/>
      </c>
      <c r="W28" s="491"/>
    </row>
    <row r="29" spans="2:23" s="5" customFormat="1" ht="16.5" customHeight="1">
      <c r="B29" s="50"/>
      <c r="C29" s="289"/>
      <c r="D29" s="485"/>
      <c r="E29" s="485"/>
      <c r="F29" s="485"/>
      <c r="G29" s="306">
        <f t="shared" si="0"/>
        <v>0</v>
      </c>
      <c r="H29" s="414"/>
      <c r="I29" s="192"/>
      <c r="J29" s="415">
        <f t="shared" si="1"/>
      </c>
      <c r="K29" s="416">
        <f t="shared" si="2"/>
      </c>
      <c r="L29" s="234"/>
      <c r="M29" s="235">
        <f t="shared" si="3"/>
      </c>
      <c r="N29" s="155">
        <f t="shared" si="11"/>
      </c>
      <c r="O29" s="523">
        <f t="shared" si="4"/>
        <v>20</v>
      </c>
      <c r="P29" s="524" t="str">
        <f t="shared" si="5"/>
        <v>--</v>
      </c>
      <c r="Q29" s="525" t="str">
        <f t="shared" si="6"/>
        <v>--</v>
      </c>
      <c r="R29" s="526" t="str">
        <f t="shared" si="7"/>
        <v>--</v>
      </c>
      <c r="S29" s="527" t="str">
        <f t="shared" si="8"/>
        <v>--</v>
      </c>
      <c r="T29" s="528">
        <f t="shared" si="12"/>
      </c>
      <c r="U29" s="529">
        <f t="shared" si="9"/>
        <v>0</v>
      </c>
      <c r="V29" s="421">
        <f t="shared" si="10"/>
      </c>
      <c r="W29" s="491"/>
    </row>
    <row r="30" spans="2:23" s="5" customFormat="1" ht="16.5" customHeight="1">
      <c r="B30" s="50"/>
      <c r="C30" s="157"/>
      <c r="D30" s="485"/>
      <c r="E30" s="485"/>
      <c r="F30" s="485"/>
      <c r="G30" s="306">
        <f t="shared" si="0"/>
        <v>0</v>
      </c>
      <c r="H30" s="414"/>
      <c r="I30" s="192"/>
      <c r="J30" s="415">
        <f t="shared" si="1"/>
      </c>
      <c r="K30" s="416">
        <f t="shared" si="2"/>
      </c>
      <c r="L30" s="234"/>
      <c r="M30" s="235">
        <f t="shared" si="3"/>
      </c>
      <c r="N30" s="155">
        <f t="shared" si="11"/>
      </c>
      <c r="O30" s="523">
        <f t="shared" si="4"/>
        <v>20</v>
      </c>
      <c r="P30" s="524" t="str">
        <f t="shared" si="5"/>
        <v>--</v>
      </c>
      <c r="Q30" s="525" t="str">
        <f t="shared" si="6"/>
        <v>--</v>
      </c>
      <c r="R30" s="526" t="str">
        <f t="shared" si="7"/>
        <v>--</v>
      </c>
      <c r="S30" s="527" t="str">
        <f t="shared" si="8"/>
        <v>--</v>
      </c>
      <c r="T30" s="528">
        <f t="shared" si="12"/>
      </c>
      <c r="U30" s="529">
        <f t="shared" si="9"/>
        <v>0</v>
      </c>
      <c r="V30" s="421">
        <f t="shared" si="10"/>
      </c>
      <c r="W30" s="491"/>
    </row>
    <row r="31" spans="2:23" s="5" customFormat="1" ht="16.5" customHeight="1">
      <c r="B31" s="50"/>
      <c r="C31" s="289"/>
      <c r="D31" s="485"/>
      <c r="E31" s="485"/>
      <c r="F31" s="485"/>
      <c r="G31" s="306">
        <f t="shared" si="0"/>
        <v>0</v>
      </c>
      <c r="H31" s="414"/>
      <c r="I31" s="192"/>
      <c r="J31" s="415">
        <f t="shared" si="1"/>
      </c>
      <c r="K31" s="416">
        <f t="shared" si="2"/>
      </c>
      <c r="L31" s="234"/>
      <c r="M31" s="235">
        <f t="shared" si="3"/>
      </c>
      <c r="N31" s="155">
        <f t="shared" si="11"/>
      </c>
      <c r="O31" s="523">
        <f t="shared" si="4"/>
        <v>20</v>
      </c>
      <c r="P31" s="524" t="str">
        <f t="shared" si="5"/>
        <v>--</v>
      </c>
      <c r="Q31" s="525" t="str">
        <f t="shared" si="6"/>
        <v>--</v>
      </c>
      <c r="R31" s="526" t="str">
        <f t="shared" si="7"/>
        <v>--</v>
      </c>
      <c r="S31" s="527" t="str">
        <f t="shared" si="8"/>
        <v>--</v>
      </c>
      <c r="T31" s="528">
        <f t="shared" si="12"/>
      </c>
      <c r="U31" s="529">
        <f t="shared" si="9"/>
        <v>0</v>
      </c>
      <c r="V31" s="421">
        <f t="shared" si="10"/>
      </c>
      <c r="W31" s="491"/>
    </row>
    <row r="32" spans="2:23" s="5" customFormat="1" ht="16.5" customHeight="1">
      <c r="B32" s="50"/>
      <c r="C32" s="157"/>
      <c r="D32" s="485"/>
      <c r="E32" s="485"/>
      <c r="F32" s="485"/>
      <c r="G32" s="306">
        <f t="shared" si="0"/>
        <v>0</v>
      </c>
      <c r="H32" s="414"/>
      <c r="I32" s="192"/>
      <c r="J32" s="415">
        <f t="shared" si="1"/>
      </c>
      <c r="K32" s="416">
        <f t="shared" si="2"/>
      </c>
      <c r="L32" s="234"/>
      <c r="M32" s="235">
        <f t="shared" si="3"/>
      </c>
      <c r="N32" s="155">
        <f t="shared" si="11"/>
      </c>
      <c r="O32" s="523">
        <f t="shared" si="4"/>
        <v>20</v>
      </c>
      <c r="P32" s="524" t="str">
        <f t="shared" si="5"/>
        <v>--</v>
      </c>
      <c r="Q32" s="525" t="str">
        <f t="shared" si="6"/>
        <v>--</v>
      </c>
      <c r="R32" s="526" t="str">
        <f t="shared" si="7"/>
        <v>--</v>
      </c>
      <c r="S32" s="527" t="str">
        <f t="shared" si="8"/>
        <v>--</v>
      </c>
      <c r="T32" s="528">
        <f t="shared" si="12"/>
      </c>
      <c r="U32" s="529">
        <f t="shared" si="9"/>
        <v>0</v>
      </c>
      <c r="V32" s="421">
        <f t="shared" si="10"/>
      </c>
      <c r="W32" s="491"/>
    </row>
    <row r="33" spans="2:23" s="5" customFormat="1" ht="16.5" customHeight="1">
      <c r="B33" s="50"/>
      <c r="C33" s="289"/>
      <c r="D33" s="485"/>
      <c r="E33" s="485"/>
      <c r="F33" s="485"/>
      <c r="G33" s="306">
        <f t="shared" si="0"/>
        <v>0</v>
      </c>
      <c r="H33" s="414"/>
      <c r="I33" s="192"/>
      <c r="J33" s="415">
        <f t="shared" si="1"/>
      </c>
      <c r="K33" s="416">
        <f t="shared" si="2"/>
      </c>
      <c r="L33" s="234"/>
      <c r="M33" s="235">
        <f t="shared" si="3"/>
      </c>
      <c r="N33" s="155">
        <f t="shared" si="11"/>
      </c>
      <c r="O33" s="523">
        <f t="shared" si="4"/>
        <v>20</v>
      </c>
      <c r="P33" s="524" t="str">
        <f t="shared" si="5"/>
        <v>--</v>
      </c>
      <c r="Q33" s="525" t="str">
        <f t="shared" si="6"/>
        <v>--</v>
      </c>
      <c r="R33" s="526" t="str">
        <f t="shared" si="7"/>
        <v>--</v>
      </c>
      <c r="S33" s="527" t="str">
        <f t="shared" si="8"/>
        <v>--</v>
      </c>
      <c r="T33" s="528">
        <f t="shared" si="12"/>
      </c>
      <c r="U33" s="529">
        <f t="shared" si="9"/>
        <v>0</v>
      </c>
      <c r="V33" s="421">
        <f t="shared" si="10"/>
      </c>
      <c r="W33" s="6"/>
    </row>
    <row r="34" spans="2:23" s="5" customFormat="1" ht="16.5" customHeight="1">
      <c r="B34" s="50"/>
      <c r="C34" s="157"/>
      <c r="D34" s="485"/>
      <c r="E34" s="485"/>
      <c r="F34" s="485"/>
      <c r="G34" s="306">
        <f t="shared" si="0"/>
        <v>0</v>
      </c>
      <c r="H34" s="414"/>
      <c r="I34" s="192"/>
      <c r="J34" s="415">
        <f t="shared" si="1"/>
      </c>
      <c r="K34" s="416">
        <f t="shared" si="2"/>
      </c>
      <c r="L34" s="234"/>
      <c r="M34" s="235">
        <f t="shared" si="3"/>
      </c>
      <c r="N34" s="155">
        <f t="shared" si="11"/>
      </c>
      <c r="O34" s="523">
        <f t="shared" si="4"/>
        <v>20</v>
      </c>
      <c r="P34" s="524" t="str">
        <f t="shared" si="5"/>
        <v>--</v>
      </c>
      <c r="Q34" s="525" t="str">
        <f t="shared" si="6"/>
        <v>--</v>
      </c>
      <c r="R34" s="526" t="str">
        <f t="shared" si="7"/>
        <v>--</v>
      </c>
      <c r="S34" s="527" t="str">
        <f t="shared" si="8"/>
        <v>--</v>
      </c>
      <c r="T34" s="528">
        <f t="shared" si="12"/>
      </c>
      <c r="U34" s="529">
        <f t="shared" si="9"/>
        <v>0</v>
      </c>
      <c r="V34" s="421">
        <f t="shared" si="10"/>
      </c>
      <c r="W34" s="6"/>
    </row>
    <row r="35" spans="2:23" s="5" customFormat="1" ht="16.5" customHeight="1">
      <c r="B35" s="50"/>
      <c r="C35" s="289"/>
      <c r="D35" s="485"/>
      <c r="E35" s="485"/>
      <c r="F35" s="485"/>
      <c r="G35" s="306">
        <f t="shared" si="0"/>
        <v>0</v>
      </c>
      <c r="H35" s="414"/>
      <c r="I35" s="192"/>
      <c r="J35" s="415">
        <f t="shared" si="1"/>
      </c>
      <c r="K35" s="416">
        <f t="shared" si="2"/>
      </c>
      <c r="L35" s="234"/>
      <c r="M35" s="235">
        <f t="shared" si="3"/>
      </c>
      <c r="N35" s="155">
        <f t="shared" si="11"/>
      </c>
      <c r="O35" s="523">
        <f t="shared" si="4"/>
        <v>20</v>
      </c>
      <c r="P35" s="524" t="str">
        <f t="shared" si="5"/>
        <v>--</v>
      </c>
      <c r="Q35" s="525" t="str">
        <f t="shared" si="6"/>
        <v>--</v>
      </c>
      <c r="R35" s="526" t="str">
        <f t="shared" si="7"/>
        <v>--</v>
      </c>
      <c r="S35" s="527" t="str">
        <f t="shared" si="8"/>
        <v>--</v>
      </c>
      <c r="T35" s="528">
        <f t="shared" si="12"/>
      </c>
      <c r="U35" s="529">
        <f t="shared" si="9"/>
        <v>0</v>
      </c>
      <c r="V35" s="421">
        <f t="shared" si="10"/>
      </c>
      <c r="W35" s="6"/>
    </row>
    <row r="36" spans="2:23" s="5" customFormat="1" ht="16.5" customHeight="1">
      <c r="B36" s="50"/>
      <c r="C36" s="157"/>
      <c r="D36" s="485"/>
      <c r="E36" s="485"/>
      <c r="F36" s="485"/>
      <c r="G36" s="306">
        <f t="shared" si="0"/>
        <v>0</v>
      </c>
      <c r="H36" s="414"/>
      <c r="I36" s="192"/>
      <c r="J36" s="415">
        <f t="shared" si="1"/>
      </c>
      <c r="K36" s="416">
        <f t="shared" si="2"/>
      </c>
      <c r="L36" s="234"/>
      <c r="M36" s="235">
        <f t="shared" si="3"/>
      </c>
      <c r="N36" s="155">
        <f t="shared" si="11"/>
      </c>
      <c r="O36" s="523">
        <f t="shared" si="4"/>
        <v>20</v>
      </c>
      <c r="P36" s="524" t="str">
        <f t="shared" si="5"/>
        <v>--</v>
      </c>
      <c r="Q36" s="525" t="str">
        <f t="shared" si="6"/>
        <v>--</v>
      </c>
      <c r="R36" s="526" t="str">
        <f t="shared" si="7"/>
        <v>--</v>
      </c>
      <c r="S36" s="527" t="str">
        <f t="shared" si="8"/>
        <v>--</v>
      </c>
      <c r="T36" s="528">
        <f t="shared" si="12"/>
      </c>
      <c r="U36" s="529">
        <f t="shared" si="9"/>
        <v>0</v>
      </c>
      <c r="V36" s="421">
        <f t="shared" si="10"/>
      </c>
      <c r="W36" s="6"/>
    </row>
    <row r="37" spans="2:23" s="5" customFormat="1" ht="16.5" customHeight="1">
      <c r="B37" s="50"/>
      <c r="C37" s="289"/>
      <c r="D37" s="485"/>
      <c r="E37" s="485"/>
      <c r="F37" s="485"/>
      <c r="G37" s="306">
        <f t="shared" si="0"/>
        <v>0</v>
      </c>
      <c r="H37" s="414"/>
      <c r="I37" s="192"/>
      <c r="J37" s="415">
        <f t="shared" si="1"/>
      </c>
      <c r="K37" s="416">
        <f t="shared" si="2"/>
      </c>
      <c r="L37" s="234"/>
      <c r="M37" s="235">
        <f t="shared" si="3"/>
      </c>
      <c r="N37" s="155">
        <f t="shared" si="11"/>
      </c>
      <c r="O37" s="523">
        <f t="shared" si="4"/>
        <v>20</v>
      </c>
      <c r="P37" s="524" t="str">
        <f t="shared" si="5"/>
        <v>--</v>
      </c>
      <c r="Q37" s="525" t="str">
        <f t="shared" si="6"/>
        <v>--</v>
      </c>
      <c r="R37" s="526" t="str">
        <f t="shared" si="7"/>
        <v>--</v>
      </c>
      <c r="S37" s="527" t="str">
        <f t="shared" si="8"/>
        <v>--</v>
      </c>
      <c r="T37" s="528">
        <f t="shared" si="12"/>
      </c>
      <c r="U37" s="529">
        <f t="shared" si="9"/>
        <v>0</v>
      </c>
      <c r="V37" s="421">
        <f t="shared" si="10"/>
      </c>
      <c r="W37" s="6"/>
    </row>
    <row r="38" spans="2:23" s="5" customFormat="1" ht="16.5" customHeight="1">
      <c r="B38" s="50"/>
      <c r="C38" s="157"/>
      <c r="D38" s="485"/>
      <c r="E38" s="485"/>
      <c r="F38" s="485"/>
      <c r="G38" s="306">
        <f t="shared" si="0"/>
        <v>0</v>
      </c>
      <c r="H38" s="414"/>
      <c r="I38" s="192"/>
      <c r="J38" s="415">
        <f t="shared" si="1"/>
      </c>
      <c r="K38" s="416">
        <f t="shared" si="2"/>
      </c>
      <c r="L38" s="234"/>
      <c r="M38" s="235">
        <f t="shared" si="3"/>
      </c>
      <c r="N38" s="155">
        <f t="shared" si="11"/>
      </c>
      <c r="O38" s="523">
        <f t="shared" si="4"/>
        <v>20</v>
      </c>
      <c r="P38" s="524" t="str">
        <f t="shared" si="5"/>
        <v>--</v>
      </c>
      <c r="Q38" s="525" t="str">
        <f t="shared" si="6"/>
        <v>--</v>
      </c>
      <c r="R38" s="526" t="str">
        <f t="shared" si="7"/>
        <v>--</v>
      </c>
      <c r="S38" s="527" t="str">
        <f t="shared" si="8"/>
        <v>--</v>
      </c>
      <c r="T38" s="528">
        <f t="shared" si="12"/>
      </c>
      <c r="U38" s="529">
        <f t="shared" si="9"/>
        <v>0</v>
      </c>
      <c r="V38" s="421">
        <f t="shared" si="10"/>
      </c>
      <c r="W38" s="6"/>
    </row>
    <row r="39" spans="2:23" s="5" customFormat="1" ht="16.5" customHeight="1">
      <c r="B39" s="50"/>
      <c r="C39" s="289"/>
      <c r="D39" s="485"/>
      <c r="E39" s="485"/>
      <c r="F39" s="485"/>
      <c r="G39" s="306">
        <f t="shared" si="0"/>
        <v>0</v>
      </c>
      <c r="H39" s="414"/>
      <c r="I39" s="192"/>
      <c r="J39" s="415">
        <f t="shared" si="1"/>
      </c>
      <c r="K39" s="416">
        <f t="shared" si="2"/>
      </c>
      <c r="L39" s="234"/>
      <c r="M39" s="235">
        <f t="shared" si="3"/>
      </c>
      <c r="N39" s="155">
        <f t="shared" si="11"/>
      </c>
      <c r="O39" s="523">
        <f t="shared" si="4"/>
        <v>20</v>
      </c>
      <c r="P39" s="524" t="str">
        <f t="shared" si="5"/>
        <v>--</v>
      </c>
      <c r="Q39" s="525" t="str">
        <f t="shared" si="6"/>
        <v>--</v>
      </c>
      <c r="R39" s="526" t="str">
        <f t="shared" si="7"/>
        <v>--</v>
      </c>
      <c r="S39" s="527" t="str">
        <f t="shared" si="8"/>
        <v>--</v>
      </c>
      <c r="T39" s="528">
        <f t="shared" si="12"/>
      </c>
      <c r="U39" s="529">
        <f t="shared" si="9"/>
        <v>0</v>
      </c>
      <c r="V39" s="421">
        <f t="shared" si="10"/>
      </c>
      <c r="W39" s="6"/>
    </row>
    <row r="40" spans="2:23" s="5" customFormat="1" ht="16.5" customHeight="1">
      <c r="B40" s="50"/>
      <c r="C40" s="157"/>
      <c r="D40" s="485"/>
      <c r="E40" s="485"/>
      <c r="F40" s="485"/>
      <c r="G40" s="306">
        <f t="shared" si="0"/>
        <v>0</v>
      </c>
      <c r="H40" s="414"/>
      <c r="I40" s="192"/>
      <c r="J40" s="415">
        <f t="shared" si="1"/>
      </c>
      <c r="K40" s="416">
        <f t="shared" si="2"/>
      </c>
      <c r="L40" s="234"/>
      <c r="M40" s="235">
        <f t="shared" si="3"/>
      </c>
      <c r="N40" s="155">
        <f t="shared" si="11"/>
      </c>
      <c r="O40" s="523">
        <f t="shared" si="4"/>
        <v>20</v>
      </c>
      <c r="P40" s="524" t="str">
        <f t="shared" si="5"/>
        <v>--</v>
      </c>
      <c r="Q40" s="525" t="str">
        <f t="shared" si="6"/>
        <v>--</v>
      </c>
      <c r="R40" s="526" t="str">
        <f t="shared" si="7"/>
        <v>--</v>
      </c>
      <c r="S40" s="527" t="str">
        <f t="shared" si="8"/>
        <v>--</v>
      </c>
      <c r="T40" s="528">
        <f t="shared" si="12"/>
      </c>
      <c r="U40" s="529">
        <f t="shared" si="9"/>
        <v>0</v>
      </c>
      <c r="V40" s="421">
        <f t="shared" si="10"/>
      </c>
      <c r="W40" s="6"/>
    </row>
    <row r="41" spans="2:23" s="5" customFormat="1" ht="16.5" customHeight="1">
      <c r="B41" s="50"/>
      <c r="C41" s="289"/>
      <c r="D41" s="485"/>
      <c r="E41" s="485"/>
      <c r="F41" s="485"/>
      <c r="G41" s="306">
        <f t="shared" si="0"/>
        <v>0</v>
      </c>
      <c r="H41" s="414"/>
      <c r="I41" s="192"/>
      <c r="J41" s="415">
        <f t="shared" si="1"/>
      </c>
      <c r="K41" s="416">
        <f t="shared" si="2"/>
      </c>
      <c r="L41" s="234"/>
      <c r="M41" s="235">
        <f t="shared" si="3"/>
      </c>
      <c r="N41" s="155">
        <f t="shared" si="11"/>
      </c>
      <c r="O41" s="523">
        <f t="shared" si="4"/>
        <v>20</v>
      </c>
      <c r="P41" s="524" t="str">
        <f t="shared" si="5"/>
        <v>--</v>
      </c>
      <c r="Q41" s="525" t="str">
        <f t="shared" si="6"/>
        <v>--</v>
      </c>
      <c r="R41" s="526" t="str">
        <f t="shared" si="7"/>
        <v>--</v>
      </c>
      <c r="S41" s="527" t="str">
        <f t="shared" si="8"/>
        <v>--</v>
      </c>
      <c r="T41" s="528">
        <f t="shared" si="12"/>
      </c>
      <c r="U41" s="529">
        <f t="shared" si="9"/>
        <v>0</v>
      </c>
      <c r="V41" s="421">
        <f t="shared" si="10"/>
      </c>
      <c r="W41" s="6"/>
    </row>
    <row r="42" spans="2:23" s="5" customFormat="1" ht="16.5" customHeight="1">
      <c r="B42" s="50"/>
      <c r="C42" s="157"/>
      <c r="D42" s="485"/>
      <c r="E42" s="485"/>
      <c r="F42" s="485"/>
      <c r="G42" s="306">
        <f t="shared" si="0"/>
        <v>0</v>
      </c>
      <c r="H42" s="414"/>
      <c r="I42" s="192"/>
      <c r="J42" s="415">
        <f t="shared" si="1"/>
      </c>
      <c r="K42" s="416">
        <f t="shared" si="2"/>
      </c>
      <c r="L42" s="234"/>
      <c r="M42" s="235">
        <f t="shared" si="3"/>
      </c>
      <c r="N42" s="155">
        <f t="shared" si="11"/>
      </c>
      <c r="O42" s="523">
        <f t="shared" si="4"/>
        <v>20</v>
      </c>
      <c r="P42" s="524" t="str">
        <f t="shared" si="5"/>
        <v>--</v>
      </c>
      <c r="Q42" s="525" t="str">
        <f t="shared" si="6"/>
        <v>--</v>
      </c>
      <c r="R42" s="526" t="str">
        <f t="shared" si="7"/>
        <v>--</v>
      </c>
      <c r="S42" s="527" t="str">
        <f t="shared" si="8"/>
        <v>--</v>
      </c>
      <c r="T42" s="528">
        <f t="shared" si="12"/>
      </c>
      <c r="U42" s="529">
        <f t="shared" si="9"/>
        <v>0</v>
      </c>
      <c r="V42" s="421">
        <f t="shared" si="10"/>
      </c>
      <c r="W42" s="6"/>
    </row>
    <row r="43" spans="2:23" s="5" customFormat="1" ht="16.5" customHeight="1">
      <c r="B43" s="50"/>
      <c r="C43" s="289"/>
      <c r="D43" s="485"/>
      <c r="E43" s="485"/>
      <c r="F43" s="485"/>
      <c r="G43" s="306">
        <f t="shared" si="0"/>
        <v>0</v>
      </c>
      <c r="H43" s="414"/>
      <c r="I43" s="192"/>
      <c r="J43" s="415">
        <f t="shared" si="1"/>
      </c>
      <c r="K43" s="416">
        <f t="shared" si="2"/>
      </c>
      <c r="L43" s="234"/>
      <c r="M43" s="235">
        <f t="shared" si="3"/>
      </c>
      <c r="N43" s="155">
        <f t="shared" si="11"/>
      </c>
      <c r="O43" s="523">
        <f t="shared" si="4"/>
        <v>20</v>
      </c>
      <c r="P43" s="524" t="str">
        <f t="shared" si="5"/>
        <v>--</v>
      </c>
      <c r="Q43" s="525" t="str">
        <f t="shared" si="6"/>
        <v>--</v>
      </c>
      <c r="R43" s="526" t="str">
        <f t="shared" si="7"/>
        <v>--</v>
      </c>
      <c r="S43" s="527" t="str">
        <f t="shared" si="8"/>
        <v>--</v>
      </c>
      <c r="T43" s="528">
        <f t="shared" si="12"/>
      </c>
      <c r="U43" s="529">
        <f t="shared" si="9"/>
        <v>0</v>
      </c>
      <c r="V43" s="421">
        <f t="shared" si="10"/>
      </c>
      <c r="W43" s="6"/>
    </row>
    <row r="44" spans="2:23" s="5" customFormat="1" ht="16.5" customHeight="1" thickBot="1">
      <c r="B44" s="50"/>
      <c r="C44" s="157"/>
      <c r="D44" s="493"/>
      <c r="E44" s="493"/>
      <c r="F44" s="493"/>
      <c r="G44" s="132"/>
      <c r="H44" s="422"/>
      <c r="I44" s="422"/>
      <c r="J44" s="423"/>
      <c r="K44" s="423"/>
      <c r="L44" s="422"/>
      <c r="M44" s="197"/>
      <c r="N44" s="154"/>
      <c r="O44" s="530"/>
      <c r="P44" s="531"/>
      <c r="Q44" s="532"/>
      <c r="R44" s="533"/>
      <c r="S44" s="534"/>
      <c r="T44" s="535"/>
      <c r="U44" s="366"/>
      <c r="V44" s="499"/>
      <c r="W44" s="6"/>
    </row>
    <row r="45" spans="2:23" s="5" customFormat="1" ht="16.5" customHeight="1" thickBot="1" thickTop="1">
      <c r="B45" s="50"/>
      <c r="C45" s="128" t="s">
        <v>25</v>
      </c>
      <c r="D45" s="129" t="s">
        <v>366</v>
      </c>
      <c r="G45" s="4"/>
      <c r="H45" s="4"/>
      <c r="I45" s="4"/>
      <c r="J45" s="4"/>
      <c r="K45" s="4"/>
      <c r="L45" s="4"/>
      <c r="M45" s="4"/>
      <c r="N45" s="4"/>
      <c r="O45" s="4"/>
      <c r="P45" s="536">
        <f>SUM(P22:P44)</f>
        <v>185.41600000000003</v>
      </c>
      <c r="Q45" s="537">
        <f>SUM(Q22:Q44)</f>
        <v>0</v>
      </c>
      <c r="R45" s="538">
        <f>SUM(R22:R44)</f>
        <v>0</v>
      </c>
      <c r="S45" s="539">
        <f>SUM(S22:S44)</f>
        <v>0</v>
      </c>
      <c r="U45" s="540">
        <f>ROUND(SUM(U22:U44),2)</f>
        <v>185.42</v>
      </c>
      <c r="V45" s="101">
        <f>ROUND(SUM(V22:V44),2)</f>
        <v>185.42</v>
      </c>
      <c r="W45" s="504"/>
    </row>
    <row r="46" spans="2:23" s="5" customFormat="1" ht="16.5" customHeight="1" thickBot="1" thickTop="1">
      <c r="B46" s="74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6"/>
    </row>
    <row r="47" spans="4:25" ht="16.5" customHeight="1" thickTop="1">
      <c r="D47" s="181"/>
      <c r="E47" s="181"/>
      <c r="F47" s="181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</row>
    <row r="48" spans="4:25" ht="16.5" customHeight="1">
      <c r="D48" s="181"/>
      <c r="E48" s="181"/>
      <c r="F48" s="181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</row>
    <row r="49" spans="4:25" ht="16.5" customHeight="1">
      <c r="D49" s="181"/>
      <c r="E49" s="181"/>
      <c r="F49" s="181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</row>
    <row r="50" spans="4:25" ht="16.5" customHeight="1">
      <c r="D50" s="181"/>
      <c r="E50" s="181"/>
      <c r="F50" s="181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</row>
    <row r="51" spans="4:25" ht="16.5" customHeight="1">
      <c r="D51" s="181"/>
      <c r="E51" s="181"/>
      <c r="F51" s="181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</row>
    <row r="52" spans="4:25" ht="16.5" customHeight="1">
      <c r="D52" s="181"/>
      <c r="E52" s="181"/>
      <c r="F52" s="181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</row>
    <row r="53" spans="4:25" ht="16.5" customHeight="1"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</row>
    <row r="54" spans="4:25" ht="16.5" customHeight="1"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</row>
    <row r="55" spans="4:25" ht="16.5" customHeight="1"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</row>
    <row r="56" spans="4:25" ht="16.5" customHeight="1"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</row>
    <row r="57" spans="4:25" ht="16.5" customHeight="1"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</row>
    <row r="58" spans="4:25" ht="16.5" customHeight="1"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</row>
    <row r="59" spans="4:25" ht="16.5" customHeight="1"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</row>
    <row r="60" spans="4:25" ht="16.5" customHeight="1"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</row>
    <row r="61" spans="4:25" ht="16.5" customHeight="1"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</row>
    <row r="62" spans="4:25" ht="16.5" customHeight="1"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</row>
    <row r="63" spans="4:25" ht="16.5" customHeight="1"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</row>
    <row r="64" spans="4:25" ht="16.5" customHeight="1"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</row>
    <row r="65" spans="4:25" ht="16.5" customHeight="1"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</row>
    <row r="66" spans="4:25" ht="16.5" customHeight="1"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</row>
    <row r="67" spans="4:25" ht="16.5" customHeight="1"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</row>
    <row r="68" spans="4:25" ht="16.5" customHeight="1"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</row>
    <row r="69" spans="4:25" ht="16.5" customHeight="1"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</row>
    <row r="70" spans="4:25" ht="16.5" customHeight="1"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</row>
    <row r="71" spans="4:25" ht="16.5" customHeight="1"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</row>
    <row r="72" spans="4:25" ht="16.5" customHeight="1"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</row>
    <row r="73" spans="4:25" ht="16.5" customHeight="1"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</row>
    <row r="74" spans="4:25" ht="16.5" customHeight="1"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</row>
    <row r="75" spans="4:25" ht="16.5" customHeight="1"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</row>
    <row r="76" spans="4:25" ht="16.5" customHeight="1"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</row>
    <row r="77" spans="4:25" ht="16.5" customHeight="1"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</row>
    <row r="78" spans="4:25" ht="16.5" customHeight="1"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</row>
    <row r="79" spans="4:25" ht="16.5" customHeight="1"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</row>
    <row r="80" spans="4:25" ht="16.5" customHeight="1"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</row>
    <row r="81" spans="4:25" ht="16.5" customHeight="1"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</row>
    <row r="82" spans="4:25" ht="16.5" customHeight="1"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</row>
    <row r="83" spans="4:25" ht="16.5" customHeight="1"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79"/>
    </row>
    <row r="84" spans="4:25" ht="16.5" customHeight="1"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  <c r="T84" s="179"/>
      <c r="U84" s="179"/>
      <c r="V84" s="179"/>
      <c r="W84" s="179"/>
      <c r="X84" s="179"/>
      <c r="Y84" s="179"/>
    </row>
    <row r="85" spans="4:25" ht="16.5" customHeight="1"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</row>
    <row r="86" spans="4:25" ht="16.5" customHeight="1"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  <c r="W86" s="179"/>
      <c r="X86" s="179"/>
      <c r="Y86" s="179"/>
    </row>
    <row r="87" spans="4:25" ht="16.5" customHeight="1"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</row>
    <row r="88" spans="4:25" ht="16.5" customHeight="1"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79"/>
      <c r="X88" s="179"/>
      <c r="Y88" s="179"/>
    </row>
    <row r="89" spans="4:25" ht="16.5" customHeight="1"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</row>
    <row r="90" spans="4:25" ht="16.5" customHeight="1"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  <c r="X90" s="179"/>
      <c r="Y90" s="179"/>
    </row>
    <row r="91" spans="4:25" ht="16.5" customHeight="1"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79"/>
    </row>
    <row r="92" spans="4:25" ht="16.5" customHeight="1"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</row>
    <row r="93" spans="4:25" ht="16.5" customHeight="1"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  <c r="X93" s="179"/>
      <c r="Y93" s="179"/>
    </row>
    <row r="94" spans="4:25" ht="16.5" customHeight="1"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9"/>
    </row>
    <row r="95" spans="4:25" ht="16.5" customHeight="1"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  <c r="X95" s="179"/>
      <c r="Y95" s="179"/>
    </row>
    <row r="96" spans="4:25" ht="16.5" customHeight="1"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</row>
    <row r="97" spans="4:25" ht="16.5" customHeight="1"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</row>
    <row r="98" spans="4:25" ht="16.5" customHeight="1"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  <c r="S98" s="179"/>
      <c r="T98" s="179"/>
      <c r="U98" s="179"/>
      <c r="V98" s="179"/>
      <c r="W98" s="179"/>
      <c r="X98" s="179"/>
      <c r="Y98" s="179"/>
    </row>
    <row r="99" spans="4:25" ht="16.5" customHeight="1"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  <c r="S99" s="179"/>
      <c r="T99" s="179"/>
      <c r="U99" s="179"/>
      <c r="V99" s="179"/>
      <c r="W99" s="179"/>
      <c r="X99" s="179"/>
      <c r="Y99" s="179"/>
    </row>
    <row r="100" spans="4:25" ht="16.5" customHeight="1"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179"/>
      <c r="U100" s="179"/>
      <c r="V100" s="179"/>
      <c r="W100" s="179"/>
      <c r="X100" s="179"/>
      <c r="Y100" s="179"/>
    </row>
    <row r="101" spans="4:25" ht="16.5" customHeight="1"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  <c r="S101" s="179"/>
      <c r="T101" s="179"/>
      <c r="U101" s="179"/>
      <c r="V101" s="179"/>
      <c r="W101" s="179"/>
      <c r="X101" s="179"/>
      <c r="Y101" s="179"/>
    </row>
    <row r="102" spans="4:25" ht="16.5" customHeight="1"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179"/>
      <c r="Y102" s="179"/>
    </row>
    <row r="103" spans="4:25" ht="16.5" customHeight="1"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  <c r="S103" s="179"/>
      <c r="T103" s="179"/>
      <c r="U103" s="179"/>
      <c r="V103" s="179"/>
      <c r="W103" s="179"/>
      <c r="X103" s="179"/>
      <c r="Y103" s="179"/>
    </row>
    <row r="104" spans="4:25" ht="16.5" customHeight="1"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179"/>
      <c r="U104" s="179"/>
      <c r="V104" s="179"/>
      <c r="W104" s="179"/>
      <c r="X104" s="179"/>
      <c r="Y104" s="179"/>
    </row>
    <row r="105" spans="4:25" ht="16.5" customHeight="1"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  <c r="S105" s="179"/>
      <c r="T105" s="179"/>
      <c r="U105" s="179"/>
      <c r="V105" s="179"/>
      <c r="W105" s="179"/>
      <c r="X105" s="179"/>
      <c r="Y105" s="179"/>
    </row>
    <row r="106" spans="4:25" ht="16.5" customHeight="1"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T106" s="179"/>
      <c r="U106" s="179"/>
      <c r="V106" s="179"/>
      <c r="W106" s="179"/>
      <c r="X106" s="179"/>
      <c r="Y106" s="179"/>
    </row>
    <row r="107" spans="4:25" ht="16.5" customHeight="1"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  <c r="S107" s="179"/>
      <c r="T107" s="179"/>
      <c r="U107" s="179"/>
      <c r="V107" s="179"/>
      <c r="W107" s="179"/>
      <c r="X107" s="179"/>
      <c r="Y107" s="179"/>
    </row>
    <row r="108" spans="4:25" ht="16.5" customHeight="1"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  <c r="S108" s="179"/>
      <c r="T108" s="179"/>
      <c r="U108" s="179"/>
      <c r="V108" s="179"/>
      <c r="W108" s="179"/>
      <c r="X108" s="179"/>
      <c r="Y108" s="179"/>
    </row>
    <row r="109" spans="4:25" ht="16.5" customHeight="1"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  <c r="S109" s="179"/>
      <c r="T109" s="179"/>
      <c r="U109" s="179"/>
      <c r="V109" s="179"/>
      <c r="W109" s="179"/>
      <c r="X109" s="179"/>
      <c r="Y109" s="179"/>
    </row>
    <row r="110" spans="4:25" ht="16.5" customHeight="1"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  <c r="S110" s="179"/>
      <c r="T110" s="179"/>
      <c r="U110" s="179"/>
      <c r="V110" s="179"/>
      <c r="W110" s="179"/>
      <c r="X110" s="179"/>
      <c r="Y110" s="179"/>
    </row>
    <row r="111" spans="4:25" ht="16.5" customHeight="1"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  <c r="S111" s="179"/>
      <c r="T111" s="179"/>
      <c r="U111" s="179"/>
      <c r="V111" s="179"/>
      <c r="W111" s="179"/>
      <c r="X111" s="179"/>
      <c r="Y111" s="179"/>
    </row>
    <row r="112" spans="4:25" ht="16.5" customHeight="1"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  <c r="S112" s="179"/>
      <c r="T112" s="179"/>
      <c r="U112" s="179"/>
      <c r="V112" s="179"/>
      <c r="W112" s="179"/>
      <c r="X112" s="179"/>
      <c r="Y112" s="179"/>
    </row>
    <row r="113" spans="4:25" ht="16.5" customHeight="1"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  <c r="S113" s="179"/>
      <c r="T113" s="179"/>
      <c r="U113" s="179"/>
      <c r="V113" s="179"/>
      <c r="W113" s="179"/>
      <c r="X113" s="179"/>
      <c r="Y113" s="179"/>
    </row>
    <row r="114" spans="4:25" ht="16.5" customHeight="1"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  <c r="S114" s="179"/>
      <c r="T114" s="179"/>
      <c r="U114" s="179"/>
      <c r="V114" s="179"/>
      <c r="W114" s="179"/>
      <c r="X114" s="179"/>
      <c r="Y114" s="179"/>
    </row>
    <row r="115" spans="4:25" ht="16.5" customHeight="1"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  <c r="S115" s="179"/>
      <c r="T115" s="179"/>
      <c r="U115" s="179"/>
      <c r="V115" s="179"/>
      <c r="W115" s="179"/>
      <c r="X115" s="179"/>
      <c r="Y115" s="179"/>
    </row>
    <row r="116" spans="4:25" ht="16.5" customHeight="1"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  <c r="S116" s="179"/>
      <c r="T116" s="179"/>
      <c r="U116" s="179"/>
      <c r="V116" s="179"/>
      <c r="W116" s="179"/>
      <c r="X116" s="179"/>
      <c r="Y116" s="179"/>
    </row>
    <row r="117" spans="4:25" ht="16.5" customHeight="1"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  <c r="S117" s="179"/>
      <c r="T117" s="179"/>
      <c r="U117" s="179"/>
      <c r="V117" s="179"/>
      <c r="W117" s="179"/>
      <c r="X117" s="179"/>
      <c r="Y117" s="179"/>
    </row>
    <row r="118" spans="4:25" ht="16.5" customHeight="1"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  <c r="S118" s="179"/>
      <c r="T118" s="179"/>
      <c r="U118" s="179"/>
      <c r="V118" s="179"/>
      <c r="W118" s="179"/>
      <c r="X118" s="179"/>
      <c r="Y118" s="179"/>
    </row>
    <row r="119" spans="4:25" ht="16.5" customHeight="1"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  <c r="S119" s="179"/>
      <c r="T119" s="179"/>
      <c r="U119" s="179"/>
      <c r="V119" s="179"/>
      <c r="W119" s="179"/>
      <c r="X119" s="179"/>
      <c r="Y119" s="179"/>
    </row>
    <row r="120" spans="4:25" ht="16.5" customHeight="1"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  <c r="S120" s="179"/>
      <c r="T120" s="179"/>
      <c r="U120" s="179"/>
      <c r="V120" s="179"/>
      <c r="W120" s="179"/>
      <c r="X120" s="179"/>
      <c r="Y120" s="179"/>
    </row>
    <row r="121" spans="4:25" ht="16.5" customHeight="1"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  <c r="S121" s="179"/>
      <c r="T121" s="179"/>
      <c r="U121" s="179"/>
      <c r="V121" s="179"/>
      <c r="W121" s="179"/>
      <c r="X121" s="179"/>
      <c r="Y121" s="179"/>
    </row>
    <row r="122" spans="4:25" ht="16.5" customHeight="1"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  <c r="S122" s="179"/>
      <c r="T122" s="179"/>
      <c r="U122" s="179"/>
      <c r="V122" s="179"/>
      <c r="W122" s="179"/>
      <c r="X122" s="179"/>
      <c r="Y122" s="179"/>
    </row>
    <row r="123" spans="4:25" ht="16.5" customHeight="1"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  <c r="S123" s="179"/>
      <c r="T123" s="179"/>
      <c r="U123" s="179"/>
      <c r="V123" s="179"/>
      <c r="W123" s="179"/>
      <c r="X123" s="179"/>
      <c r="Y123" s="179"/>
    </row>
    <row r="124" spans="4:25" ht="16.5" customHeight="1"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  <c r="S124" s="179"/>
      <c r="T124" s="179"/>
      <c r="U124" s="179"/>
      <c r="V124" s="179"/>
      <c r="W124" s="179"/>
      <c r="X124" s="179"/>
      <c r="Y124" s="179"/>
    </row>
    <row r="125" spans="4:25" ht="16.5" customHeight="1"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  <c r="S125" s="179"/>
      <c r="T125" s="179"/>
      <c r="U125" s="179"/>
      <c r="V125" s="179"/>
      <c r="W125" s="179"/>
      <c r="X125" s="179"/>
      <c r="Y125" s="179"/>
    </row>
    <row r="126" spans="4:25" ht="16.5" customHeight="1"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  <c r="S126" s="179"/>
      <c r="T126" s="179"/>
      <c r="U126" s="179"/>
      <c r="V126" s="179"/>
      <c r="W126" s="179"/>
      <c r="X126" s="179"/>
      <c r="Y126" s="179"/>
    </row>
    <row r="127" spans="4:25" ht="16.5" customHeight="1"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  <c r="S127" s="179"/>
      <c r="T127" s="179"/>
      <c r="U127" s="179"/>
      <c r="V127" s="179"/>
      <c r="W127" s="179"/>
      <c r="X127" s="179"/>
      <c r="Y127" s="179"/>
    </row>
    <row r="128" spans="4:25" ht="16.5" customHeight="1"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  <c r="S128" s="179"/>
      <c r="T128" s="179"/>
      <c r="U128" s="179"/>
      <c r="V128" s="179"/>
      <c r="W128" s="179"/>
      <c r="X128" s="179"/>
      <c r="Y128" s="179"/>
    </row>
    <row r="129" spans="4:25" ht="16.5" customHeight="1"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  <c r="S129" s="179"/>
      <c r="T129" s="179"/>
      <c r="U129" s="179"/>
      <c r="V129" s="179"/>
      <c r="W129" s="179"/>
      <c r="X129" s="179"/>
      <c r="Y129" s="179"/>
    </row>
    <row r="130" spans="4:25" ht="16.5" customHeight="1"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  <c r="S130" s="179"/>
      <c r="T130" s="179"/>
      <c r="U130" s="179"/>
      <c r="V130" s="179"/>
      <c r="W130" s="179"/>
      <c r="X130" s="179"/>
      <c r="Y130" s="179"/>
    </row>
    <row r="131" spans="4:25" ht="16.5" customHeight="1"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  <c r="S131" s="179"/>
      <c r="T131" s="179"/>
      <c r="U131" s="179"/>
      <c r="V131" s="179"/>
      <c r="W131" s="179"/>
      <c r="X131" s="179"/>
      <c r="Y131" s="179"/>
    </row>
    <row r="132" spans="4:25" ht="16.5" customHeight="1"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  <c r="S132" s="179"/>
      <c r="T132" s="179"/>
      <c r="U132" s="179"/>
      <c r="V132" s="179"/>
      <c r="W132" s="179"/>
      <c r="X132" s="179"/>
      <c r="Y132" s="179"/>
    </row>
    <row r="133" spans="4:25" ht="16.5" customHeight="1"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  <c r="S133" s="179"/>
      <c r="T133" s="179"/>
      <c r="U133" s="179"/>
      <c r="V133" s="179"/>
      <c r="W133" s="179"/>
      <c r="X133" s="179"/>
      <c r="Y133" s="179"/>
    </row>
    <row r="134" spans="4:25" ht="16.5" customHeight="1"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  <c r="S134" s="179"/>
      <c r="T134" s="179"/>
      <c r="U134" s="179"/>
      <c r="V134" s="179"/>
      <c r="W134" s="179"/>
      <c r="X134" s="179"/>
      <c r="Y134" s="179"/>
    </row>
    <row r="135" spans="4:25" ht="16.5" customHeight="1"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  <c r="S135" s="179"/>
      <c r="T135" s="179"/>
      <c r="U135" s="179"/>
      <c r="V135" s="179"/>
      <c r="W135" s="179"/>
      <c r="X135" s="179"/>
      <c r="Y135" s="179"/>
    </row>
    <row r="136" spans="4:25" ht="16.5" customHeight="1"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  <c r="S136" s="179"/>
      <c r="T136" s="179"/>
      <c r="U136" s="179"/>
      <c r="V136" s="179"/>
      <c r="W136" s="179"/>
      <c r="X136" s="179"/>
      <c r="Y136" s="179"/>
    </row>
    <row r="137" spans="4:25" ht="16.5" customHeight="1"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  <c r="S137" s="179"/>
      <c r="T137" s="179"/>
      <c r="U137" s="179"/>
      <c r="V137" s="179"/>
      <c r="W137" s="179"/>
      <c r="X137" s="179"/>
      <c r="Y137" s="179"/>
    </row>
    <row r="138" spans="4:25" ht="16.5" customHeight="1"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  <c r="S138" s="179"/>
      <c r="T138" s="179"/>
      <c r="U138" s="179"/>
      <c r="V138" s="179"/>
      <c r="W138" s="179"/>
      <c r="X138" s="179"/>
      <c r="Y138" s="179"/>
    </row>
    <row r="139" spans="4:25" ht="16.5" customHeight="1"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  <c r="S139" s="179"/>
      <c r="T139" s="179"/>
      <c r="U139" s="179"/>
      <c r="V139" s="179"/>
      <c r="W139" s="179"/>
      <c r="X139" s="179"/>
      <c r="Y139" s="179"/>
    </row>
    <row r="140" spans="4:25" ht="16.5" customHeight="1"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  <c r="S140" s="179"/>
      <c r="T140" s="179"/>
      <c r="U140" s="179"/>
      <c r="V140" s="179"/>
      <c r="W140" s="179"/>
      <c r="X140" s="179"/>
      <c r="Y140" s="179"/>
    </row>
    <row r="141" spans="4:25" ht="16.5" customHeight="1"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  <c r="S141" s="179"/>
      <c r="T141" s="179"/>
      <c r="U141" s="179"/>
      <c r="V141" s="179"/>
      <c r="W141" s="179"/>
      <c r="X141" s="179"/>
      <c r="Y141" s="179"/>
    </row>
    <row r="142" spans="4:25" ht="16.5" customHeight="1"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  <c r="S142" s="179"/>
      <c r="T142" s="179"/>
      <c r="U142" s="179"/>
      <c r="V142" s="179"/>
      <c r="W142" s="179"/>
      <c r="X142" s="179"/>
      <c r="Y142" s="179"/>
    </row>
    <row r="143" spans="4:25" ht="16.5" customHeight="1"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  <c r="S143" s="179"/>
      <c r="T143" s="179"/>
      <c r="U143" s="179"/>
      <c r="V143" s="179"/>
      <c r="W143" s="179"/>
      <c r="X143" s="179"/>
      <c r="Y143" s="179"/>
    </row>
    <row r="144" spans="4:25" ht="16.5" customHeight="1"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  <c r="S144" s="179"/>
      <c r="T144" s="179"/>
      <c r="U144" s="179"/>
      <c r="V144" s="179"/>
      <c r="W144" s="179"/>
      <c r="X144" s="179"/>
      <c r="Y144" s="179"/>
    </row>
    <row r="145" spans="4:25" ht="16.5" customHeight="1"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  <c r="S145" s="179"/>
      <c r="T145" s="179"/>
      <c r="U145" s="179"/>
      <c r="V145" s="179"/>
      <c r="W145" s="179"/>
      <c r="X145" s="179"/>
      <c r="Y145" s="179"/>
    </row>
    <row r="146" spans="4:25" ht="16.5" customHeight="1"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  <c r="S146" s="179"/>
      <c r="T146" s="179"/>
      <c r="U146" s="179"/>
      <c r="V146" s="179"/>
      <c r="W146" s="179"/>
      <c r="X146" s="179"/>
      <c r="Y146" s="179"/>
    </row>
    <row r="147" spans="4:25" ht="16.5" customHeight="1"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  <c r="S147" s="179"/>
      <c r="T147" s="179"/>
      <c r="U147" s="179"/>
      <c r="V147" s="179"/>
      <c r="W147" s="179"/>
      <c r="X147" s="179"/>
      <c r="Y147" s="179"/>
    </row>
    <row r="148" spans="4:25" ht="16.5" customHeight="1"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  <c r="S148" s="179"/>
      <c r="T148" s="179"/>
      <c r="U148" s="179"/>
      <c r="V148" s="179"/>
      <c r="W148" s="179"/>
      <c r="X148" s="179"/>
      <c r="Y148" s="179"/>
    </row>
    <row r="149" spans="4:25" ht="16.5" customHeight="1"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  <c r="S149" s="179"/>
      <c r="T149" s="179"/>
      <c r="U149" s="179"/>
      <c r="V149" s="179"/>
      <c r="W149" s="179"/>
      <c r="X149" s="179"/>
      <c r="Y149" s="179"/>
    </row>
    <row r="150" spans="4:25" ht="16.5" customHeight="1"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  <c r="S150" s="179"/>
      <c r="T150" s="179"/>
      <c r="U150" s="179"/>
      <c r="V150" s="179"/>
      <c r="W150" s="179"/>
      <c r="X150" s="179"/>
      <c r="Y150" s="179"/>
    </row>
    <row r="151" spans="4:25" ht="16.5" customHeight="1"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  <c r="S151" s="179"/>
      <c r="T151" s="179"/>
      <c r="U151" s="179"/>
      <c r="V151" s="179"/>
      <c r="W151" s="179"/>
      <c r="X151" s="179"/>
      <c r="Y151" s="179"/>
    </row>
    <row r="152" spans="4:25" ht="16.5" customHeight="1"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  <c r="S152" s="179"/>
      <c r="T152" s="179"/>
      <c r="U152" s="179"/>
      <c r="V152" s="179"/>
      <c r="W152" s="179"/>
      <c r="X152" s="179"/>
      <c r="Y152" s="179"/>
    </row>
    <row r="153" spans="4:25" ht="16.5" customHeight="1"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  <c r="S153" s="179"/>
      <c r="T153" s="179"/>
      <c r="U153" s="179"/>
      <c r="V153" s="179"/>
      <c r="W153" s="179"/>
      <c r="X153" s="179"/>
      <c r="Y153" s="179"/>
    </row>
    <row r="154" spans="4:25" ht="16.5" customHeight="1">
      <c r="D154" s="179"/>
      <c r="E154" s="179"/>
      <c r="F154" s="179"/>
      <c r="X154" s="179"/>
      <c r="Y154" s="179"/>
    </row>
    <row r="155" spans="4:6" ht="16.5" customHeight="1">
      <c r="D155" s="179"/>
      <c r="E155" s="179"/>
      <c r="F155" s="179"/>
    </row>
    <row r="156" spans="4:6" ht="16.5" customHeight="1">
      <c r="D156" s="179"/>
      <c r="E156" s="179"/>
      <c r="F156" s="179"/>
    </row>
    <row r="157" spans="4:6" ht="16.5" customHeight="1">
      <c r="D157" s="179"/>
      <c r="E157" s="179"/>
      <c r="F157" s="179"/>
    </row>
    <row r="158" spans="4:6" ht="16.5" customHeight="1">
      <c r="D158" s="179"/>
      <c r="E158" s="179"/>
      <c r="F158" s="179"/>
    </row>
    <row r="159" spans="4:6" ht="16.5" customHeight="1">
      <c r="D159" s="179"/>
      <c r="E159" s="179"/>
      <c r="F159" s="179"/>
    </row>
    <row r="160" ht="16.5" customHeight="1"/>
    <row r="161" ht="16.5" customHeight="1"/>
    <row r="162" ht="16.5" customHeight="1"/>
    <row r="163" ht="16.5" customHeight="1"/>
  </sheetData>
  <mergeCells count="1">
    <mergeCell ref="J16:N16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2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46">
    <pageSetUpPr fitToPage="1"/>
  </sheetPr>
  <dimension ref="A1:W157"/>
  <sheetViews>
    <sheetView zoomScale="75" zoomScaleNormal="75" workbookViewId="0" topLeftCell="C1">
      <selection activeCell="E45" sqref="E45"/>
    </sheetView>
  </sheetViews>
  <sheetFormatPr defaultColWidth="11.421875" defaultRowHeight="16.5" customHeight="1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40.7109375" style="0" customWidth="1"/>
    <col min="6" max="6" width="9.7109375" style="0" customWidth="1"/>
    <col min="7" max="7" width="14.28125" style="0" hidden="1" customWidth="1"/>
    <col min="8" max="9" width="15.7109375" style="0" customWidth="1"/>
    <col min="10" max="12" width="9.7109375" style="0" customWidth="1"/>
    <col min="13" max="13" width="6.421875" style="0" customWidth="1"/>
    <col min="14" max="14" width="12.00390625" style="0" hidden="1" customWidth="1"/>
    <col min="15" max="15" width="16.28125" style="0" hidden="1" customWidth="1"/>
    <col min="16" max="16" width="17.140625" style="0" hidden="1" customWidth="1"/>
    <col min="17" max="18" width="15.421875" style="0" hidden="1" customWidth="1"/>
    <col min="19" max="19" width="9.7109375" style="0" customWidth="1"/>
    <col min="20" max="21" width="15.7109375" style="0" customWidth="1"/>
  </cols>
  <sheetData>
    <row r="1" s="18" customFormat="1" ht="26.25">
      <c r="U1" s="146"/>
    </row>
    <row r="2" spans="1:21" s="18" customFormat="1" ht="26.25">
      <c r="A2" s="91"/>
      <c r="B2" s="19" t="str">
        <f>+'TOT-1108'!B2</f>
        <v>ANEXO VI al Memoràndum D.T.E.E. N°  366 / 2010          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="5" customFormat="1" ht="12.75">
      <c r="A3" s="90"/>
    </row>
    <row r="4" spans="1:2" s="25" customFormat="1" ht="11.25">
      <c r="A4" s="23" t="s">
        <v>2</v>
      </c>
      <c r="B4" s="125"/>
    </row>
    <row r="5" spans="1:2" s="25" customFormat="1" ht="11.25">
      <c r="A5" s="23" t="s">
        <v>3</v>
      </c>
      <c r="B5" s="125"/>
    </row>
    <row r="6" s="5" customFormat="1" ht="13.5" thickBot="1"/>
    <row r="7" spans="2:21" s="5" customFormat="1" ht="13.5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1"/>
    </row>
    <row r="8" spans="2:21" s="29" customFormat="1" ht="20.25">
      <c r="B8" s="79"/>
      <c r="C8" s="30"/>
      <c r="D8" s="12" t="s">
        <v>70</v>
      </c>
      <c r="L8" s="106"/>
      <c r="M8" s="106"/>
      <c r="N8" s="96"/>
      <c r="O8" s="30"/>
      <c r="P8" s="30"/>
      <c r="Q8" s="30"/>
      <c r="R8" s="30"/>
      <c r="S8" s="30"/>
      <c r="T8" s="30"/>
      <c r="U8" s="80"/>
    </row>
    <row r="9" spans="2:21" s="5" customFormat="1" ht="12.75">
      <c r="B9" s="50"/>
      <c r="C9" s="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4"/>
      <c r="P9" s="4"/>
      <c r="Q9" s="4"/>
      <c r="R9" s="4"/>
      <c r="S9" s="4"/>
      <c r="T9" s="4"/>
      <c r="U9" s="6"/>
    </row>
    <row r="10" spans="2:21" s="937" customFormat="1" ht="33" customHeight="1">
      <c r="B10" s="938"/>
      <c r="C10" s="936"/>
      <c r="D10" s="958" t="s">
        <v>260</v>
      </c>
      <c r="E10" s="959"/>
      <c r="F10" s="960"/>
      <c r="G10" s="961"/>
      <c r="I10" s="961"/>
      <c r="J10" s="961"/>
      <c r="K10" s="961"/>
      <c r="L10" s="961"/>
      <c r="M10" s="961"/>
      <c r="N10" s="961"/>
      <c r="O10" s="936"/>
      <c r="P10" s="936"/>
      <c r="Q10" s="936"/>
      <c r="R10" s="936"/>
      <c r="S10" s="936"/>
      <c r="T10" s="936"/>
      <c r="U10" s="962"/>
    </row>
    <row r="11" spans="2:21" s="940" customFormat="1" ht="33" customHeight="1">
      <c r="B11" s="941"/>
      <c r="C11" s="942"/>
      <c r="D11" s="958" t="s">
        <v>269</v>
      </c>
      <c r="E11" s="963"/>
      <c r="F11" s="964"/>
      <c r="G11" s="965"/>
      <c r="H11" s="966"/>
      <c r="I11" s="965"/>
      <c r="J11" s="965"/>
      <c r="K11" s="965"/>
      <c r="L11" s="965"/>
      <c r="M11" s="965"/>
      <c r="N11" s="965"/>
      <c r="O11" s="942"/>
      <c r="P11" s="942"/>
      <c r="Q11" s="942"/>
      <c r="R11" s="942"/>
      <c r="S11" s="942"/>
      <c r="T11" s="942"/>
      <c r="U11" s="967"/>
    </row>
    <row r="12" spans="2:21" s="5" customFormat="1" ht="19.5">
      <c r="B12" s="37" t="str">
        <f>'TOT-1108'!B14</f>
        <v>Desde el 01 al 30 de noviembre de 2008</v>
      </c>
      <c r="C12" s="40"/>
      <c r="D12" s="40"/>
      <c r="E12" s="40"/>
      <c r="F12" s="40"/>
      <c r="G12" s="371"/>
      <c r="H12" s="371"/>
      <c r="I12" s="371"/>
      <c r="J12" s="371"/>
      <c r="K12" s="371"/>
      <c r="L12" s="371"/>
      <c r="M12" s="371"/>
      <c r="N12" s="371"/>
      <c r="O12" s="40"/>
      <c r="P12" s="40"/>
      <c r="Q12" s="40"/>
      <c r="R12" s="40"/>
      <c r="S12" s="40"/>
      <c r="T12" s="40"/>
      <c r="U12" s="372"/>
    </row>
    <row r="13" spans="2:21" s="5" customFormat="1" ht="14.25" thickBot="1">
      <c r="B13" s="373"/>
      <c r="C13" s="374"/>
      <c r="D13" s="374"/>
      <c r="E13" s="374"/>
      <c r="F13" s="374"/>
      <c r="G13" s="375"/>
      <c r="H13" s="375"/>
      <c r="I13" s="375"/>
      <c r="J13" s="375"/>
      <c r="K13" s="375"/>
      <c r="L13" s="375"/>
      <c r="M13" s="375"/>
      <c r="N13" s="375"/>
      <c r="O13" s="374"/>
      <c r="P13" s="374"/>
      <c r="Q13" s="374"/>
      <c r="R13" s="374"/>
      <c r="S13" s="374"/>
      <c r="T13" s="374"/>
      <c r="U13" s="376"/>
    </row>
    <row r="14" spans="2:21" s="5" customFormat="1" ht="15" thickBot="1" thickTop="1">
      <c r="B14" s="50"/>
      <c r="C14" s="4"/>
      <c r="D14" s="377"/>
      <c r="E14" s="377"/>
      <c r="F14" s="118" t="s">
        <v>87</v>
      </c>
      <c r="G14" s="4"/>
      <c r="H14" s="52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6"/>
    </row>
    <row r="15" spans="2:21" s="5" customFormat="1" ht="16.5" customHeight="1" thickBot="1" thickTop="1">
      <c r="B15" s="50"/>
      <c r="C15" s="4"/>
      <c r="D15" s="378" t="s">
        <v>88</v>
      </c>
      <c r="E15" s="379">
        <v>23.525</v>
      </c>
      <c r="F15" s="380">
        <v>200</v>
      </c>
      <c r="T15" s="116"/>
      <c r="U15" s="6"/>
    </row>
    <row r="16" spans="2:21" s="5" customFormat="1" ht="16.5" customHeight="1" thickBot="1" thickTop="1">
      <c r="B16" s="50"/>
      <c r="C16" s="4"/>
      <c r="D16" s="381" t="s">
        <v>89</v>
      </c>
      <c r="E16" s="382">
        <v>18.82</v>
      </c>
      <c r="F16" s="380">
        <v>100</v>
      </c>
      <c r="M16" s="4"/>
      <c r="N16" s="4"/>
      <c r="O16" s="4"/>
      <c r="P16" s="4"/>
      <c r="Q16" s="4"/>
      <c r="R16" s="4"/>
      <c r="S16" s="4"/>
      <c r="T16" s="4"/>
      <c r="U16" s="6"/>
    </row>
    <row r="17" spans="2:21" s="5" customFormat="1" ht="16.5" customHeight="1" thickBot="1" thickTop="1">
      <c r="B17" s="50"/>
      <c r="C17" s="4"/>
      <c r="D17" s="383" t="s">
        <v>90</v>
      </c>
      <c r="E17" s="434">
        <v>18.82</v>
      </c>
      <c r="F17" s="380">
        <v>40</v>
      </c>
      <c r="M17" s="4"/>
      <c r="O17" s="4"/>
      <c r="P17" s="4"/>
      <c r="Q17" s="4"/>
      <c r="R17" s="4"/>
      <c r="S17" s="4"/>
      <c r="T17" s="4"/>
      <c r="U17" s="6"/>
    </row>
    <row r="18" spans="2:21" s="5" customFormat="1" ht="16.5" customHeight="1" thickBot="1" thickTop="1">
      <c r="B18" s="50"/>
      <c r="C18" s="384"/>
      <c r="D18" s="385"/>
      <c r="E18" s="385"/>
      <c r="F18" s="386"/>
      <c r="G18" s="387"/>
      <c r="H18" s="387"/>
      <c r="I18" s="387"/>
      <c r="J18" s="387"/>
      <c r="K18" s="387"/>
      <c r="L18" s="387"/>
      <c r="M18" s="387"/>
      <c r="N18" s="388"/>
      <c r="O18" s="389"/>
      <c r="P18" s="390"/>
      <c r="Q18" s="390"/>
      <c r="R18" s="390"/>
      <c r="S18" s="391"/>
      <c r="T18" s="392"/>
      <c r="U18" s="6"/>
    </row>
    <row r="19" spans="2:21" s="5" customFormat="1" ht="33.75" customHeight="1" thickBot="1" thickTop="1">
      <c r="B19" s="50"/>
      <c r="C19" s="84" t="s">
        <v>13</v>
      </c>
      <c r="D19" s="86" t="s">
        <v>27</v>
      </c>
      <c r="E19" s="393" t="s">
        <v>28</v>
      </c>
      <c r="F19" s="394" t="s">
        <v>14</v>
      </c>
      <c r="G19" s="130" t="s">
        <v>16</v>
      </c>
      <c r="H19" s="85" t="s">
        <v>17</v>
      </c>
      <c r="I19" s="393" t="s">
        <v>18</v>
      </c>
      <c r="J19" s="395" t="s">
        <v>36</v>
      </c>
      <c r="K19" s="395" t="s">
        <v>31</v>
      </c>
      <c r="L19" s="88" t="s">
        <v>19</v>
      </c>
      <c r="M19" s="183" t="s">
        <v>32</v>
      </c>
      <c r="N19" s="136" t="s">
        <v>37</v>
      </c>
      <c r="O19" s="396" t="s">
        <v>71</v>
      </c>
      <c r="P19" s="184" t="s">
        <v>35</v>
      </c>
      <c r="Q19" s="397"/>
      <c r="R19" s="135" t="s">
        <v>22</v>
      </c>
      <c r="S19" s="133" t="s">
        <v>80</v>
      </c>
      <c r="T19" s="122" t="s">
        <v>24</v>
      </c>
      <c r="U19" s="6"/>
    </row>
    <row r="20" spans="2:21" s="5" customFormat="1" ht="16.5" customHeight="1" thickTop="1">
      <c r="B20" s="50"/>
      <c r="C20" s="7"/>
      <c r="D20" s="398"/>
      <c r="E20" s="398"/>
      <c r="F20" s="398"/>
      <c r="G20" s="232"/>
      <c r="H20" s="398"/>
      <c r="I20" s="398"/>
      <c r="J20" s="398"/>
      <c r="K20" s="398"/>
      <c r="L20" s="398"/>
      <c r="M20" s="398"/>
      <c r="N20" s="399"/>
      <c r="O20" s="400"/>
      <c r="P20" s="401"/>
      <c r="Q20" s="402"/>
      <c r="R20" s="403"/>
      <c r="S20" s="398"/>
      <c r="T20" s="404"/>
      <c r="U20" s="6"/>
    </row>
    <row r="21" spans="2:21" s="5" customFormat="1" ht="16.5" customHeight="1">
      <c r="B21" s="50"/>
      <c r="C21" s="289"/>
      <c r="D21" s="405"/>
      <c r="E21" s="405"/>
      <c r="F21" s="405"/>
      <c r="G21" s="406"/>
      <c r="H21" s="405"/>
      <c r="I21" s="405"/>
      <c r="J21" s="405"/>
      <c r="K21" s="405"/>
      <c r="L21" s="405"/>
      <c r="M21" s="405"/>
      <c r="N21" s="407"/>
      <c r="O21" s="408"/>
      <c r="P21" s="196"/>
      <c r="Q21" s="409"/>
      <c r="R21" s="410"/>
      <c r="S21" s="405"/>
      <c r="T21" s="411"/>
      <c r="U21" s="6"/>
    </row>
    <row r="22" spans="2:21" s="5" customFormat="1" ht="16.5" customHeight="1">
      <c r="B22" s="50"/>
      <c r="C22" s="157">
        <v>104</v>
      </c>
      <c r="D22" s="412" t="s">
        <v>350</v>
      </c>
      <c r="E22" s="412" t="s">
        <v>351</v>
      </c>
      <c r="F22" s="413">
        <v>132</v>
      </c>
      <c r="G22" s="131">
        <f aca="true" t="shared" si="0" ref="G22:G41">IF(F22=500,$E$15,IF(F22=220,$E$16,$E$17))</f>
        <v>18.82</v>
      </c>
      <c r="H22" s="414">
        <v>39754.34375</v>
      </c>
      <c r="I22" s="153">
        <v>39754.79305555556</v>
      </c>
      <c r="J22" s="415">
        <f aca="true" t="shared" si="1" ref="J22:J41">IF(D22="","",(I22-H22)*24)</f>
        <v>10.78333333338378</v>
      </c>
      <c r="K22" s="416">
        <f aca="true" t="shared" si="2" ref="K22:K41">IF(D22="","",ROUND((I22-H22)*24*60,0))</f>
        <v>647</v>
      </c>
      <c r="L22" s="234" t="s">
        <v>251</v>
      </c>
      <c r="M22" s="155" t="str">
        <f aca="true" t="shared" si="3" ref="M22:M41">IF(D22="","",IF(L22="P","--","NO"))</f>
        <v>--</v>
      </c>
      <c r="N22" s="417">
        <f aca="true" t="shared" si="4" ref="N22:N41">IF(F22=500,$F$15,IF(F22=220,$F$16,$F$17))</f>
        <v>40</v>
      </c>
      <c r="O22" s="418">
        <f aca="true" t="shared" si="5" ref="O22:O41">IF(L22="P",G22*N22*ROUND(K22/60,2)*0.1,"--")</f>
        <v>811.5183999999999</v>
      </c>
      <c r="P22" s="419" t="str">
        <f aca="true" t="shared" si="6" ref="P22:P41">IF(AND(L22="F",M22="NO"),G22*N22,"--")</f>
        <v>--</v>
      </c>
      <c r="Q22" s="420" t="str">
        <f aca="true" t="shared" si="7" ref="Q22:Q41">IF(L22="F",G22*N22*ROUND(K22/60,2),"--")</f>
        <v>--</v>
      </c>
      <c r="R22" s="162" t="str">
        <f aca="true" t="shared" si="8" ref="R22:R41">IF(L22="RF",G22*N22*ROUND(K22/60,2),"--")</f>
        <v>--</v>
      </c>
      <c r="S22" s="155" t="str">
        <f aca="true" t="shared" si="9" ref="S22:S41">IF(D22="","","SI")</f>
        <v>SI</v>
      </c>
      <c r="T22" s="421">
        <f aca="true" t="shared" si="10" ref="T22:T41">IF(D22="","",SUM(O22:R22)*IF(S22="SI",1,2))</f>
        <v>811.5183999999999</v>
      </c>
      <c r="U22" s="6"/>
    </row>
    <row r="23" spans="2:21" s="5" customFormat="1" ht="16.5" customHeight="1">
      <c r="B23" s="50"/>
      <c r="C23" s="289">
        <v>105</v>
      </c>
      <c r="D23" s="412" t="s">
        <v>352</v>
      </c>
      <c r="E23" s="412" t="s">
        <v>353</v>
      </c>
      <c r="F23" s="413">
        <v>132</v>
      </c>
      <c r="G23" s="131">
        <f t="shared" si="0"/>
        <v>18.82</v>
      </c>
      <c r="H23" s="414">
        <v>39755.4125</v>
      </c>
      <c r="I23" s="153">
        <v>39755.728472222225</v>
      </c>
      <c r="J23" s="415">
        <f t="shared" si="1"/>
        <v>7.583333333430346</v>
      </c>
      <c r="K23" s="416">
        <f t="shared" si="2"/>
        <v>455</v>
      </c>
      <c r="L23" s="234" t="s">
        <v>251</v>
      </c>
      <c r="M23" s="155" t="str">
        <f t="shared" si="3"/>
        <v>--</v>
      </c>
      <c r="N23" s="417">
        <f t="shared" si="4"/>
        <v>40</v>
      </c>
      <c r="O23" s="418">
        <f t="shared" si="5"/>
        <v>570.6224000000001</v>
      </c>
      <c r="P23" s="419" t="str">
        <f t="shared" si="6"/>
        <v>--</v>
      </c>
      <c r="Q23" s="420" t="str">
        <f t="shared" si="7"/>
        <v>--</v>
      </c>
      <c r="R23" s="162" t="str">
        <f t="shared" si="8"/>
        <v>--</v>
      </c>
      <c r="S23" s="155" t="str">
        <f t="shared" si="9"/>
        <v>SI</v>
      </c>
      <c r="T23" s="421">
        <f t="shared" si="10"/>
        <v>570.6224000000001</v>
      </c>
      <c r="U23" s="6"/>
    </row>
    <row r="24" spans="2:21" s="5" customFormat="1" ht="16.5" customHeight="1">
      <c r="B24" s="50"/>
      <c r="C24" s="157">
        <v>106</v>
      </c>
      <c r="D24" s="412" t="s">
        <v>352</v>
      </c>
      <c r="E24" s="412" t="s">
        <v>354</v>
      </c>
      <c r="F24" s="413">
        <v>132</v>
      </c>
      <c r="G24" s="131">
        <f t="shared" si="0"/>
        <v>18.82</v>
      </c>
      <c r="H24" s="414">
        <v>39759.254166666666</v>
      </c>
      <c r="I24" s="153">
        <v>39759.32361111111</v>
      </c>
      <c r="J24" s="415">
        <f t="shared" si="1"/>
        <v>1.6666666666860692</v>
      </c>
      <c r="K24" s="416">
        <f t="shared" si="2"/>
        <v>100</v>
      </c>
      <c r="L24" s="234" t="s">
        <v>251</v>
      </c>
      <c r="M24" s="155" t="str">
        <f t="shared" si="3"/>
        <v>--</v>
      </c>
      <c r="N24" s="417">
        <f t="shared" si="4"/>
        <v>40</v>
      </c>
      <c r="O24" s="418">
        <f t="shared" si="5"/>
        <v>125.7176</v>
      </c>
      <c r="P24" s="419" t="str">
        <f t="shared" si="6"/>
        <v>--</v>
      </c>
      <c r="Q24" s="420" t="str">
        <f t="shared" si="7"/>
        <v>--</v>
      </c>
      <c r="R24" s="162" t="str">
        <f t="shared" si="8"/>
        <v>--</v>
      </c>
      <c r="S24" s="155" t="str">
        <f t="shared" si="9"/>
        <v>SI</v>
      </c>
      <c r="T24" s="421">
        <f t="shared" si="10"/>
        <v>125.7176</v>
      </c>
      <c r="U24" s="6"/>
    </row>
    <row r="25" spans="2:21" s="5" customFormat="1" ht="16.5" customHeight="1">
      <c r="B25" s="50"/>
      <c r="C25" s="289">
        <v>107</v>
      </c>
      <c r="D25" s="412" t="s">
        <v>342</v>
      </c>
      <c r="E25" s="412" t="s">
        <v>355</v>
      </c>
      <c r="F25" s="413">
        <v>132</v>
      </c>
      <c r="G25" s="131">
        <f t="shared" si="0"/>
        <v>18.82</v>
      </c>
      <c r="H25" s="414">
        <v>39763.38055555556</v>
      </c>
      <c r="I25" s="153">
        <v>39763.57638888889</v>
      </c>
      <c r="J25" s="415">
        <f t="shared" si="1"/>
        <v>4.699999999953434</v>
      </c>
      <c r="K25" s="416">
        <f t="shared" si="2"/>
        <v>282</v>
      </c>
      <c r="L25" s="234" t="s">
        <v>251</v>
      </c>
      <c r="M25" s="155" t="str">
        <f t="shared" si="3"/>
        <v>--</v>
      </c>
      <c r="N25" s="417">
        <f t="shared" si="4"/>
        <v>40</v>
      </c>
      <c r="O25" s="418">
        <f t="shared" si="5"/>
        <v>353.81600000000003</v>
      </c>
      <c r="P25" s="419" t="str">
        <f t="shared" si="6"/>
        <v>--</v>
      </c>
      <c r="Q25" s="420" t="str">
        <f t="shared" si="7"/>
        <v>--</v>
      </c>
      <c r="R25" s="162" t="str">
        <f t="shared" si="8"/>
        <v>--</v>
      </c>
      <c r="S25" s="155" t="str">
        <f t="shared" si="9"/>
        <v>SI</v>
      </c>
      <c r="T25" s="421">
        <f t="shared" si="10"/>
        <v>353.81600000000003</v>
      </c>
      <c r="U25" s="6"/>
    </row>
    <row r="26" spans="2:21" s="5" customFormat="1" ht="16.5" customHeight="1">
      <c r="B26" s="50"/>
      <c r="C26" s="157">
        <v>108</v>
      </c>
      <c r="D26" s="412" t="s">
        <v>342</v>
      </c>
      <c r="E26" s="412" t="s">
        <v>356</v>
      </c>
      <c r="F26" s="413">
        <v>132</v>
      </c>
      <c r="G26" s="131">
        <f t="shared" si="0"/>
        <v>18.82</v>
      </c>
      <c r="H26" s="414">
        <v>39767.43958333333</v>
      </c>
      <c r="I26" s="153">
        <v>39767.75625</v>
      </c>
      <c r="J26" s="415">
        <f t="shared" si="1"/>
        <v>7.599999999976717</v>
      </c>
      <c r="K26" s="416">
        <f t="shared" si="2"/>
        <v>456</v>
      </c>
      <c r="L26" s="234" t="s">
        <v>251</v>
      </c>
      <c r="M26" s="155" t="str">
        <f t="shared" si="3"/>
        <v>--</v>
      </c>
      <c r="N26" s="417">
        <f t="shared" si="4"/>
        <v>40</v>
      </c>
      <c r="O26" s="418">
        <f t="shared" si="5"/>
        <v>572.128</v>
      </c>
      <c r="P26" s="419" t="str">
        <f t="shared" si="6"/>
        <v>--</v>
      </c>
      <c r="Q26" s="420" t="str">
        <f t="shared" si="7"/>
        <v>--</v>
      </c>
      <c r="R26" s="162" t="str">
        <f t="shared" si="8"/>
        <v>--</v>
      </c>
      <c r="S26" s="155" t="str">
        <f t="shared" si="9"/>
        <v>SI</v>
      </c>
      <c r="T26" s="421">
        <f t="shared" si="10"/>
        <v>572.128</v>
      </c>
      <c r="U26" s="6"/>
    </row>
    <row r="27" spans="2:21" s="5" customFormat="1" ht="16.5" customHeight="1">
      <c r="B27" s="50"/>
      <c r="C27" s="289">
        <v>109</v>
      </c>
      <c r="D27" s="412" t="s">
        <v>342</v>
      </c>
      <c r="E27" s="412" t="s">
        <v>357</v>
      </c>
      <c r="F27" s="413">
        <v>132</v>
      </c>
      <c r="G27" s="131">
        <f t="shared" si="0"/>
        <v>18.82</v>
      </c>
      <c r="H27" s="414">
        <v>39769.34722222222</v>
      </c>
      <c r="I27" s="153">
        <v>39769.77847222222</v>
      </c>
      <c r="J27" s="415">
        <f t="shared" si="1"/>
        <v>10.350000000034925</v>
      </c>
      <c r="K27" s="416">
        <f t="shared" si="2"/>
        <v>621</v>
      </c>
      <c r="L27" s="234" t="s">
        <v>251</v>
      </c>
      <c r="M27" s="155" t="str">
        <f t="shared" si="3"/>
        <v>--</v>
      </c>
      <c r="N27" s="417">
        <f t="shared" si="4"/>
        <v>40</v>
      </c>
      <c r="O27" s="418">
        <f t="shared" si="5"/>
        <v>779.148</v>
      </c>
      <c r="P27" s="419" t="str">
        <f t="shared" si="6"/>
        <v>--</v>
      </c>
      <c r="Q27" s="420" t="str">
        <f t="shared" si="7"/>
        <v>--</v>
      </c>
      <c r="R27" s="162" t="str">
        <f t="shared" si="8"/>
        <v>--</v>
      </c>
      <c r="S27" s="155" t="str">
        <f t="shared" si="9"/>
        <v>SI</v>
      </c>
      <c r="T27" s="421">
        <f t="shared" si="10"/>
        <v>779.148</v>
      </c>
      <c r="U27" s="6"/>
    </row>
    <row r="28" spans="2:21" s="5" customFormat="1" ht="16.5" customHeight="1">
      <c r="B28" s="50"/>
      <c r="C28" s="157">
        <v>110</v>
      </c>
      <c r="D28" s="412" t="s">
        <v>352</v>
      </c>
      <c r="E28" s="412" t="s">
        <v>358</v>
      </c>
      <c r="F28" s="413">
        <v>132</v>
      </c>
      <c r="G28" s="131">
        <f t="shared" si="0"/>
        <v>18.82</v>
      </c>
      <c r="H28" s="414">
        <v>39770.38125</v>
      </c>
      <c r="I28" s="153">
        <v>39770.64444444444</v>
      </c>
      <c r="J28" s="415">
        <f t="shared" si="1"/>
        <v>6.316666666651145</v>
      </c>
      <c r="K28" s="416">
        <f t="shared" si="2"/>
        <v>379</v>
      </c>
      <c r="L28" s="234" t="s">
        <v>251</v>
      </c>
      <c r="M28" s="155" t="str">
        <f t="shared" si="3"/>
        <v>--</v>
      </c>
      <c r="N28" s="417">
        <f t="shared" si="4"/>
        <v>40</v>
      </c>
      <c r="O28" s="418">
        <f t="shared" si="5"/>
        <v>475.7696</v>
      </c>
      <c r="P28" s="419" t="str">
        <f t="shared" si="6"/>
        <v>--</v>
      </c>
      <c r="Q28" s="420" t="str">
        <f t="shared" si="7"/>
        <v>--</v>
      </c>
      <c r="R28" s="162" t="str">
        <f t="shared" si="8"/>
        <v>--</v>
      </c>
      <c r="S28" s="155" t="str">
        <f t="shared" si="9"/>
        <v>SI</v>
      </c>
      <c r="T28" s="421">
        <f t="shared" si="10"/>
        <v>475.7696</v>
      </c>
      <c r="U28" s="6"/>
    </row>
    <row r="29" spans="2:21" s="5" customFormat="1" ht="16.5" customHeight="1">
      <c r="B29" s="50"/>
      <c r="C29" s="289">
        <v>111</v>
      </c>
      <c r="D29" s="412" t="s">
        <v>352</v>
      </c>
      <c r="E29" s="412" t="s">
        <v>359</v>
      </c>
      <c r="F29" s="413">
        <v>132</v>
      </c>
      <c r="G29" s="131">
        <f t="shared" si="0"/>
        <v>18.82</v>
      </c>
      <c r="H29" s="414">
        <v>39776.00208333333</v>
      </c>
      <c r="I29" s="153">
        <v>39776.15902777778</v>
      </c>
      <c r="J29" s="415">
        <f t="shared" si="1"/>
        <v>3.766666666720994</v>
      </c>
      <c r="K29" s="416">
        <f t="shared" si="2"/>
        <v>226</v>
      </c>
      <c r="L29" s="234" t="s">
        <v>279</v>
      </c>
      <c r="M29" s="155" t="s">
        <v>248</v>
      </c>
      <c r="N29" s="417">
        <f t="shared" si="4"/>
        <v>40</v>
      </c>
      <c r="O29" s="418" t="str">
        <f t="shared" si="5"/>
        <v>--</v>
      </c>
      <c r="P29" s="419" t="str">
        <f t="shared" si="6"/>
        <v>--</v>
      </c>
      <c r="Q29" s="420">
        <f t="shared" si="7"/>
        <v>2838.056</v>
      </c>
      <c r="R29" s="162" t="str">
        <f t="shared" si="8"/>
        <v>--</v>
      </c>
      <c r="S29" s="155" t="str">
        <f t="shared" si="9"/>
        <v>SI</v>
      </c>
      <c r="T29" s="421">
        <f t="shared" si="10"/>
        <v>2838.056</v>
      </c>
      <c r="U29" s="6"/>
    </row>
    <row r="30" spans="2:21" s="5" customFormat="1" ht="16.5" customHeight="1">
      <c r="B30" s="50"/>
      <c r="C30" s="157">
        <v>112</v>
      </c>
      <c r="D30" s="412" t="s">
        <v>352</v>
      </c>
      <c r="E30" s="412" t="s">
        <v>360</v>
      </c>
      <c r="F30" s="413">
        <v>132</v>
      </c>
      <c r="G30" s="131">
        <f t="shared" si="0"/>
        <v>18.82</v>
      </c>
      <c r="H30" s="414">
        <v>39776.459027777775</v>
      </c>
      <c r="I30" s="153">
        <v>39776.65277777778</v>
      </c>
      <c r="J30" s="415">
        <f t="shared" si="1"/>
        <v>4.650000000139698</v>
      </c>
      <c r="K30" s="416">
        <f t="shared" si="2"/>
        <v>279</v>
      </c>
      <c r="L30" s="234" t="s">
        <v>251</v>
      </c>
      <c r="M30" s="155" t="str">
        <f t="shared" si="3"/>
        <v>--</v>
      </c>
      <c r="N30" s="417">
        <f t="shared" si="4"/>
        <v>40</v>
      </c>
      <c r="O30" s="418">
        <f t="shared" si="5"/>
        <v>350.052</v>
      </c>
      <c r="P30" s="419" t="str">
        <f t="shared" si="6"/>
        <v>--</v>
      </c>
      <c r="Q30" s="420" t="str">
        <f t="shared" si="7"/>
        <v>--</v>
      </c>
      <c r="R30" s="162" t="str">
        <f t="shared" si="8"/>
        <v>--</v>
      </c>
      <c r="S30" s="155" t="str">
        <f t="shared" si="9"/>
        <v>SI</v>
      </c>
      <c r="T30" s="421">
        <f t="shared" si="10"/>
        <v>350.052</v>
      </c>
      <c r="U30" s="6"/>
    </row>
    <row r="31" spans="2:21" s="5" customFormat="1" ht="16.5" customHeight="1">
      <c r="B31" s="50"/>
      <c r="C31" s="289">
        <v>113</v>
      </c>
      <c r="D31" s="412" t="s">
        <v>342</v>
      </c>
      <c r="E31" s="412" t="s">
        <v>361</v>
      </c>
      <c r="F31" s="413">
        <v>132</v>
      </c>
      <c r="G31" s="131">
        <f t="shared" si="0"/>
        <v>18.82</v>
      </c>
      <c r="H31" s="414">
        <v>39778.37569444445</v>
      </c>
      <c r="I31" s="153">
        <v>39778.75347222222</v>
      </c>
      <c r="J31" s="415">
        <f t="shared" si="1"/>
        <v>9.06666666653473</v>
      </c>
      <c r="K31" s="416">
        <f t="shared" si="2"/>
        <v>544</v>
      </c>
      <c r="L31" s="234" t="s">
        <v>251</v>
      </c>
      <c r="M31" s="155" t="str">
        <f t="shared" si="3"/>
        <v>--</v>
      </c>
      <c r="N31" s="417">
        <f t="shared" si="4"/>
        <v>40</v>
      </c>
      <c r="O31" s="418">
        <f t="shared" si="5"/>
        <v>682.7896000000001</v>
      </c>
      <c r="P31" s="419" t="str">
        <f t="shared" si="6"/>
        <v>--</v>
      </c>
      <c r="Q31" s="420" t="str">
        <f t="shared" si="7"/>
        <v>--</v>
      </c>
      <c r="R31" s="162" t="str">
        <f t="shared" si="8"/>
        <v>--</v>
      </c>
      <c r="S31" s="155" t="str">
        <f t="shared" si="9"/>
        <v>SI</v>
      </c>
      <c r="T31" s="421">
        <f t="shared" si="10"/>
        <v>682.7896000000001</v>
      </c>
      <c r="U31" s="6"/>
    </row>
    <row r="32" spans="2:21" s="5" customFormat="1" ht="16.5" customHeight="1">
      <c r="B32" s="50"/>
      <c r="C32" s="157"/>
      <c r="D32" s="412"/>
      <c r="E32" s="412"/>
      <c r="F32" s="413"/>
      <c r="G32" s="131">
        <f t="shared" si="0"/>
        <v>18.82</v>
      </c>
      <c r="H32" s="414"/>
      <c r="I32" s="153"/>
      <c r="J32" s="415">
        <f t="shared" si="1"/>
      </c>
      <c r="K32" s="416">
        <f t="shared" si="2"/>
      </c>
      <c r="L32" s="234"/>
      <c r="M32" s="155">
        <f t="shared" si="3"/>
      </c>
      <c r="N32" s="417">
        <f t="shared" si="4"/>
        <v>40</v>
      </c>
      <c r="O32" s="418" t="str">
        <f t="shared" si="5"/>
        <v>--</v>
      </c>
      <c r="P32" s="419" t="str">
        <f t="shared" si="6"/>
        <v>--</v>
      </c>
      <c r="Q32" s="420" t="str">
        <f t="shared" si="7"/>
        <v>--</v>
      </c>
      <c r="R32" s="162" t="str">
        <f t="shared" si="8"/>
        <v>--</v>
      </c>
      <c r="S32" s="155">
        <f t="shared" si="9"/>
      </c>
      <c r="T32" s="421">
        <f t="shared" si="10"/>
      </c>
      <c r="U32" s="6"/>
    </row>
    <row r="33" spans="2:21" s="5" customFormat="1" ht="16.5" customHeight="1">
      <c r="B33" s="50"/>
      <c r="C33" s="289"/>
      <c r="D33" s="412"/>
      <c r="E33" s="412"/>
      <c r="F33" s="413"/>
      <c r="G33" s="131">
        <f t="shared" si="0"/>
        <v>18.82</v>
      </c>
      <c r="H33" s="414"/>
      <c r="I33" s="153"/>
      <c r="J33" s="415">
        <f t="shared" si="1"/>
      </c>
      <c r="K33" s="416">
        <f t="shared" si="2"/>
      </c>
      <c r="L33" s="234"/>
      <c r="M33" s="155">
        <f t="shared" si="3"/>
      </c>
      <c r="N33" s="417">
        <f t="shared" si="4"/>
        <v>40</v>
      </c>
      <c r="O33" s="418" t="str">
        <f t="shared" si="5"/>
        <v>--</v>
      </c>
      <c r="P33" s="419" t="str">
        <f t="shared" si="6"/>
        <v>--</v>
      </c>
      <c r="Q33" s="420" t="str">
        <f t="shared" si="7"/>
        <v>--</v>
      </c>
      <c r="R33" s="162" t="str">
        <f t="shared" si="8"/>
        <v>--</v>
      </c>
      <c r="S33" s="155">
        <f t="shared" si="9"/>
      </c>
      <c r="T33" s="421">
        <f t="shared" si="10"/>
      </c>
      <c r="U33" s="6"/>
    </row>
    <row r="34" spans="2:21" s="5" customFormat="1" ht="16.5" customHeight="1">
      <c r="B34" s="50"/>
      <c r="C34" s="157"/>
      <c r="D34" s="412"/>
      <c r="E34" s="412"/>
      <c r="F34" s="413"/>
      <c r="G34" s="131">
        <f t="shared" si="0"/>
        <v>18.82</v>
      </c>
      <c r="H34" s="414"/>
      <c r="I34" s="153"/>
      <c r="J34" s="415">
        <f t="shared" si="1"/>
      </c>
      <c r="K34" s="416">
        <f t="shared" si="2"/>
      </c>
      <c r="L34" s="234"/>
      <c r="M34" s="155">
        <f t="shared" si="3"/>
      </c>
      <c r="N34" s="417">
        <f t="shared" si="4"/>
        <v>40</v>
      </c>
      <c r="O34" s="418" t="str">
        <f t="shared" si="5"/>
        <v>--</v>
      </c>
      <c r="P34" s="419" t="str">
        <f t="shared" si="6"/>
        <v>--</v>
      </c>
      <c r="Q34" s="420" t="str">
        <f t="shared" si="7"/>
        <v>--</v>
      </c>
      <c r="R34" s="162" t="str">
        <f t="shared" si="8"/>
        <v>--</v>
      </c>
      <c r="S34" s="155">
        <f t="shared" si="9"/>
      </c>
      <c r="T34" s="421">
        <f t="shared" si="10"/>
      </c>
      <c r="U34" s="6"/>
    </row>
    <row r="35" spans="2:21" s="5" customFormat="1" ht="16.5" customHeight="1">
      <c r="B35" s="50"/>
      <c r="C35" s="289"/>
      <c r="D35" s="412"/>
      <c r="E35" s="412"/>
      <c r="F35" s="413"/>
      <c r="G35" s="131">
        <f t="shared" si="0"/>
        <v>18.82</v>
      </c>
      <c r="H35" s="414"/>
      <c r="I35" s="153"/>
      <c r="J35" s="415">
        <f t="shared" si="1"/>
      </c>
      <c r="K35" s="416">
        <f t="shared" si="2"/>
      </c>
      <c r="L35" s="234"/>
      <c r="M35" s="155">
        <f t="shared" si="3"/>
      </c>
      <c r="N35" s="417">
        <f t="shared" si="4"/>
        <v>40</v>
      </c>
      <c r="O35" s="418" t="str">
        <f t="shared" si="5"/>
        <v>--</v>
      </c>
      <c r="P35" s="419" t="str">
        <f t="shared" si="6"/>
        <v>--</v>
      </c>
      <c r="Q35" s="420" t="str">
        <f t="shared" si="7"/>
        <v>--</v>
      </c>
      <c r="R35" s="162" t="str">
        <f t="shared" si="8"/>
        <v>--</v>
      </c>
      <c r="S35" s="155">
        <f t="shared" si="9"/>
      </c>
      <c r="T35" s="421">
        <f t="shared" si="10"/>
      </c>
      <c r="U35" s="6"/>
    </row>
    <row r="36" spans="2:21" s="5" customFormat="1" ht="16.5" customHeight="1">
      <c r="B36" s="50"/>
      <c r="C36" s="157"/>
      <c r="D36" s="412"/>
      <c r="E36" s="412"/>
      <c r="F36" s="413"/>
      <c r="G36" s="131">
        <f t="shared" si="0"/>
        <v>18.82</v>
      </c>
      <c r="H36" s="414"/>
      <c r="I36" s="153"/>
      <c r="J36" s="415">
        <f t="shared" si="1"/>
      </c>
      <c r="K36" s="416">
        <f t="shared" si="2"/>
      </c>
      <c r="L36" s="234"/>
      <c r="M36" s="155">
        <f t="shared" si="3"/>
      </c>
      <c r="N36" s="417">
        <f t="shared" si="4"/>
        <v>40</v>
      </c>
      <c r="O36" s="418" t="str">
        <f t="shared" si="5"/>
        <v>--</v>
      </c>
      <c r="P36" s="419" t="str">
        <f t="shared" si="6"/>
        <v>--</v>
      </c>
      <c r="Q36" s="420" t="str">
        <f t="shared" si="7"/>
        <v>--</v>
      </c>
      <c r="R36" s="162" t="str">
        <f t="shared" si="8"/>
        <v>--</v>
      </c>
      <c r="S36" s="155">
        <f t="shared" si="9"/>
      </c>
      <c r="T36" s="421">
        <f t="shared" si="10"/>
      </c>
      <c r="U36" s="6"/>
    </row>
    <row r="37" spans="2:21" s="5" customFormat="1" ht="16.5" customHeight="1">
      <c r="B37" s="50"/>
      <c r="C37" s="289"/>
      <c r="D37" s="412"/>
      <c r="E37" s="412"/>
      <c r="F37" s="413"/>
      <c r="G37" s="131">
        <f t="shared" si="0"/>
        <v>18.82</v>
      </c>
      <c r="H37" s="414"/>
      <c r="I37" s="153"/>
      <c r="J37" s="415">
        <f t="shared" si="1"/>
      </c>
      <c r="K37" s="416">
        <f t="shared" si="2"/>
      </c>
      <c r="L37" s="234"/>
      <c r="M37" s="155">
        <f t="shared" si="3"/>
      </c>
      <c r="N37" s="417">
        <f t="shared" si="4"/>
        <v>40</v>
      </c>
      <c r="O37" s="418" t="str">
        <f t="shared" si="5"/>
        <v>--</v>
      </c>
      <c r="P37" s="419" t="str">
        <f t="shared" si="6"/>
        <v>--</v>
      </c>
      <c r="Q37" s="420" t="str">
        <f t="shared" si="7"/>
        <v>--</v>
      </c>
      <c r="R37" s="162" t="str">
        <f t="shared" si="8"/>
        <v>--</v>
      </c>
      <c r="S37" s="155">
        <f t="shared" si="9"/>
      </c>
      <c r="T37" s="421">
        <f t="shared" si="10"/>
      </c>
      <c r="U37" s="6"/>
    </row>
    <row r="38" spans="2:21" s="5" customFormat="1" ht="16.5" customHeight="1">
      <c r="B38" s="50"/>
      <c r="C38" s="157"/>
      <c r="D38" s="412"/>
      <c r="E38" s="412"/>
      <c r="F38" s="413"/>
      <c r="G38" s="131">
        <f t="shared" si="0"/>
        <v>18.82</v>
      </c>
      <c r="H38" s="414"/>
      <c r="I38" s="153"/>
      <c r="J38" s="415">
        <f t="shared" si="1"/>
      </c>
      <c r="K38" s="416">
        <f t="shared" si="2"/>
      </c>
      <c r="L38" s="234"/>
      <c r="M38" s="155">
        <f t="shared" si="3"/>
      </c>
      <c r="N38" s="417">
        <f t="shared" si="4"/>
        <v>40</v>
      </c>
      <c r="O38" s="418" t="str">
        <f t="shared" si="5"/>
        <v>--</v>
      </c>
      <c r="P38" s="419" t="str">
        <f t="shared" si="6"/>
        <v>--</v>
      </c>
      <c r="Q38" s="420" t="str">
        <f t="shared" si="7"/>
        <v>--</v>
      </c>
      <c r="R38" s="162" t="str">
        <f t="shared" si="8"/>
        <v>--</v>
      </c>
      <c r="S38" s="155">
        <f t="shared" si="9"/>
      </c>
      <c r="T38" s="421">
        <f t="shared" si="10"/>
      </c>
      <c r="U38" s="6"/>
    </row>
    <row r="39" spans="2:21" s="5" customFormat="1" ht="16.5" customHeight="1">
      <c r="B39" s="50"/>
      <c r="C39" s="289"/>
      <c r="D39" s="412"/>
      <c r="E39" s="412"/>
      <c r="F39" s="413"/>
      <c r="G39" s="131">
        <f t="shared" si="0"/>
        <v>18.82</v>
      </c>
      <c r="H39" s="414"/>
      <c r="I39" s="153"/>
      <c r="J39" s="415">
        <f t="shared" si="1"/>
      </c>
      <c r="K39" s="416">
        <f t="shared" si="2"/>
      </c>
      <c r="L39" s="234"/>
      <c r="M39" s="155">
        <f t="shared" si="3"/>
      </c>
      <c r="N39" s="417">
        <f t="shared" si="4"/>
        <v>40</v>
      </c>
      <c r="O39" s="418" t="str">
        <f t="shared" si="5"/>
        <v>--</v>
      </c>
      <c r="P39" s="419" t="str">
        <f t="shared" si="6"/>
        <v>--</v>
      </c>
      <c r="Q39" s="420" t="str">
        <f t="shared" si="7"/>
        <v>--</v>
      </c>
      <c r="R39" s="162" t="str">
        <f t="shared" si="8"/>
        <v>--</v>
      </c>
      <c r="S39" s="155">
        <f t="shared" si="9"/>
      </c>
      <c r="T39" s="421">
        <f t="shared" si="10"/>
      </c>
      <c r="U39" s="6"/>
    </row>
    <row r="40" spans="2:21" s="5" customFormat="1" ht="16.5" customHeight="1">
      <c r="B40" s="50"/>
      <c r="C40" s="157"/>
      <c r="D40" s="412"/>
      <c r="E40" s="412"/>
      <c r="F40" s="413"/>
      <c r="G40" s="131">
        <f t="shared" si="0"/>
        <v>18.82</v>
      </c>
      <c r="H40" s="414"/>
      <c r="I40" s="153"/>
      <c r="J40" s="415">
        <f t="shared" si="1"/>
      </c>
      <c r="K40" s="416">
        <f t="shared" si="2"/>
      </c>
      <c r="L40" s="234"/>
      <c r="M40" s="155">
        <f t="shared" si="3"/>
      </c>
      <c r="N40" s="417">
        <f t="shared" si="4"/>
        <v>40</v>
      </c>
      <c r="O40" s="418" t="str">
        <f t="shared" si="5"/>
        <v>--</v>
      </c>
      <c r="P40" s="419" t="str">
        <f t="shared" si="6"/>
        <v>--</v>
      </c>
      <c r="Q40" s="420" t="str">
        <f t="shared" si="7"/>
        <v>--</v>
      </c>
      <c r="R40" s="162" t="str">
        <f t="shared" si="8"/>
        <v>--</v>
      </c>
      <c r="S40" s="155">
        <f t="shared" si="9"/>
      </c>
      <c r="T40" s="421">
        <f t="shared" si="10"/>
      </c>
      <c r="U40" s="6"/>
    </row>
    <row r="41" spans="2:21" s="5" customFormat="1" ht="16.5" customHeight="1">
      <c r="B41" s="50"/>
      <c r="C41" s="289"/>
      <c r="D41" s="412"/>
      <c r="E41" s="412"/>
      <c r="F41" s="413"/>
      <c r="G41" s="131">
        <f t="shared" si="0"/>
        <v>18.82</v>
      </c>
      <c r="H41" s="414"/>
      <c r="I41" s="153"/>
      <c r="J41" s="415">
        <f t="shared" si="1"/>
      </c>
      <c r="K41" s="416">
        <f t="shared" si="2"/>
      </c>
      <c r="L41" s="234"/>
      <c r="M41" s="155">
        <f t="shared" si="3"/>
      </c>
      <c r="N41" s="417">
        <f t="shared" si="4"/>
        <v>40</v>
      </c>
      <c r="O41" s="418" t="str">
        <f t="shared" si="5"/>
        <v>--</v>
      </c>
      <c r="P41" s="419" t="str">
        <f t="shared" si="6"/>
        <v>--</v>
      </c>
      <c r="Q41" s="420" t="str">
        <f t="shared" si="7"/>
        <v>--</v>
      </c>
      <c r="R41" s="162" t="str">
        <f t="shared" si="8"/>
        <v>--</v>
      </c>
      <c r="S41" s="155">
        <f t="shared" si="9"/>
      </c>
      <c r="T41" s="421">
        <f t="shared" si="10"/>
      </c>
      <c r="U41" s="6"/>
    </row>
    <row r="42" spans="2:21" s="5" customFormat="1" ht="16.5" customHeight="1" thickBot="1">
      <c r="B42" s="50"/>
      <c r="C42" s="157"/>
      <c r="D42" s="149"/>
      <c r="E42" s="149"/>
      <c r="F42" s="243"/>
      <c r="G42" s="132"/>
      <c r="H42" s="422"/>
      <c r="I42" s="422"/>
      <c r="J42" s="423"/>
      <c r="K42" s="423"/>
      <c r="L42" s="422"/>
      <c r="M42" s="154"/>
      <c r="N42" s="424"/>
      <c r="O42" s="425"/>
      <c r="P42" s="426"/>
      <c r="Q42" s="427"/>
      <c r="R42" s="164"/>
      <c r="S42" s="154"/>
      <c r="T42" s="428"/>
      <c r="U42" s="6"/>
    </row>
    <row r="43" spans="2:21" s="5" customFormat="1" ht="16.5" customHeight="1" thickBot="1" thickTop="1">
      <c r="B43" s="50"/>
      <c r="C43" s="128" t="s">
        <v>25</v>
      </c>
      <c r="D43" s="129" t="s">
        <v>384</v>
      </c>
      <c r="E43"/>
      <c r="F43" s="4"/>
      <c r="G43" s="4"/>
      <c r="H43" s="4"/>
      <c r="I43" s="4"/>
      <c r="J43" s="4"/>
      <c r="K43" s="4"/>
      <c r="L43" s="4"/>
      <c r="M43" s="4"/>
      <c r="N43" s="4"/>
      <c r="O43" s="429">
        <f>SUM(O20:O42)</f>
        <v>4721.561600000001</v>
      </c>
      <c r="P43" s="430">
        <f>SUM(P20:P42)</f>
        <v>0</v>
      </c>
      <c r="Q43" s="431">
        <f>SUM(Q20:Q42)</f>
        <v>2838.056</v>
      </c>
      <c r="R43" s="432">
        <f>SUM(R20:R42)</f>
        <v>0</v>
      </c>
      <c r="S43" s="433"/>
      <c r="T43" s="101">
        <f>ROUND(SUM(T20:T42),2)</f>
        <v>7559.62</v>
      </c>
      <c r="U43" s="6"/>
    </row>
    <row r="44" spans="2:21" s="5" customFormat="1" ht="16.5" customHeight="1" thickBot="1" thickTop="1">
      <c r="B44" s="74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6"/>
    </row>
    <row r="45" spans="21:23" ht="16.5" customHeight="1" thickTop="1">
      <c r="U45" s="179"/>
      <c r="V45" s="179"/>
      <c r="W45" s="179"/>
    </row>
    <row r="46" spans="21:23" ht="16.5" customHeight="1">
      <c r="U46" s="179"/>
      <c r="V46" s="179"/>
      <c r="W46" s="179"/>
    </row>
    <row r="47" spans="21:23" ht="16.5" customHeight="1">
      <c r="U47" s="179"/>
      <c r="V47" s="179"/>
      <c r="W47" s="179"/>
    </row>
    <row r="48" spans="21:23" ht="16.5" customHeight="1">
      <c r="U48" s="179"/>
      <c r="V48" s="179"/>
      <c r="W48" s="179"/>
    </row>
    <row r="49" spans="21:23" ht="16.5" customHeight="1">
      <c r="U49" s="179"/>
      <c r="V49" s="179"/>
      <c r="W49" s="179"/>
    </row>
    <row r="50" spans="4:23" ht="16.5" customHeight="1"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</row>
    <row r="51" spans="4:23" ht="16.5" customHeight="1"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</row>
    <row r="52" spans="4:23" ht="16.5" customHeight="1"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</row>
    <row r="53" spans="4:23" ht="16.5" customHeight="1"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</row>
    <row r="54" spans="4:23" ht="16.5" customHeight="1"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</row>
    <row r="55" spans="4:23" ht="16.5" customHeight="1"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</row>
    <row r="56" spans="4:23" ht="16.5" customHeight="1"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</row>
    <row r="57" spans="4:23" ht="16.5" customHeight="1"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</row>
    <row r="58" spans="4:23" ht="16.5" customHeight="1"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</row>
    <row r="59" spans="4:23" ht="16.5" customHeight="1"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</row>
    <row r="60" spans="4:23" ht="16.5" customHeight="1"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</row>
    <row r="61" spans="4:23" ht="16.5" customHeight="1"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</row>
    <row r="62" spans="4:23" ht="16.5" customHeight="1"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</row>
    <row r="63" spans="4:23" ht="16.5" customHeight="1"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</row>
    <row r="64" spans="4:23" ht="16.5" customHeight="1"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</row>
    <row r="65" spans="4:23" ht="16.5" customHeight="1"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</row>
    <row r="66" spans="4:23" ht="16.5" customHeight="1"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</row>
    <row r="67" spans="4:23" ht="16.5" customHeight="1"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</row>
    <row r="68" spans="4:23" ht="16.5" customHeight="1"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</row>
    <row r="69" spans="4:23" ht="16.5" customHeight="1"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</row>
    <row r="70" spans="4:23" ht="16.5" customHeight="1"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</row>
    <row r="71" spans="4:23" ht="16.5" customHeight="1"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</row>
    <row r="72" spans="4:23" ht="16.5" customHeight="1"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</row>
    <row r="73" spans="4:23" ht="16.5" customHeight="1"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</row>
    <row r="74" spans="4:23" ht="16.5" customHeight="1"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</row>
    <row r="75" spans="4:23" ht="16.5" customHeight="1"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</row>
    <row r="76" spans="4:23" ht="16.5" customHeight="1"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</row>
    <row r="77" spans="4:23" ht="16.5" customHeight="1"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</row>
    <row r="78" spans="4:23" ht="16.5" customHeight="1"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</row>
    <row r="79" spans="4:23" ht="16.5" customHeight="1"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</row>
    <row r="80" spans="4:23" ht="16.5" customHeight="1"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</row>
    <row r="81" spans="4:23" ht="16.5" customHeight="1"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</row>
    <row r="82" spans="4:23" ht="16.5" customHeight="1"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</row>
    <row r="83" spans="4:23" ht="16.5" customHeight="1"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</row>
    <row r="84" spans="4:23" ht="16.5" customHeight="1"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  <c r="T84" s="179"/>
      <c r="U84" s="179"/>
      <c r="V84" s="179"/>
      <c r="W84" s="179"/>
    </row>
    <row r="85" spans="4:23" ht="16.5" customHeight="1"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</row>
    <row r="86" spans="4:23" ht="16.5" customHeight="1"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  <c r="W86" s="179"/>
    </row>
    <row r="87" spans="4:23" ht="16.5" customHeight="1"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</row>
    <row r="88" spans="4:23" ht="16.5" customHeight="1"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79"/>
    </row>
    <row r="89" spans="4:23" ht="16.5" customHeight="1"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</row>
    <row r="90" spans="4:23" ht="16.5" customHeight="1"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</row>
    <row r="91" spans="4:23" ht="16.5" customHeight="1"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</row>
    <row r="92" spans="4:23" ht="16.5" customHeight="1"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</row>
    <row r="93" spans="4:23" ht="16.5" customHeight="1"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</row>
    <row r="94" spans="4:23" ht="16.5" customHeight="1"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</row>
    <row r="95" spans="4:23" ht="16.5" customHeight="1"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</row>
    <row r="96" spans="4:23" ht="16.5" customHeight="1"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</row>
    <row r="97" spans="4:23" ht="16.5" customHeight="1"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</row>
    <row r="98" spans="4:23" ht="16.5" customHeight="1"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  <c r="S98" s="179"/>
      <c r="T98" s="179"/>
      <c r="U98" s="179"/>
      <c r="V98" s="179"/>
      <c r="W98" s="179"/>
    </row>
    <row r="99" spans="4:23" ht="16.5" customHeight="1"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  <c r="S99" s="179"/>
      <c r="T99" s="179"/>
      <c r="U99" s="179"/>
      <c r="V99" s="179"/>
      <c r="W99" s="179"/>
    </row>
    <row r="100" spans="4:23" ht="16.5" customHeight="1"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179"/>
      <c r="U100" s="179"/>
      <c r="V100" s="179"/>
      <c r="W100" s="179"/>
    </row>
    <row r="101" spans="4:23" ht="16.5" customHeight="1"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  <c r="S101" s="179"/>
      <c r="T101" s="179"/>
      <c r="U101" s="179"/>
      <c r="V101" s="179"/>
      <c r="W101" s="179"/>
    </row>
    <row r="102" spans="4:23" ht="16.5" customHeight="1"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</row>
    <row r="103" spans="4:23" ht="16.5" customHeight="1"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  <c r="S103" s="179"/>
      <c r="T103" s="179"/>
      <c r="U103" s="179"/>
      <c r="V103" s="179"/>
      <c r="W103" s="179"/>
    </row>
    <row r="104" spans="4:23" ht="16.5" customHeight="1"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179"/>
      <c r="U104" s="179"/>
      <c r="V104" s="179"/>
      <c r="W104" s="179"/>
    </row>
    <row r="105" spans="4:23" ht="16.5" customHeight="1"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  <c r="S105" s="179"/>
      <c r="T105" s="179"/>
      <c r="U105" s="179"/>
      <c r="V105" s="179"/>
      <c r="W105" s="179"/>
    </row>
    <row r="106" spans="4:23" ht="16.5" customHeight="1"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T106" s="179"/>
      <c r="U106" s="179"/>
      <c r="V106" s="179"/>
      <c r="W106" s="179"/>
    </row>
    <row r="107" spans="4:23" ht="16.5" customHeight="1"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  <c r="S107" s="179"/>
      <c r="T107" s="179"/>
      <c r="U107" s="179"/>
      <c r="V107" s="179"/>
      <c r="W107" s="179"/>
    </row>
    <row r="108" spans="4:23" ht="16.5" customHeight="1"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  <c r="S108" s="179"/>
      <c r="T108" s="179"/>
      <c r="U108" s="179"/>
      <c r="V108" s="179"/>
      <c r="W108" s="179"/>
    </row>
    <row r="109" spans="4:23" ht="16.5" customHeight="1"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  <c r="S109" s="179"/>
      <c r="T109" s="179"/>
      <c r="U109" s="179"/>
      <c r="V109" s="179"/>
      <c r="W109" s="179"/>
    </row>
    <row r="110" spans="4:23" ht="16.5" customHeight="1"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  <c r="S110" s="179"/>
      <c r="T110" s="179"/>
      <c r="U110" s="179"/>
      <c r="V110" s="179"/>
      <c r="W110" s="179"/>
    </row>
    <row r="111" spans="4:23" ht="16.5" customHeight="1"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  <c r="S111" s="179"/>
      <c r="T111" s="179"/>
      <c r="U111" s="179"/>
      <c r="V111" s="179"/>
      <c r="W111" s="179"/>
    </row>
    <row r="112" spans="4:23" ht="16.5" customHeight="1"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  <c r="S112" s="179"/>
      <c r="T112" s="179"/>
      <c r="U112" s="179"/>
      <c r="V112" s="179"/>
      <c r="W112" s="179"/>
    </row>
    <row r="113" spans="4:23" ht="16.5" customHeight="1"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  <c r="S113" s="179"/>
      <c r="T113" s="179"/>
      <c r="U113" s="179"/>
      <c r="V113" s="179"/>
      <c r="W113" s="179"/>
    </row>
    <row r="114" spans="4:23" ht="16.5" customHeight="1"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  <c r="S114" s="179"/>
      <c r="T114" s="179"/>
      <c r="U114" s="179"/>
      <c r="V114" s="179"/>
      <c r="W114" s="179"/>
    </row>
    <row r="115" spans="4:23" ht="16.5" customHeight="1"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  <c r="S115" s="179"/>
      <c r="T115" s="179"/>
      <c r="U115" s="179"/>
      <c r="V115" s="179"/>
      <c r="W115" s="179"/>
    </row>
    <row r="116" spans="4:23" ht="16.5" customHeight="1"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  <c r="S116" s="179"/>
      <c r="T116" s="179"/>
      <c r="U116" s="179"/>
      <c r="V116" s="179"/>
      <c r="W116" s="179"/>
    </row>
    <row r="117" spans="4:23" ht="16.5" customHeight="1"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  <c r="S117" s="179"/>
      <c r="T117" s="179"/>
      <c r="U117" s="179"/>
      <c r="V117" s="179"/>
      <c r="W117" s="179"/>
    </row>
    <row r="118" spans="4:23" ht="16.5" customHeight="1"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  <c r="S118" s="179"/>
      <c r="T118" s="179"/>
      <c r="U118" s="179"/>
      <c r="V118" s="179"/>
      <c r="W118" s="179"/>
    </row>
    <row r="119" spans="4:23" ht="16.5" customHeight="1"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  <c r="S119" s="179"/>
      <c r="T119" s="179"/>
      <c r="U119" s="179"/>
      <c r="V119" s="179"/>
      <c r="W119" s="179"/>
    </row>
    <row r="120" spans="4:23" ht="16.5" customHeight="1"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  <c r="S120" s="179"/>
      <c r="T120" s="179"/>
      <c r="U120" s="179"/>
      <c r="V120" s="179"/>
      <c r="W120" s="179"/>
    </row>
    <row r="121" spans="4:23" ht="16.5" customHeight="1"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  <c r="S121" s="179"/>
      <c r="T121" s="179"/>
      <c r="U121" s="179"/>
      <c r="V121" s="179"/>
      <c r="W121" s="179"/>
    </row>
    <row r="122" spans="4:23" ht="16.5" customHeight="1"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  <c r="S122" s="179"/>
      <c r="T122" s="179"/>
      <c r="U122" s="179"/>
      <c r="V122" s="179"/>
      <c r="W122" s="179"/>
    </row>
    <row r="123" spans="4:23" ht="16.5" customHeight="1"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  <c r="S123" s="179"/>
      <c r="T123" s="179"/>
      <c r="U123" s="179"/>
      <c r="V123" s="179"/>
      <c r="W123" s="179"/>
    </row>
    <row r="124" spans="4:23" ht="16.5" customHeight="1"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  <c r="S124" s="179"/>
      <c r="T124" s="179"/>
      <c r="U124" s="179"/>
      <c r="V124" s="179"/>
      <c r="W124" s="179"/>
    </row>
    <row r="125" spans="4:23" ht="16.5" customHeight="1"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  <c r="S125" s="179"/>
      <c r="T125" s="179"/>
      <c r="U125" s="179"/>
      <c r="V125" s="179"/>
      <c r="W125" s="179"/>
    </row>
    <row r="126" spans="4:23" ht="16.5" customHeight="1"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  <c r="S126" s="179"/>
      <c r="T126" s="179"/>
      <c r="U126" s="179"/>
      <c r="V126" s="179"/>
      <c r="W126" s="179"/>
    </row>
    <row r="127" spans="4:23" ht="16.5" customHeight="1"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  <c r="S127" s="179"/>
      <c r="T127" s="179"/>
      <c r="U127" s="179"/>
      <c r="V127" s="179"/>
      <c r="W127" s="179"/>
    </row>
    <row r="128" spans="4:23" ht="16.5" customHeight="1"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  <c r="S128" s="179"/>
      <c r="T128" s="179"/>
      <c r="U128" s="179"/>
      <c r="V128" s="179"/>
      <c r="W128" s="179"/>
    </row>
    <row r="129" spans="4:23" ht="16.5" customHeight="1"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  <c r="S129" s="179"/>
      <c r="T129" s="179"/>
      <c r="U129" s="179"/>
      <c r="V129" s="179"/>
      <c r="W129" s="179"/>
    </row>
    <row r="130" spans="4:23" ht="16.5" customHeight="1"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  <c r="S130" s="179"/>
      <c r="T130" s="179"/>
      <c r="U130" s="179"/>
      <c r="V130" s="179"/>
      <c r="W130" s="179"/>
    </row>
    <row r="131" spans="4:23" ht="16.5" customHeight="1"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  <c r="S131" s="179"/>
      <c r="T131" s="179"/>
      <c r="U131" s="179"/>
      <c r="V131" s="179"/>
      <c r="W131" s="179"/>
    </row>
    <row r="132" spans="4:23" ht="16.5" customHeight="1"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  <c r="S132" s="179"/>
      <c r="T132" s="179"/>
      <c r="U132" s="179"/>
      <c r="V132" s="179"/>
      <c r="W132" s="179"/>
    </row>
    <row r="133" spans="4:23" ht="16.5" customHeight="1"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  <c r="S133" s="179"/>
      <c r="T133" s="179"/>
      <c r="U133" s="179"/>
      <c r="V133" s="179"/>
      <c r="W133" s="179"/>
    </row>
    <row r="134" spans="4:23" ht="16.5" customHeight="1"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  <c r="S134" s="179"/>
      <c r="T134" s="179"/>
      <c r="U134" s="179"/>
      <c r="V134" s="179"/>
      <c r="W134" s="179"/>
    </row>
    <row r="135" spans="4:23" ht="16.5" customHeight="1"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  <c r="S135" s="179"/>
      <c r="T135" s="179"/>
      <c r="U135" s="179"/>
      <c r="V135" s="179"/>
      <c r="W135" s="179"/>
    </row>
    <row r="136" spans="4:23" ht="16.5" customHeight="1"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  <c r="S136" s="179"/>
      <c r="T136" s="179"/>
      <c r="U136" s="179"/>
      <c r="V136" s="179"/>
      <c r="W136" s="179"/>
    </row>
    <row r="137" spans="4:23" ht="16.5" customHeight="1"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  <c r="S137" s="179"/>
      <c r="T137" s="179"/>
      <c r="U137" s="179"/>
      <c r="V137" s="179"/>
      <c r="W137" s="179"/>
    </row>
    <row r="138" spans="4:23" ht="16.5" customHeight="1"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  <c r="S138" s="179"/>
      <c r="T138" s="179"/>
      <c r="U138" s="179"/>
      <c r="V138" s="179"/>
      <c r="W138" s="179"/>
    </row>
    <row r="139" spans="4:23" ht="16.5" customHeight="1"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  <c r="S139" s="179"/>
      <c r="T139" s="179"/>
      <c r="U139" s="179"/>
      <c r="V139" s="179"/>
      <c r="W139" s="179"/>
    </row>
    <row r="140" spans="4:23" ht="16.5" customHeight="1"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  <c r="S140" s="179"/>
      <c r="T140" s="179"/>
      <c r="U140" s="179"/>
      <c r="V140" s="179"/>
      <c r="W140" s="179"/>
    </row>
    <row r="141" spans="4:23" ht="16.5" customHeight="1"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  <c r="S141" s="179"/>
      <c r="T141" s="179"/>
      <c r="U141" s="179"/>
      <c r="V141" s="179"/>
      <c r="W141" s="179"/>
    </row>
    <row r="142" spans="4:23" ht="16.5" customHeight="1"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  <c r="S142" s="179"/>
      <c r="T142" s="179"/>
      <c r="U142" s="179"/>
      <c r="V142" s="179"/>
      <c r="W142" s="179"/>
    </row>
    <row r="143" spans="4:23" ht="16.5" customHeight="1"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  <c r="S143" s="179"/>
      <c r="T143" s="179"/>
      <c r="U143" s="179"/>
      <c r="V143" s="179"/>
      <c r="W143" s="179"/>
    </row>
    <row r="144" spans="4:23" ht="16.5" customHeight="1"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  <c r="S144" s="179"/>
      <c r="T144" s="179"/>
      <c r="U144" s="179"/>
      <c r="V144" s="179"/>
      <c r="W144" s="179"/>
    </row>
    <row r="145" spans="4:23" ht="16.5" customHeight="1"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  <c r="S145" s="179"/>
      <c r="T145" s="179"/>
      <c r="U145" s="179"/>
      <c r="V145" s="179"/>
      <c r="W145" s="179"/>
    </row>
    <row r="146" spans="4:23" ht="16.5" customHeight="1"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  <c r="S146" s="179"/>
      <c r="T146" s="179"/>
      <c r="U146" s="179"/>
      <c r="V146" s="179"/>
      <c r="W146" s="179"/>
    </row>
    <row r="147" spans="4:23" ht="16.5" customHeight="1"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  <c r="S147" s="179"/>
      <c r="T147" s="179"/>
      <c r="U147" s="179"/>
      <c r="V147" s="179"/>
      <c r="W147" s="179"/>
    </row>
    <row r="148" spans="4:23" ht="16.5" customHeight="1"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  <c r="S148" s="179"/>
      <c r="T148" s="179"/>
      <c r="U148" s="179"/>
      <c r="V148" s="179"/>
      <c r="W148" s="179"/>
    </row>
    <row r="149" spans="4:23" ht="16.5" customHeight="1"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  <c r="S149" s="179"/>
      <c r="T149" s="179"/>
      <c r="U149" s="179"/>
      <c r="V149" s="179"/>
      <c r="W149" s="179"/>
    </row>
    <row r="150" spans="4:23" ht="16.5" customHeight="1"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  <c r="S150" s="179"/>
      <c r="T150" s="179"/>
      <c r="U150" s="179"/>
      <c r="V150" s="179"/>
      <c r="W150" s="179"/>
    </row>
    <row r="151" spans="4:23" ht="16.5" customHeight="1"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  <c r="S151" s="179"/>
      <c r="T151" s="179"/>
      <c r="U151" s="179"/>
      <c r="V151" s="179"/>
      <c r="W151" s="179"/>
    </row>
    <row r="152" spans="4:23" ht="16.5" customHeight="1"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  <c r="S152" s="179"/>
      <c r="T152" s="179"/>
      <c r="U152" s="179"/>
      <c r="V152" s="179"/>
      <c r="W152" s="179"/>
    </row>
    <row r="153" spans="4:23" ht="16.5" customHeight="1"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  <c r="S153" s="179"/>
      <c r="T153" s="179"/>
      <c r="U153" s="179"/>
      <c r="V153" s="179"/>
      <c r="W153" s="179"/>
    </row>
    <row r="154" spans="4:23" ht="16.5" customHeight="1"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  <c r="S154" s="179"/>
      <c r="T154" s="179"/>
      <c r="U154" s="179"/>
      <c r="V154" s="179"/>
      <c r="W154" s="179"/>
    </row>
    <row r="155" spans="4:23" ht="16.5" customHeight="1"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  <c r="S155" s="179"/>
      <c r="T155" s="179"/>
      <c r="U155" s="179"/>
      <c r="V155" s="179"/>
      <c r="W155" s="179"/>
    </row>
    <row r="156" spans="4:23" ht="16.5" customHeight="1"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  <c r="S156" s="179"/>
      <c r="T156" s="179"/>
      <c r="U156" s="179"/>
      <c r="V156" s="179"/>
      <c r="W156" s="179"/>
    </row>
    <row r="157" spans="4:23" ht="16.5" customHeight="1"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  <c r="S157" s="179"/>
      <c r="T157" s="179"/>
      <c r="U157" s="179"/>
      <c r="V157" s="179"/>
      <c r="W157" s="179"/>
    </row>
    <row r="160" ht="12.75"/>
    <row r="161" ht="12.75"/>
    <row r="162" ht="12.75"/>
    <row r="163" ht="12.75"/>
    <row r="164" ht="12.75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2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44">
    <pageSetUpPr fitToPage="1"/>
  </sheetPr>
  <dimension ref="A1:AC154"/>
  <sheetViews>
    <sheetView zoomScale="75" zoomScaleNormal="75" workbookViewId="0" topLeftCell="A1">
      <selection activeCell="F15" sqref="F15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5" width="25.7109375" style="0" customWidth="1"/>
    <col min="6" max="6" width="9.7109375" style="0" customWidth="1"/>
    <col min="7" max="7" width="12.7109375" style="0" customWidth="1"/>
    <col min="8" max="8" width="13.7109375" style="0" hidden="1" customWidth="1"/>
    <col min="9" max="10" width="15.7109375" style="0" customWidth="1"/>
    <col min="11" max="14" width="9.7109375" style="0" customWidth="1"/>
    <col min="15" max="15" width="5.8515625" style="0" customWidth="1"/>
    <col min="16" max="16" width="7.00390625" style="0" customWidth="1"/>
    <col min="17" max="17" width="13.140625" style="0" hidden="1" customWidth="1"/>
    <col min="18" max="19" width="16.421875" style="0" hidden="1" customWidth="1"/>
    <col min="20" max="20" width="16.57421875" style="0" hidden="1" customWidth="1"/>
    <col min="21" max="25" width="16.28125" style="0" hidden="1" customWidth="1"/>
    <col min="26" max="26" width="9.7109375" style="0" customWidth="1"/>
    <col min="27" max="28" width="15.7109375" style="0" customWidth="1"/>
  </cols>
  <sheetData>
    <row r="1" spans="2:28" s="18" customFormat="1" ht="26.25"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147"/>
    </row>
    <row r="2" spans="1:28" s="18" customFormat="1" ht="26.25">
      <c r="A2" s="91"/>
      <c r="B2" s="258" t="str">
        <f>+'TOT-1108'!B2</f>
        <v>ANEXO VI al Memoràndum D.T.E.E. N°  366 / 2010          </v>
      </c>
      <c r="C2" s="258"/>
      <c r="D2" s="258"/>
      <c r="E2" s="19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</row>
    <row r="3" spans="1:28" s="5" customFormat="1" ht="12.7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</row>
    <row r="4" spans="1:28" s="25" customFormat="1" ht="11.25">
      <c r="A4" s="259" t="s">
        <v>81</v>
      </c>
      <c r="B4" s="11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</row>
    <row r="5" spans="1:28" s="25" customFormat="1" ht="11.25">
      <c r="A5" s="259" t="s">
        <v>3</v>
      </c>
      <c r="B5" s="11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</row>
    <row r="6" spans="1:28" s="5" customFormat="1" ht="13.5" thickBo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</row>
    <row r="7" spans="1:28" s="5" customFormat="1" ht="13.5" thickTop="1">
      <c r="A7" s="90"/>
      <c r="B7" s="92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4"/>
    </row>
    <row r="8" spans="1:28" s="29" customFormat="1" ht="20.25">
      <c r="A8" s="106"/>
      <c r="B8" s="107"/>
      <c r="C8" s="106"/>
      <c r="D8" s="260" t="s">
        <v>70</v>
      </c>
      <c r="E8" s="106"/>
      <c r="F8" s="106"/>
      <c r="G8" s="261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96"/>
      <c r="S8" s="96"/>
      <c r="T8" s="96"/>
      <c r="U8" s="96"/>
      <c r="V8" s="96"/>
      <c r="W8" s="96"/>
      <c r="X8" s="96"/>
      <c r="Y8" s="96"/>
      <c r="Z8" s="96"/>
      <c r="AA8" s="96"/>
      <c r="AB8" s="108"/>
    </row>
    <row r="9" spans="1:28" s="5" customFormat="1" ht="12.75">
      <c r="A9" s="90"/>
      <c r="B9" s="95"/>
      <c r="C9" s="90"/>
      <c r="D9" s="15"/>
      <c r="E9" s="262"/>
      <c r="F9" s="90"/>
      <c r="G9" s="15"/>
      <c r="H9" s="90"/>
      <c r="I9" s="90"/>
      <c r="J9" s="90"/>
      <c r="K9" s="90"/>
      <c r="L9" s="90"/>
      <c r="M9" s="90"/>
      <c r="N9" s="90"/>
      <c r="O9" s="90"/>
      <c r="P9" s="90"/>
      <c r="Q9" s="90"/>
      <c r="R9" s="15"/>
      <c r="S9" s="15"/>
      <c r="T9" s="15"/>
      <c r="U9" s="15"/>
      <c r="V9" s="15"/>
      <c r="W9" s="15"/>
      <c r="X9" s="15"/>
      <c r="Y9" s="15"/>
      <c r="Z9" s="15"/>
      <c r="AA9" s="15"/>
      <c r="AB9" s="17"/>
    </row>
    <row r="10" spans="1:28" s="937" customFormat="1" ht="33" customHeight="1">
      <c r="A10" s="960"/>
      <c r="B10" s="968"/>
      <c r="C10" s="960"/>
      <c r="D10" s="969" t="s">
        <v>261</v>
      </c>
      <c r="E10" s="960"/>
      <c r="F10" s="970"/>
      <c r="G10" s="971"/>
      <c r="H10" s="960"/>
      <c r="I10" s="960"/>
      <c r="J10" s="960"/>
      <c r="K10" s="960"/>
      <c r="L10" s="960"/>
      <c r="M10" s="960"/>
      <c r="N10" s="960"/>
      <c r="O10" s="960"/>
      <c r="P10" s="960"/>
      <c r="Q10" s="960"/>
      <c r="R10" s="971"/>
      <c r="S10" s="971"/>
      <c r="T10" s="971"/>
      <c r="U10" s="971"/>
      <c r="V10" s="971"/>
      <c r="W10" s="971"/>
      <c r="X10" s="971"/>
      <c r="Y10" s="971"/>
      <c r="Z10" s="971"/>
      <c r="AA10" s="971"/>
      <c r="AB10" s="939"/>
    </row>
    <row r="11" spans="1:28" s="940" customFormat="1" ht="33" customHeight="1">
      <c r="A11" s="964"/>
      <c r="B11" s="972"/>
      <c r="C11" s="964"/>
      <c r="D11" s="973" t="s">
        <v>85</v>
      </c>
      <c r="E11" s="974"/>
      <c r="F11" s="974"/>
      <c r="G11" s="975"/>
      <c r="H11" s="974"/>
      <c r="I11" s="974"/>
      <c r="J11" s="974"/>
      <c r="K11" s="974"/>
      <c r="L11" s="974"/>
      <c r="M11" s="964"/>
      <c r="N11" s="964"/>
      <c r="O11" s="964"/>
      <c r="P11" s="964"/>
      <c r="Q11" s="964"/>
      <c r="R11" s="974"/>
      <c r="S11" s="974"/>
      <c r="T11" s="974"/>
      <c r="U11" s="974"/>
      <c r="V11" s="974"/>
      <c r="W11" s="974"/>
      <c r="X11" s="974"/>
      <c r="Y11" s="974"/>
      <c r="Z11" s="974"/>
      <c r="AA11" s="974"/>
      <c r="AB11" s="943"/>
    </row>
    <row r="12" spans="1:28" s="36" customFormat="1" ht="19.5">
      <c r="A12" s="110"/>
      <c r="B12" s="37" t="str">
        <f>'TOT-1108'!B14</f>
        <v>Desde el 01 al 30 de noviembre de 2008</v>
      </c>
      <c r="C12" s="263"/>
      <c r="D12" s="113"/>
      <c r="E12" s="113"/>
      <c r="F12" s="113"/>
      <c r="G12" s="113"/>
      <c r="H12" s="113"/>
      <c r="I12" s="113"/>
      <c r="J12" s="113"/>
      <c r="K12" s="113"/>
      <c r="L12" s="113"/>
      <c r="M12" s="263"/>
      <c r="N12" s="263"/>
      <c r="O12" s="263"/>
      <c r="P12" s="263"/>
      <c r="Q12" s="26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264"/>
    </row>
    <row r="13" spans="1:28" s="5" customFormat="1" ht="13.5" thickBot="1">
      <c r="A13" s="90"/>
      <c r="B13" s="95"/>
      <c r="C13" s="90"/>
      <c r="D13" s="15"/>
      <c r="E13" s="15"/>
      <c r="F13" s="15"/>
      <c r="G13" s="98"/>
      <c r="H13" s="15"/>
      <c r="I13" s="15"/>
      <c r="J13" s="15"/>
      <c r="K13" s="15"/>
      <c r="L13" s="15"/>
      <c r="M13" s="90"/>
      <c r="N13" s="90"/>
      <c r="O13" s="90"/>
      <c r="P13" s="90"/>
      <c r="Q13" s="90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7"/>
    </row>
    <row r="14" spans="1:28" s="5" customFormat="1" ht="16.5" customHeight="1" thickBot="1" thickTop="1">
      <c r="A14" s="90"/>
      <c r="B14" s="95"/>
      <c r="C14" s="90"/>
      <c r="D14" s="265" t="s">
        <v>82</v>
      </c>
      <c r="E14" s="266"/>
      <c r="F14" s="267">
        <v>0.319</v>
      </c>
      <c r="H14" s="90"/>
      <c r="I14" s="90"/>
      <c r="J14" s="90"/>
      <c r="K14" s="90"/>
      <c r="L14" s="90"/>
      <c r="M14" s="90"/>
      <c r="N14" s="90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7"/>
    </row>
    <row r="15" spans="1:28" s="5" customFormat="1" ht="16.5" customHeight="1" thickBot="1" thickTop="1">
      <c r="A15" s="90"/>
      <c r="B15" s="95"/>
      <c r="C15" s="90"/>
      <c r="D15" s="111" t="s">
        <v>26</v>
      </c>
      <c r="E15" s="112"/>
      <c r="F15" s="924">
        <v>200</v>
      </c>
      <c r="G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99"/>
      <c r="V15" s="99"/>
      <c r="W15" s="99"/>
      <c r="X15" s="99"/>
      <c r="Y15" s="99"/>
      <c r="Z15" s="99"/>
      <c r="AA15" s="90"/>
      <c r="AB15" s="17"/>
    </row>
    <row r="16" spans="1:28" s="5" customFormat="1" ht="16.5" customHeight="1" thickBot="1" thickTop="1">
      <c r="A16" s="90"/>
      <c r="B16" s="95"/>
      <c r="C16" s="90"/>
      <c r="D16" s="15"/>
      <c r="E16" s="15"/>
      <c r="F16" s="15"/>
      <c r="G16" s="100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7"/>
    </row>
    <row r="17" spans="1:28" s="5" customFormat="1" ht="33.75" customHeight="1" thickBot="1" thickTop="1">
      <c r="A17" s="90"/>
      <c r="B17" s="95"/>
      <c r="C17" s="124" t="s">
        <v>13</v>
      </c>
      <c r="D17" s="120" t="s">
        <v>27</v>
      </c>
      <c r="E17" s="119" t="s">
        <v>28</v>
      </c>
      <c r="F17" s="121" t="s">
        <v>29</v>
      </c>
      <c r="G17" s="122" t="s">
        <v>14</v>
      </c>
      <c r="H17" s="130" t="s">
        <v>16</v>
      </c>
      <c r="I17" s="119" t="s">
        <v>17</v>
      </c>
      <c r="J17" s="119" t="s">
        <v>18</v>
      </c>
      <c r="K17" s="120" t="s">
        <v>30</v>
      </c>
      <c r="L17" s="120" t="s">
        <v>31</v>
      </c>
      <c r="M17" s="88" t="s">
        <v>19</v>
      </c>
      <c r="N17" s="88" t="s">
        <v>58</v>
      </c>
      <c r="O17" s="123" t="s">
        <v>32</v>
      </c>
      <c r="P17" s="119" t="s">
        <v>33</v>
      </c>
      <c r="Q17" s="268" t="s">
        <v>37</v>
      </c>
      <c r="R17" s="269" t="s">
        <v>20</v>
      </c>
      <c r="S17" s="270" t="s">
        <v>21</v>
      </c>
      <c r="T17" s="222" t="s">
        <v>83</v>
      </c>
      <c r="U17" s="224"/>
      <c r="V17" s="271" t="s">
        <v>84</v>
      </c>
      <c r="W17" s="272"/>
      <c r="X17" s="273" t="s">
        <v>22</v>
      </c>
      <c r="Y17" s="274" t="s">
        <v>79</v>
      </c>
      <c r="Z17" s="133" t="s">
        <v>80</v>
      </c>
      <c r="AA17" s="122" t="s">
        <v>24</v>
      </c>
      <c r="AB17" s="17"/>
    </row>
    <row r="18" spans="1:28" s="5" customFormat="1" ht="16.5" customHeight="1" thickTop="1">
      <c r="A18" s="90"/>
      <c r="B18" s="95"/>
      <c r="C18" s="275"/>
      <c r="D18" s="275"/>
      <c r="E18" s="275"/>
      <c r="F18" s="275"/>
      <c r="G18" s="276"/>
      <c r="H18" s="277"/>
      <c r="I18" s="275"/>
      <c r="J18" s="275"/>
      <c r="K18" s="275"/>
      <c r="L18" s="275"/>
      <c r="M18" s="275"/>
      <c r="N18" s="185"/>
      <c r="O18" s="278"/>
      <c r="P18" s="275"/>
      <c r="Q18" s="279"/>
      <c r="R18" s="280"/>
      <c r="S18" s="281"/>
      <c r="T18" s="282"/>
      <c r="U18" s="283"/>
      <c r="V18" s="284"/>
      <c r="W18" s="285"/>
      <c r="X18" s="286"/>
      <c r="Y18" s="287"/>
      <c r="Z18" s="278"/>
      <c r="AA18" s="288"/>
      <c r="AB18" s="17"/>
    </row>
    <row r="19" spans="1:28" s="5" customFormat="1" ht="16.5" customHeight="1">
      <c r="A19" s="90"/>
      <c r="B19" s="95"/>
      <c r="C19" s="289"/>
      <c r="D19" s="289"/>
      <c r="E19" s="289"/>
      <c r="F19" s="289"/>
      <c r="G19" s="290"/>
      <c r="H19" s="291"/>
      <c r="I19" s="289"/>
      <c r="J19" s="289"/>
      <c r="K19" s="289"/>
      <c r="L19" s="289"/>
      <c r="M19" s="289"/>
      <c r="N19" s="188"/>
      <c r="O19" s="292"/>
      <c r="P19" s="289"/>
      <c r="Q19" s="293"/>
      <c r="R19" s="294"/>
      <c r="S19" s="295"/>
      <c r="T19" s="296"/>
      <c r="U19" s="297"/>
      <c r="V19" s="298"/>
      <c r="W19" s="299"/>
      <c r="X19" s="300"/>
      <c r="Y19" s="301"/>
      <c r="Z19" s="292"/>
      <c r="AA19" s="302"/>
      <c r="AB19" s="17"/>
    </row>
    <row r="20" spans="1:28" s="5" customFormat="1" ht="16.5" customHeight="1">
      <c r="A20" s="90"/>
      <c r="B20" s="95"/>
      <c r="C20" s="157">
        <v>114</v>
      </c>
      <c r="D20" s="151" t="s">
        <v>362</v>
      </c>
      <c r="E20" s="303" t="s">
        <v>363</v>
      </c>
      <c r="F20" s="304">
        <v>300</v>
      </c>
      <c r="G20" s="305" t="s">
        <v>150</v>
      </c>
      <c r="H20" s="306">
        <f aca="true" t="shared" si="0" ref="H20:H39">F20*$F$14</f>
        <v>95.7</v>
      </c>
      <c r="I20" s="158">
        <v>39753.21875</v>
      </c>
      <c r="J20" s="158">
        <v>39753.48819444444</v>
      </c>
      <c r="K20" s="307">
        <f aca="true" t="shared" si="1" ref="K20:K39">IF(D20="","",(J20-I20)*24)</f>
        <v>6.46666666661622</v>
      </c>
      <c r="L20" s="14">
        <f aca="true" t="shared" si="2" ref="L20:L39">IF(D20="","",ROUND((J20-I20)*24*60,0))</f>
        <v>388</v>
      </c>
      <c r="M20" s="159" t="s">
        <v>251</v>
      </c>
      <c r="N20" s="235" t="str">
        <f aca="true" t="shared" si="3" ref="N20:N39">IF(D20="","","--")</f>
        <v>--</v>
      </c>
      <c r="O20" s="156" t="str">
        <f>IF(D20="","",IF(OR(M20="P",M20="RP"),"--","NO"))</f>
        <v>--</v>
      </c>
      <c r="P20" s="155" t="str">
        <f aca="true" t="shared" si="4" ref="P20:P39">IF(D20="","","NO")</f>
        <v>NO</v>
      </c>
      <c r="Q20" s="367">
        <f aca="true" t="shared" si="5" ref="Q20:Q39">$F$15*IF(OR(M20="P",M20="RP"),0.1,1)*IF(P20="SI",1,0.1)</f>
        <v>2</v>
      </c>
      <c r="R20" s="349">
        <f aca="true" t="shared" si="6" ref="R20:R39">IF(M20="P",H20*Q20*ROUND(L20/60,2),"--")</f>
        <v>1238.358</v>
      </c>
      <c r="S20" s="350" t="str">
        <f aca="true" t="shared" si="7" ref="S20:S39">IF(M20="RP",H20*Q20*N20/100*ROUND(L20/60,2),"--")</f>
        <v>--</v>
      </c>
      <c r="T20" s="351" t="str">
        <f aca="true" t="shared" si="8" ref="T20:T39">IF(AND(M20="F",O20="NO"),H20*Q20,"--")</f>
        <v>--</v>
      </c>
      <c r="U20" s="352" t="str">
        <f aca="true" t="shared" si="9" ref="U20:U39">IF(M20="F",H20*Q20*ROUND(L20/60,2),"--")</f>
        <v>--</v>
      </c>
      <c r="V20" s="353" t="str">
        <f aca="true" t="shared" si="10" ref="V20:V39">IF(AND(M20="R",O20="NO"),H20*Q20*N20/100,"--")</f>
        <v>--</v>
      </c>
      <c r="W20" s="354" t="str">
        <f aca="true" t="shared" si="11" ref="W20:W39">IF(M20="R",H20*Q20*N20/100*ROUND(L20/60,2),"--")</f>
        <v>--</v>
      </c>
      <c r="X20" s="355" t="str">
        <f aca="true" t="shared" si="12" ref="X20:X39">IF(M20="RF",H20*Q20*ROUND(L20/60,2),"--")</f>
        <v>--</v>
      </c>
      <c r="Y20" s="356" t="str">
        <f aca="true" t="shared" si="13" ref="Y20:Y39">IF(M20="RR",H20*Q20*N20/100*ROUND(L20/60,2),"--")</f>
        <v>--</v>
      </c>
      <c r="Z20" s="161" t="s">
        <v>248</v>
      </c>
      <c r="AA20" s="318">
        <f aca="true" t="shared" si="14" ref="AA20:AA39">IF(D20="","",SUM(R20:Y20)*IF(Z20="SI",1,2)*IF(AND(N22&lt;&gt;"--",M22="RF"),N22/100,1))</f>
        <v>1238.358</v>
      </c>
      <c r="AB20" s="17"/>
    </row>
    <row r="21" spans="1:28" s="5" customFormat="1" ht="16.5" customHeight="1">
      <c r="A21" s="90"/>
      <c r="B21" s="95"/>
      <c r="C21" s="289">
        <v>115</v>
      </c>
      <c r="D21" s="151" t="s">
        <v>362</v>
      </c>
      <c r="E21" s="303" t="s">
        <v>363</v>
      </c>
      <c r="F21" s="304">
        <v>300</v>
      </c>
      <c r="G21" s="305" t="s">
        <v>150</v>
      </c>
      <c r="H21" s="306">
        <f t="shared" si="0"/>
        <v>95.7</v>
      </c>
      <c r="I21" s="158">
        <v>39754.22152777778</v>
      </c>
      <c r="J21" s="158">
        <v>39754.49791666667</v>
      </c>
      <c r="K21" s="307">
        <f t="shared" si="1"/>
        <v>6.633333333302289</v>
      </c>
      <c r="L21" s="14">
        <f t="shared" si="2"/>
        <v>398</v>
      </c>
      <c r="M21" s="159" t="s">
        <v>251</v>
      </c>
      <c r="N21" s="235" t="str">
        <f t="shared" si="3"/>
        <v>--</v>
      </c>
      <c r="O21" s="156" t="str">
        <f aca="true" t="shared" si="15" ref="O21:O39">IF(D21="","",IF(M21="P","--","NO"))</f>
        <v>--</v>
      </c>
      <c r="P21" s="155" t="str">
        <f t="shared" si="4"/>
        <v>NO</v>
      </c>
      <c r="Q21" s="367">
        <f t="shared" si="5"/>
        <v>2</v>
      </c>
      <c r="R21" s="349">
        <f t="shared" si="6"/>
        <v>1268.982</v>
      </c>
      <c r="S21" s="350" t="str">
        <f t="shared" si="7"/>
        <v>--</v>
      </c>
      <c r="T21" s="351" t="str">
        <f t="shared" si="8"/>
        <v>--</v>
      </c>
      <c r="U21" s="352" t="str">
        <f t="shared" si="9"/>
        <v>--</v>
      </c>
      <c r="V21" s="353" t="str">
        <f t="shared" si="10"/>
        <v>--</v>
      </c>
      <c r="W21" s="354" t="str">
        <f t="shared" si="11"/>
        <v>--</v>
      </c>
      <c r="X21" s="355" t="str">
        <f t="shared" si="12"/>
        <v>--</v>
      </c>
      <c r="Y21" s="356" t="str">
        <f t="shared" si="13"/>
        <v>--</v>
      </c>
      <c r="Z21" s="161" t="str">
        <f aca="true" t="shared" si="16" ref="Z21:Z39">IF(D21="","","SI")</f>
        <v>SI</v>
      </c>
      <c r="AA21" s="318">
        <f t="shared" si="14"/>
        <v>1268.982</v>
      </c>
      <c r="AB21" s="17"/>
    </row>
    <row r="22" spans="1:28" s="5" customFormat="1" ht="16.5" customHeight="1">
      <c r="A22" s="90"/>
      <c r="B22" s="95"/>
      <c r="C22" s="157"/>
      <c r="D22" s="151"/>
      <c r="E22" s="303"/>
      <c r="F22" s="304"/>
      <c r="G22" s="305"/>
      <c r="H22" s="306">
        <f t="shared" si="0"/>
        <v>0</v>
      </c>
      <c r="I22" s="158"/>
      <c r="J22" s="158"/>
      <c r="K22" s="307">
        <f t="shared" si="1"/>
      </c>
      <c r="L22" s="14">
        <f t="shared" si="2"/>
      </c>
      <c r="M22" s="159"/>
      <c r="N22" s="235">
        <f t="shared" si="3"/>
      </c>
      <c r="O22" s="156">
        <f t="shared" si="15"/>
      </c>
      <c r="P22" s="155">
        <f t="shared" si="4"/>
      </c>
      <c r="Q22" s="367">
        <f t="shared" si="5"/>
        <v>20</v>
      </c>
      <c r="R22" s="349" t="str">
        <f t="shared" si="6"/>
        <v>--</v>
      </c>
      <c r="S22" s="350" t="str">
        <f t="shared" si="7"/>
        <v>--</v>
      </c>
      <c r="T22" s="351" t="str">
        <f t="shared" si="8"/>
        <v>--</v>
      </c>
      <c r="U22" s="352" t="str">
        <f t="shared" si="9"/>
        <v>--</v>
      </c>
      <c r="V22" s="353" t="str">
        <f t="shared" si="10"/>
        <v>--</v>
      </c>
      <c r="W22" s="354" t="str">
        <f t="shared" si="11"/>
        <v>--</v>
      </c>
      <c r="X22" s="355" t="str">
        <f t="shared" si="12"/>
        <v>--</v>
      </c>
      <c r="Y22" s="356" t="str">
        <f t="shared" si="13"/>
        <v>--</v>
      </c>
      <c r="Z22" s="161">
        <f t="shared" si="16"/>
      </c>
      <c r="AA22" s="318">
        <f t="shared" si="14"/>
      </c>
      <c r="AB22" s="17"/>
    </row>
    <row r="23" spans="1:28" s="5" customFormat="1" ht="16.5" customHeight="1">
      <c r="A23" s="90"/>
      <c r="B23" s="95"/>
      <c r="C23" s="289"/>
      <c r="D23" s="151"/>
      <c r="E23" s="303"/>
      <c r="F23" s="304"/>
      <c r="G23" s="305"/>
      <c r="H23" s="306">
        <f t="shared" si="0"/>
        <v>0</v>
      </c>
      <c r="I23" s="158"/>
      <c r="J23" s="158"/>
      <c r="K23" s="307">
        <f t="shared" si="1"/>
      </c>
      <c r="L23" s="14">
        <f t="shared" si="2"/>
      </c>
      <c r="M23" s="159"/>
      <c r="N23" s="235">
        <f t="shared" si="3"/>
      </c>
      <c r="O23" s="156">
        <f t="shared" si="15"/>
      </c>
      <c r="P23" s="155">
        <f t="shared" si="4"/>
      </c>
      <c r="Q23" s="367">
        <f t="shared" si="5"/>
        <v>20</v>
      </c>
      <c r="R23" s="349" t="str">
        <f t="shared" si="6"/>
        <v>--</v>
      </c>
      <c r="S23" s="350" t="str">
        <f t="shared" si="7"/>
        <v>--</v>
      </c>
      <c r="T23" s="351" t="str">
        <f t="shared" si="8"/>
        <v>--</v>
      </c>
      <c r="U23" s="352" t="str">
        <f t="shared" si="9"/>
        <v>--</v>
      </c>
      <c r="V23" s="353" t="str">
        <f t="shared" si="10"/>
        <v>--</v>
      </c>
      <c r="W23" s="354" t="str">
        <f t="shared" si="11"/>
        <v>--</v>
      </c>
      <c r="X23" s="355" t="str">
        <f t="shared" si="12"/>
        <v>--</v>
      </c>
      <c r="Y23" s="356" t="str">
        <f t="shared" si="13"/>
        <v>--</v>
      </c>
      <c r="Z23" s="161">
        <f t="shared" si="16"/>
      </c>
      <c r="AA23" s="318">
        <f t="shared" si="14"/>
      </c>
      <c r="AB23" s="17"/>
    </row>
    <row r="24" spans="1:28" s="5" customFormat="1" ht="16.5" customHeight="1">
      <c r="A24" s="90"/>
      <c r="B24" s="95"/>
      <c r="C24" s="157"/>
      <c r="D24" s="151"/>
      <c r="E24" s="303"/>
      <c r="F24" s="304"/>
      <c r="G24" s="305"/>
      <c r="H24" s="306">
        <f t="shared" si="0"/>
        <v>0</v>
      </c>
      <c r="I24" s="158"/>
      <c r="J24" s="158"/>
      <c r="K24" s="307">
        <f t="shared" si="1"/>
      </c>
      <c r="L24" s="14">
        <f t="shared" si="2"/>
      </c>
      <c r="M24" s="159"/>
      <c r="N24" s="235">
        <f t="shared" si="3"/>
      </c>
      <c r="O24" s="156">
        <f t="shared" si="15"/>
      </c>
      <c r="P24" s="155">
        <f t="shared" si="4"/>
      </c>
      <c r="Q24" s="367">
        <f t="shared" si="5"/>
        <v>20</v>
      </c>
      <c r="R24" s="349" t="str">
        <f t="shared" si="6"/>
        <v>--</v>
      </c>
      <c r="S24" s="350" t="str">
        <f t="shared" si="7"/>
        <v>--</v>
      </c>
      <c r="T24" s="351" t="str">
        <f t="shared" si="8"/>
        <v>--</v>
      </c>
      <c r="U24" s="352" t="str">
        <f t="shared" si="9"/>
        <v>--</v>
      </c>
      <c r="V24" s="353" t="str">
        <f t="shared" si="10"/>
        <v>--</v>
      </c>
      <c r="W24" s="354" t="str">
        <f t="shared" si="11"/>
        <v>--</v>
      </c>
      <c r="X24" s="355" t="str">
        <f t="shared" si="12"/>
        <v>--</v>
      </c>
      <c r="Y24" s="356" t="str">
        <f t="shared" si="13"/>
        <v>--</v>
      </c>
      <c r="Z24" s="161">
        <f t="shared" si="16"/>
      </c>
      <c r="AA24" s="318">
        <f t="shared" si="14"/>
      </c>
      <c r="AB24" s="17"/>
    </row>
    <row r="25" spans="1:28" s="5" customFormat="1" ht="16.5" customHeight="1">
      <c r="A25" s="90"/>
      <c r="B25" s="95"/>
      <c r="C25" s="289"/>
      <c r="D25" s="151"/>
      <c r="E25" s="303"/>
      <c r="F25" s="304"/>
      <c r="G25" s="305"/>
      <c r="H25" s="306">
        <f t="shared" si="0"/>
        <v>0</v>
      </c>
      <c r="I25" s="158"/>
      <c r="J25" s="158"/>
      <c r="K25" s="307">
        <f t="shared" si="1"/>
      </c>
      <c r="L25" s="14">
        <f t="shared" si="2"/>
      </c>
      <c r="M25" s="159"/>
      <c r="N25" s="235">
        <f t="shared" si="3"/>
      </c>
      <c r="O25" s="156">
        <f t="shared" si="15"/>
      </c>
      <c r="P25" s="155">
        <f t="shared" si="4"/>
      </c>
      <c r="Q25" s="367">
        <f t="shared" si="5"/>
        <v>20</v>
      </c>
      <c r="R25" s="349" t="str">
        <f t="shared" si="6"/>
        <v>--</v>
      </c>
      <c r="S25" s="350" t="str">
        <f t="shared" si="7"/>
        <v>--</v>
      </c>
      <c r="T25" s="351" t="str">
        <f t="shared" si="8"/>
        <v>--</v>
      </c>
      <c r="U25" s="352" t="str">
        <f t="shared" si="9"/>
        <v>--</v>
      </c>
      <c r="V25" s="353" t="str">
        <f t="shared" si="10"/>
        <v>--</v>
      </c>
      <c r="W25" s="354" t="str">
        <f t="shared" si="11"/>
        <v>--</v>
      </c>
      <c r="X25" s="355" t="str">
        <f t="shared" si="12"/>
        <v>--</v>
      </c>
      <c r="Y25" s="356" t="str">
        <f t="shared" si="13"/>
        <v>--</v>
      </c>
      <c r="Z25" s="161">
        <f t="shared" si="16"/>
      </c>
      <c r="AA25" s="318">
        <f t="shared" si="14"/>
      </c>
      <c r="AB25" s="17"/>
    </row>
    <row r="26" spans="1:29" s="5" customFormat="1" ht="16.5" customHeight="1">
      <c r="A26" s="90"/>
      <c r="B26" s="95"/>
      <c r="C26" s="157"/>
      <c r="D26" s="151"/>
      <c r="E26" s="303"/>
      <c r="F26" s="304"/>
      <c r="G26" s="305"/>
      <c r="H26" s="306">
        <f t="shared" si="0"/>
        <v>0</v>
      </c>
      <c r="I26" s="158"/>
      <c r="J26" s="158"/>
      <c r="K26" s="307">
        <f t="shared" si="1"/>
      </c>
      <c r="L26" s="14">
        <f t="shared" si="2"/>
      </c>
      <c r="M26" s="159"/>
      <c r="N26" s="235">
        <f t="shared" si="3"/>
      </c>
      <c r="O26" s="156">
        <f t="shared" si="15"/>
      </c>
      <c r="P26" s="155">
        <f t="shared" si="4"/>
      </c>
      <c r="Q26" s="367">
        <f t="shared" si="5"/>
        <v>20</v>
      </c>
      <c r="R26" s="349" t="str">
        <f t="shared" si="6"/>
        <v>--</v>
      </c>
      <c r="S26" s="350" t="str">
        <f t="shared" si="7"/>
        <v>--</v>
      </c>
      <c r="T26" s="351" t="str">
        <f t="shared" si="8"/>
        <v>--</v>
      </c>
      <c r="U26" s="352" t="str">
        <f t="shared" si="9"/>
        <v>--</v>
      </c>
      <c r="V26" s="353" t="str">
        <f t="shared" si="10"/>
        <v>--</v>
      </c>
      <c r="W26" s="354" t="str">
        <f t="shared" si="11"/>
        <v>--</v>
      </c>
      <c r="X26" s="355" t="str">
        <f t="shared" si="12"/>
        <v>--</v>
      </c>
      <c r="Y26" s="356" t="str">
        <f t="shared" si="13"/>
        <v>--</v>
      </c>
      <c r="Z26" s="161">
        <f t="shared" si="16"/>
      </c>
      <c r="AA26" s="318">
        <f t="shared" si="14"/>
      </c>
      <c r="AB26" s="17"/>
      <c r="AC26" s="15"/>
    </row>
    <row r="27" spans="1:28" s="5" customFormat="1" ht="16.5" customHeight="1">
      <c r="A27" s="90"/>
      <c r="B27" s="95"/>
      <c r="C27" s="289"/>
      <c r="D27" s="151"/>
      <c r="E27" s="303"/>
      <c r="F27" s="304"/>
      <c r="G27" s="305"/>
      <c r="H27" s="306">
        <f t="shared" si="0"/>
        <v>0</v>
      </c>
      <c r="I27" s="158"/>
      <c r="J27" s="158"/>
      <c r="K27" s="307">
        <f t="shared" si="1"/>
      </c>
      <c r="L27" s="14">
        <f t="shared" si="2"/>
      </c>
      <c r="M27" s="159"/>
      <c r="N27" s="235">
        <f t="shared" si="3"/>
      </c>
      <c r="O27" s="156">
        <f t="shared" si="15"/>
      </c>
      <c r="P27" s="155">
        <f t="shared" si="4"/>
      </c>
      <c r="Q27" s="367">
        <f t="shared" si="5"/>
        <v>20</v>
      </c>
      <c r="R27" s="349" t="str">
        <f t="shared" si="6"/>
        <v>--</v>
      </c>
      <c r="S27" s="350" t="str">
        <f t="shared" si="7"/>
        <v>--</v>
      </c>
      <c r="T27" s="351" t="str">
        <f t="shared" si="8"/>
        <v>--</v>
      </c>
      <c r="U27" s="352" t="str">
        <f t="shared" si="9"/>
        <v>--</v>
      </c>
      <c r="V27" s="353" t="str">
        <f t="shared" si="10"/>
        <v>--</v>
      </c>
      <c r="W27" s="354" t="str">
        <f t="shared" si="11"/>
        <v>--</v>
      </c>
      <c r="X27" s="355" t="str">
        <f t="shared" si="12"/>
        <v>--</v>
      </c>
      <c r="Y27" s="356" t="str">
        <f t="shared" si="13"/>
        <v>--</v>
      </c>
      <c r="Z27" s="161">
        <f t="shared" si="16"/>
      </c>
      <c r="AA27" s="318">
        <f t="shared" si="14"/>
      </c>
      <c r="AB27" s="17"/>
    </row>
    <row r="28" spans="1:28" s="5" customFormat="1" ht="16.5" customHeight="1">
      <c r="A28" s="90"/>
      <c r="B28" s="95"/>
      <c r="C28" s="157"/>
      <c r="D28" s="151"/>
      <c r="E28" s="303"/>
      <c r="F28" s="304"/>
      <c r="G28" s="305"/>
      <c r="H28" s="306">
        <f t="shared" si="0"/>
        <v>0</v>
      </c>
      <c r="I28" s="158"/>
      <c r="J28" s="158"/>
      <c r="K28" s="307">
        <f t="shared" si="1"/>
      </c>
      <c r="L28" s="14">
        <f t="shared" si="2"/>
      </c>
      <c r="M28" s="159"/>
      <c r="N28" s="235">
        <f t="shared" si="3"/>
      </c>
      <c r="O28" s="156">
        <f t="shared" si="15"/>
      </c>
      <c r="P28" s="155">
        <f t="shared" si="4"/>
      </c>
      <c r="Q28" s="367">
        <f t="shared" si="5"/>
        <v>20</v>
      </c>
      <c r="R28" s="349" t="str">
        <f t="shared" si="6"/>
        <v>--</v>
      </c>
      <c r="S28" s="350" t="str">
        <f t="shared" si="7"/>
        <v>--</v>
      </c>
      <c r="T28" s="351" t="str">
        <f t="shared" si="8"/>
        <v>--</v>
      </c>
      <c r="U28" s="352" t="str">
        <f t="shared" si="9"/>
        <v>--</v>
      </c>
      <c r="V28" s="353" t="str">
        <f t="shared" si="10"/>
        <v>--</v>
      </c>
      <c r="W28" s="354" t="str">
        <f t="shared" si="11"/>
        <v>--</v>
      </c>
      <c r="X28" s="355" t="str">
        <f t="shared" si="12"/>
        <v>--</v>
      </c>
      <c r="Y28" s="356" t="str">
        <f t="shared" si="13"/>
        <v>--</v>
      </c>
      <c r="Z28" s="161">
        <f t="shared" si="16"/>
      </c>
      <c r="AA28" s="318">
        <f t="shared" si="14"/>
      </c>
      <c r="AB28" s="17"/>
    </row>
    <row r="29" spans="1:28" s="5" customFormat="1" ht="16.5" customHeight="1">
      <c r="A29" s="90"/>
      <c r="B29" s="95"/>
      <c r="C29" s="289"/>
      <c r="D29" s="151"/>
      <c r="E29" s="303"/>
      <c r="F29" s="304"/>
      <c r="G29" s="305"/>
      <c r="H29" s="306">
        <f t="shared" si="0"/>
        <v>0</v>
      </c>
      <c r="I29" s="158"/>
      <c r="J29" s="158"/>
      <c r="K29" s="307">
        <f t="shared" si="1"/>
      </c>
      <c r="L29" s="14">
        <f t="shared" si="2"/>
      </c>
      <c r="M29" s="159"/>
      <c r="N29" s="235">
        <f t="shared" si="3"/>
      </c>
      <c r="O29" s="156">
        <f t="shared" si="15"/>
      </c>
      <c r="P29" s="155">
        <f t="shared" si="4"/>
      </c>
      <c r="Q29" s="367">
        <f t="shared" si="5"/>
        <v>20</v>
      </c>
      <c r="R29" s="349" t="str">
        <f t="shared" si="6"/>
        <v>--</v>
      </c>
      <c r="S29" s="350" t="str">
        <f t="shared" si="7"/>
        <v>--</v>
      </c>
      <c r="T29" s="351" t="str">
        <f t="shared" si="8"/>
        <v>--</v>
      </c>
      <c r="U29" s="352" t="str">
        <f t="shared" si="9"/>
        <v>--</v>
      </c>
      <c r="V29" s="353" t="str">
        <f t="shared" si="10"/>
        <v>--</v>
      </c>
      <c r="W29" s="354" t="str">
        <f t="shared" si="11"/>
        <v>--</v>
      </c>
      <c r="X29" s="355" t="str">
        <f t="shared" si="12"/>
        <v>--</v>
      </c>
      <c r="Y29" s="356" t="str">
        <f t="shared" si="13"/>
        <v>--</v>
      </c>
      <c r="Z29" s="161">
        <f t="shared" si="16"/>
      </c>
      <c r="AA29" s="318">
        <f t="shared" si="14"/>
      </c>
      <c r="AB29" s="17"/>
    </row>
    <row r="30" spans="1:28" s="5" customFormat="1" ht="16.5" customHeight="1">
      <c r="A30" s="90"/>
      <c r="B30" s="95"/>
      <c r="C30" s="157"/>
      <c r="D30" s="151"/>
      <c r="E30" s="319"/>
      <c r="F30" s="304"/>
      <c r="G30" s="305"/>
      <c r="H30" s="306">
        <f t="shared" si="0"/>
        <v>0</v>
      </c>
      <c r="I30" s="158"/>
      <c r="J30" s="158"/>
      <c r="K30" s="307">
        <f t="shared" si="1"/>
      </c>
      <c r="L30" s="14">
        <f t="shared" si="2"/>
      </c>
      <c r="M30" s="159"/>
      <c r="N30" s="235">
        <f t="shared" si="3"/>
      </c>
      <c r="O30" s="156">
        <f t="shared" si="15"/>
      </c>
      <c r="P30" s="155">
        <f t="shared" si="4"/>
      </c>
      <c r="Q30" s="367">
        <f t="shared" si="5"/>
        <v>20</v>
      </c>
      <c r="R30" s="349" t="str">
        <f t="shared" si="6"/>
        <v>--</v>
      </c>
      <c r="S30" s="350" t="str">
        <f t="shared" si="7"/>
        <v>--</v>
      </c>
      <c r="T30" s="351" t="str">
        <f t="shared" si="8"/>
        <v>--</v>
      </c>
      <c r="U30" s="352" t="str">
        <f t="shared" si="9"/>
        <v>--</v>
      </c>
      <c r="V30" s="353" t="str">
        <f t="shared" si="10"/>
        <v>--</v>
      </c>
      <c r="W30" s="354" t="str">
        <f t="shared" si="11"/>
        <v>--</v>
      </c>
      <c r="X30" s="355" t="str">
        <f t="shared" si="12"/>
        <v>--</v>
      </c>
      <c r="Y30" s="356" t="str">
        <f t="shared" si="13"/>
        <v>--</v>
      </c>
      <c r="Z30" s="161">
        <f t="shared" si="16"/>
      </c>
      <c r="AA30" s="318">
        <f t="shared" si="14"/>
      </c>
      <c r="AB30" s="17"/>
    </row>
    <row r="31" spans="1:28" s="5" customFormat="1" ht="16.5" customHeight="1">
      <c r="A31" s="90"/>
      <c r="B31" s="95"/>
      <c r="C31" s="289"/>
      <c r="D31" s="151"/>
      <c r="E31" s="319"/>
      <c r="F31" s="304"/>
      <c r="G31" s="305"/>
      <c r="H31" s="306">
        <f t="shared" si="0"/>
        <v>0</v>
      </c>
      <c r="I31" s="158"/>
      <c r="J31" s="158"/>
      <c r="K31" s="307">
        <f t="shared" si="1"/>
      </c>
      <c r="L31" s="14">
        <f t="shared" si="2"/>
      </c>
      <c r="M31" s="159"/>
      <c r="N31" s="235">
        <f t="shared" si="3"/>
      </c>
      <c r="O31" s="156">
        <f t="shared" si="15"/>
      </c>
      <c r="P31" s="155">
        <f t="shared" si="4"/>
      </c>
      <c r="Q31" s="367">
        <f t="shared" si="5"/>
        <v>20</v>
      </c>
      <c r="R31" s="349" t="str">
        <f t="shared" si="6"/>
        <v>--</v>
      </c>
      <c r="S31" s="350" t="str">
        <f t="shared" si="7"/>
        <v>--</v>
      </c>
      <c r="T31" s="351" t="str">
        <f t="shared" si="8"/>
        <v>--</v>
      </c>
      <c r="U31" s="352" t="str">
        <f t="shared" si="9"/>
        <v>--</v>
      </c>
      <c r="V31" s="353" t="str">
        <f t="shared" si="10"/>
        <v>--</v>
      </c>
      <c r="W31" s="354" t="str">
        <f t="shared" si="11"/>
        <v>--</v>
      </c>
      <c r="X31" s="355" t="str">
        <f t="shared" si="12"/>
        <v>--</v>
      </c>
      <c r="Y31" s="356" t="str">
        <f t="shared" si="13"/>
        <v>--</v>
      </c>
      <c r="Z31" s="161">
        <f t="shared" si="16"/>
      </c>
      <c r="AA31" s="318">
        <f t="shared" si="14"/>
      </c>
      <c r="AB31" s="17"/>
    </row>
    <row r="32" spans="1:28" s="5" customFormat="1" ht="16.5" customHeight="1">
      <c r="A32" s="90"/>
      <c r="B32" s="95"/>
      <c r="C32" s="157"/>
      <c r="D32" s="151"/>
      <c r="E32" s="319"/>
      <c r="F32" s="304"/>
      <c r="G32" s="305"/>
      <c r="H32" s="306">
        <f t="shared" si="0"/>
        <v>0</v>
      </c>
      <c r="I32" s="158"/>
      <c r="J32" s="158"/>
      <c r="K32" s="307">
        <f t="shared" si="1"/>
      </c>
      <c r="L32" s="14">
        <f t="shared" si="2"/>
      </c>
      <c r="M32" s="159"/>
      <c r="N32" s="235">
        <f t="shared" si="3"/>
      </c>
      <c r="O32" s="156">
        <f t="shared" si="15"/>
      </c>
      <c r="P32" s="155">
        <f t="shared" si="4"/>
      </c>
      <c r="Q32" s="367">
        <f t="shared" si="5"/>
        <v>20</v>
      </c>
      <c r="R32" s="349" t="str">
        <f t="shared" si="6"/>
        <v>--</v>
      </c>
      <c r="S32" s="350" t="str">
        <f t="shared" si="7"/>
        <v>--</v>
      </c>
      <c r="T32" s="351" t="str">
        <f t="shared" si="8"/>
        <v>--</v>
      </c>
      <c r="U32" s="352" t="str">
        <f t="shared" si="9"/>
        <v>--</v>
      </c>
      <c r="V32" s="353" t="str">
        <f t="shared" si="10"/>
        <v>--</v>
      </c>
      <c r="W32" s="354" t="str">
        <f t="shared" si="11"/>
        <v>--</v>
      </c>
      <c r="X32" s="355" t="str">
        <f t="shared" si="12"/>
        <v>--</v>
      </c>
      <c r="Y32" s="356" t="str">
        <f t="shared" si="13"/>
        <v>--</v>
      </c>
      <c r="Z32" s="161">
        <f t="shared" si="16"/>
      </c>
      <c r="AA32" s="318">
        <f t="shared" si="14"/>
      </c>
      <c r="AB32" s="17"/>
    </row>
    <row r="33" spans="1:28" s="5" customFormat="1" ht="16.5" customHeight="1">
      <c r="A33" s="90"/>
      <c r="B33" s="95"/>
      <c r="C33" s="289"/>
      <c r="D33" s="151"/>
      <c r="E33" s="319"/>
      <c r="F33" s="304"/>
      <c r="G33" s="305"/>
      <c r="H33" s="306">
        <f t="shared" si="0"/>
        <v>0</v>
      </c>
      <c r="I33" s="158"/>
      <c r="J33" s="158"/>
      <c r="K33" s="307">
        <f t="shared" si="1"/>
      </c>
      <c r="L33" s="14">
        <f t="shared" si="2"/>
      </c>
      <c r="M33" s="159"/>
      <c r="N33" s="235">
        <f t="shared" si="3"/>
      </c>
      <c r="O33" s="156">
        <f t="shared" si="15"/>
      </c>
      <c r="P33" s="155">
        <f t="shared" si="4"/>
      </c>
      <c r="Q33" s="367">
        <f t="shared" si="5"/>
        <v>20</v>
      </c>
      <c r="R33" s="349" t="str">
        <f t="shared" si="6"/>
        <v>--</v>
      </c>
      <c r="S33" s="350" t="str">
        <f t="shared" si="7"/>
        <v>--</v>
      </c>
      <c r="T33" s="351" t="str">
        <f t="shared" si="8"/>
        <v>--</v>
      </c>
      <c r="U33" s="352" t="str">
        <f t="shared" si="9"/>
        <v>--</v>
      </c>
      <c r="V33" s="353" t="str">
        <f t="shared" si="10"/>
        <v>--</v>
      </c>
      <c r="W33" s="354" t="str">
        <f t="shared" si="11"/>
        <v>--</v>
      </c>
      <c r="X33" s="355" t="str">
        <f t="shared" si="12"/>
        <v>--</v>
      </c>
      <c r="Y33" s="356" t="str">
        <f t="shared" si="13"/>
        <v>--</v>
      </c>
      <c r="Z33" s="161">
        <f t="shared" si="16"/>
      </c>
      <c r="AA33" s="318">
        <f t="shared" si="14"/>
      </c>
      <c r="AB33" s="17"/>
    </row>
    <row r="34" spans="1:28" s="5" customFormat="1" ht="16.5" customHeight="1">
      <c r="A34" s="90"/>
      <c r="B34" s="95"/>
      <c r="C34" s="157"/>
      <c r="D34" s="151"/>
      <c r="E34" s="319"/>
      <c r="F34" s="304"/>
      <c r="G34" s="305"/>
      <c r="H34" s="306">
        <f t="shared" si="0"/>
        <v>0</v>
      </c>
      <c r="I34" s="158"/>
      <c r="J34" s="158"/>
      <c r="K34" s="307">
        <f t="shared" si="1"/>
      </c>
      <c r="L34" s="14">
        <f t="shared" si="2"/>
      </c>
      <c r="M34" s="159"/>
      <c r="N34" s="235">
        <f t="shared" si="3"/>
      </c>
      <c r="O34" s="156">
        <f t="shared" si="15"/>
      </c>
      <c r="P34" s="155">
        <f t="shared" si="4"/>
      </c>
      <c r="Q34" s="367">
        <f t="shared" si="5"/>
        <v>20</v>
      </c>
      <c r="R34" s="349" t="str">
        <f t="shared" si="6"/>
        <v>--</v>
      </c>
      <c r="S34" s="350" t="str">
        <f t="shared" si="7"/>
        <v>--</v>
      </c>
      <c r="T34" s="351" t="str">
        <f t="shared" si="8"/>
        <v>--</v>
      </c>
      <c r="U34" s="352" t="str">
        <f t="shared" si="9"/>
        <v>--</v>
      </c>
      <c r="V34" s="353" t="str">
        <f t="shared" si="10"/>
        <v>--</v>
      </c>
      <c r="W34" s="354" t="str">
        <f t="shared" si="11"/>
        <v>--</v>
      </c>
      <c r="X34" s="355" t="str">
        <f t="shared" si="12"/>
        <v>--</v>
      </c>
      <c r="Y34" s="356" t="str">
        <f t="shared" si="13"/>
        <v>--</v>
      </c>
      <c r="Z34" s="161">
        <f t="shared" si="16"/>
      </c>
      <c r="AA34" s="318">
        <f t="shared" si="14"/>
      </c>
      <c r="AB34" s="17"/>
    </row>
    <row r="35" spans="1:28" s="5" customFormat="1" ht="16.5" customHeight="1">
      <c r="A35" s="90"/>
      <c r="B35" s="95"/>
      <c r="C35" s="289"/>
      <c r="D35" s="151"/>
      <c r="E35" s="319"/>
      <c r="F35" s="304"/>
      <c r="G35" s="305"/>
      <c r="H35" s="306">
        <f t="shared" si="0"/>
        <v>0</v>
      </c>
      <c r="I35" s="158"/>
      <c r="J35" s="158"/>
      <c r="K35" s="307">
        <f t="shared" si="1"/>
      </c>
      <c r="L35" s="14">
        <f t="shared" si="2"/>
      </c>
      <c r="M35" s="159"/>
      <c r="N35" s="235">
        <f t="shared" si="3"/>
      </c>
      <c r="O35" s="156">
        <f t="shared" si="15"/>
      </c>
      <c r="P35" s="155">
        <f t="shared" si="4"/>
      </c>
      <c r="Q35" s="367">
        <f t="shared" si="5"/>
        <v>20</v>
      </c>
      <c r="R35" s="349" t="str">
        <f t="shared" si="6"/>
        <v>--</v>
      </c>
      <c r="S35" s="350" t="str">
        <f t="shared" si="7"/>
        <v>--</v>
      </c>
      <c r="T35" s="351" t="str">
        <f t="shared" si="8"/>
        <v>--</v>
      </c>
      <c r="U35" s="352" t="str">
        <f t="shared" si="9"/>
        <v>--</v>
      </c>
      <c r="V35" s="353" t="str">
        <f t="shared" si="10"/>
        <v>--</v>
      </c>
      <c r="W35" s="354" t="str">
        <f t="shared" si="11"/>
        <v>--</v>
      </c>
      <c r="X35" s="355" t="str">
        <f t="shared" si="12"/>
        <v>--</v>
      </c>
      <c r="Y35" s="356" t="str">
        <f t="shared" si="13"/>
        <v>--</v>
      </c>
      <c r="Z35" s="161">
        <f t="shared" si="16"/>
      </c>
      <c r="AA35" s="318">
        <f t="shared" si="14"/>
      </c>
      <c r="AB35" s="17"/>
    </row>
    <row r="36" spans="1:28" s="5" customFormat="1" ht="16.5" customHeight="1">
      <c r="A36" s="90"/>
      <c r="B36" s="95"/>
      <c r="C36" s="157"/>
      <c r="D36" s="151"/>
      <c r="E36" s="319"/>
      <c r="F36" s="304"/>
      <c r="G36" s="305"/>
      <c r="H36" s="306">
        <f t="shared" si="0"/>
        <v>0</v>
      </c>
      <c r="I36" s="158"/>
      <c r="J36" s="158"/>
      <c r="K36" s="307">
        <f t="shared" si="1"/>
      </c>
      <c r="L36" s="14">
        <f t="shared" si="2"/>
      </c>
      <c r="M36" s="159"/>
      <c r="N36" s="235">
        <f t="shared" si="3"/>
      </c>
      <c r="O36" s="156">
        <f t="shared" si="15"/>
      </c>
      <c r="P36" s="155">
        <f t="shared" si="4"/>
      </c>
      <c r="Q36" s="367">
        <f t="shared" si="5"/>
        <v>20</v>
      </c>
      <c r="R36" s="349" t="str">
        <f t="shared" si="6"/>
        <v>--</v>
      </c>
      <c r="S36" s="350" t="str">
        <f t="shared" si="7"/>
        <v>--</v>
      </c>
      <c r="T36" s="351" t="str">
        <f t="shared" si="8"/>
        <v>--</v>
      </c>
      <c r="U36" s="352" t="str">
        <f t="shared" si="9"/>
        <v>--</v>
      </c>
      <c r="V36" s="353" t="str">
        <f t="shared" si="10"/>
        <v>--</v>
      </c>
      <c r="W36" s="354" t="str">
        <f t="shared" si="11"/>
        <v>--</v>
      </c>
      <c r="X36" s="355" t="str">
        <f t="shared" si="12"/>
        <v>--</v>
      </c>
      <c r="Y36" s="356" t="str">
        <f t="shared" si="13"/>
        <v>--</v>
      </c>
      <c r="Z36" s="161">
        <f t="shared" si="16"/>
      </c>
      <c r="AA36" s="318">
        <f t="shared" si="14"/>
      </c>
      <c r="AB36" s="17"/>
    </row>
    <row r="37" spans="1:28" s="5" customFormat="1" ht="16.5" customHeight="1">
      <c r="A37" s="90"/>
      <c r="B37" s="95"/>
      <c r="C37" s="289"/>
      <c r="D37" s="151"/>
      <c r="E37" s="319"/>
      <c r="F37" s="304"/>
      <c r="G37" s="305"/>
      <c r="H37" s="306">
        <f t="shared" si="0"/>
        <v>0</v>
      </c>
      <c r="I37" s="158"/>
      <c r="J37" s="158"/>
      <c r="K37" s="307">
        <f t="shared" si="1"/>
      </c>
      <c r="L37" s="14">
        <f t="shared" si="2"/>
      </c>
      <c r="M37" s="159"/>
      <c r="N37" s="235">
        <f t="shared" si="3"/>
      </c>
      <c r="O37" s="156">
        <f t="shared" si="15"/>
      </c>
      <c r="P37" s="155">
        <f t="shared" si="4"/>
      </c>
      <c r="Q37" s="367">
        <f t="shared" si="5"/>
        <v>20</v>
      </c>
      <c r="R37" s="349" t="str">
        <f t="shared" si="6"/>
        <v>--</v>
      </c>
      <c r="S37" s="350" t="str">
        <f t="shared" si="7"/>
        <v>--</v>
      </c>
      <c r="T37" s="351" t="str">
        <f t="shared" si="8"/>
        <v>--</v>
      </c>
      <c r="U37" s="352" t="str">
        <f t="shared" si="9"/>
        <v>--</v>
      </c>
      <c r="V37" s="353" t="str">
        <f t="shared" si="10"/>
        <v>--</v>
      </c>
      <c r="W37" s="354" t="str">
        <f t="shared" si="11"/>
        <v>--</v>
      </c>
      <c r="X37" s="355" t="str">
        <f t="shared" si="12"/>
        <v>--</v>
      </c>
      <c r="Y37" s="356" t="str">
        <f t="shared" si="13"/>
        <v>--</v>
      </c>
      <c r="Z37" s="161">
        <f t="shared" si="16"/>
      </c>
      <c r="AA37" s="318">
        <f t="shared" si="14"/>
      </c>
      <c r="AB37" s="17"/>
    </row>
    <row r="38" spans="1:28" s="5" customFormat="1" ht="16.5" customHeight="1">
      <c r="A38" s="90"/>
      <c r="B38" s="95"/>
      <c r="C38" s="157"/>
      <c r="D38" s="151"/>
      <c r="E38" s="319"/>
      <c r="F38" s="304"/>
      <c r="G38" s="305"/>
      <c r="H38" s="306">
        <f t="shared" si="0"/>
        <v>0</v>
      </c>
      <c r="I38" s="158"/>
      <c r="J38" s="158"/>
      <c r="K38" s="307">
        <f t="shared" si="1"/>
      </c>
      <c r="L38" s="14">
        <f t="shared" si="2"/>
      </c>
      <c r="M38" s="159"/>
      <c r="N38" s="235">
        <f t="shared" si="3"/>
      </c>
      <c r="O38" s="156">
        <f t="shared" si="15"/>
      </c>
      <c r="P38" s="155">
        <f t="shared" si="4"/>
      </c>
      <c r="Q38" s="367">
        <f t="shared" si="5"/>
        <v>20</v>
      </c>
      <c r="R38" s="349" t="str">
        <f t="shared" si="6"/>
        <v>--</v>
      </c>
      <c r="S38" s="350" t="str">
        <f t="shared" si="7"/>
        <v>--</v>
      </c>
      <c r="T38" s="351" t="str">
        <f t="shared" si="8"/>
        <v>--</v>
      </c>
      <c r="U38" s="352" t="str">
        <f t="shared" si="9"/>
        <v>--</v>
      </c>
      <c r="V38" s="353" t="str">
        <f t="shared" si="10"/>
        <v>--</v>
      </c>
      <c r="W38" s="354" t="str">
        <f t="shared" si="11"/>
        <v>--</v>
      </c>
      <c r="X38" s="355" t="str">
        <f t="shared" si="12"/>
        <v>--</v>
      </c>
      <c r="Y38" s="356" t="str">
        <f t="shared" si="13"/>
        <v>--</v>
      </c>
      <c r="Z38" s="161">
        <f t="shared" si="16"/>
      </c>
      <c r="AA38" s="318">
        <f t="shared" si="14"/>
      </c>
      <c r="AB38" s="17"/>
    </row>
    <row r="39" spans="1:28" s="5" customFormat="1" ht="16.5" customHeight="1">
      <c r="A39" s="90"/>
      <c r="B39" s="95"/>
      <c r="C39" s="289"/>
      <c r="D39" s="151"/>
      <c r="E39" s="319"/>
      <c r="F39" s="304"/>
      <c r="G39" s="305"/>
      <c r="H39" s="306">
        <f t="shared" si="0"/>
        <v>0</v>
      </c>
      <c r="I39" s="158"/>
      <c r="J39" s="158"/>
      <c r="K39" s="307">
        <f t="shared" si="1"/>
      </c>
      <c r="L39" s="14">
        <f t="shared" si="2"/>
      </c>
      <c r="M39" s="159"/>
      <c r="N39" s="235">
        <f t="shared" si="3"/>
      </c>
      <c r="O39" s="156">
        <f t="shared" si="15"/>
      </c>
      <c r="P39" s="155">
        <f t="shared" si="4"/>
      </c>
      <c r="Q39" s="367">
        <f t="shared" si="5"/>
        <v>20</v>
      </c>
      <c r="R39" s="349" t="str">
        <f t="shared" si="6"/>
        <v>--</v>
      </c>
      <c r="S39" s="350" t="str">
        <f t="shared" si="7"/>
        <v>--</v>
      </c>
      <c r="T39" s="351" t="str">
        <f t="shared" si="8"/>
        <v>--</v>
      </c>
      <c r="U39" s="352" t="str">
        <f t="shared" si="9"/>
        <v>--</v>
      </c>
      <c r="V39" s="353" t="str">
        <f t="shared" si="10"/>
        <v>--</v>
      </c>
      <c r="W39" s="354" t="str">
        <f t="shared" si="11"/>
        <v>--</v>
      </c>
      <c r="X39" s="355" t="str">
        <f t="shared" si="12"/>
        <v>--</v>
      </c>
      <c r="Y39" s="356" t="str">
        <f t="shared" si="13"/>
        <v>--</v>
      </c>
      <c r="Z39" s="161">
        <f t="shared" si="16"/>
      </c>
      <c r="AA39" s="318">
        <f t="shared" si="14"/>
      </c>
      <c r="AB39" s="17"/>
    </row>
    <row r="40" spans="1:28" s="5" customFormat="1" ht="16.5" customHeight="1" thickBot="1">
      <c r="A40" s="90"/>
      <c r="B40" s="95"/>
      <c r="C40" s="157"/>
      <c r="D40" s="320"/>
      <c r="E40" s="321"/>
      <c r="F40" s="320"/>
      <c r="G40" s="322"/>
      <c r="H40" s="132"/>
      <c r="I40" s="160"/>
      <c r="J40" s="323"/>
      <c r="K40" s="324"/>
      <c r="L40" s="325"/>
      <c r="M40" s="165"/>
      <c r="N40" s="197"/>
      <c r="O40" s="163"/>
      <c r="P40" s="165"/>
      <c r="Q40" s="368"/>
      <c r="R40" s="357"/>
      <c r="S40" s="358"/>
      <c r="T40" s="359"/>
      <c r="U40" s="360"/>
      <c r="V40" s="361"/>
      <c r="W40" s="362"/>
      <c r="X40" s="363"/>
      <c r="Y40" s="364"/>
      <c r="Z40" s="365"/>
      <c r="AA40" s="336"/>
      <c r="AB40" s="17"/>
    </row>
    <row r="41" spans="1:28" s="5" customFormat="1" ht="16.5" customHeight="1" thickBot="1" thickTop="1">
      <c r="A41" s="90"/>
      <c r="B41" s="95"/>
      <c r="C41" s="128" t="s">
        <v>25</v>
      </c>
      <c r="D41" s="129" t="s">
        <v>366</v>
      </c>
      <c r="E41" s="15"/>
      <c r="F41" s="15"/>
      <c r="G41" s="15"/>
      <c r="H41" s="15"/>
      <c r="I41" s="15"/>
      <c r="J41" s="99"/>
      <c r="K41" s="15"/>
      <c r="L41" s="15"/>
      <c r="M41" s="15"/>
      <c r="N41" s="15"/>
      <c r="O41" s="15"/>
      <c r="P41" s="15"/>
      <c r="Q41" s="15"/>
      <c r="R41" s="337">
        <f aca="true" t="shared" si="17" ref="R41:Y41">SUM(R18:R40)</f>
        <v>2507.34</v>
      </c>
      <c r="S41" s="338">
        <f t="shared" si="17"/>
        <v>0</v>
      </c>
      <c r="T41" s="339">
        <f t="shared" si="17"/>
        <v>0</v>
      </c>
      <c r="U41" s="340">
        <f t="shared" si="17"/>
        <v>0</v>
      </c>
      <c r="V41" s="341">
        <f t="shared" si="17"/>
        <v>0</v>
      </c>
      <c r="W41" s="342">
        <f t="shared" si="17"/>
        <v>0</v>
      </c>
      <c r="X41" s="343">
        <f t="shared" si="17"/>
        <v>0</v>
      </c>
      <c r="Y41" s="344">
        <f t="shared" si="17"/>
        <v>0</v>
      </c>
      <c r="Z41" s="90"/>
      <c r="AA41" s="345">
        <f>ROUND(SUM(AA18:AA40),2)</f>
        <v>2507.34</v>
      </c>
      <c r="AB41" s="17"/>
    </row>
    <row r="42" spans="1:28" s="5" customFormat="1" ht="16.5" customHeight="1" thickBot="1" thickTop="1">
      <c r="A42" s="90"/>
      <c r="B42" s="102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4"/>
    </row>
    <row r="43" spans="1:29" ht="16.5" customHeight="1" thickTop="1">
      <c r="A43" s="2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</row>
    <row r="44" spans="1:29" ht="16.5" customHeight="1">
      <c r="A44" s="2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</row>
    <row r="45" spans="1:29" ht="16.5" customHeight="1">
      <c r="A45" s="2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</row>
    <row r="46" spans="1:29" ht="16.5" customHeight="1">
      <c r="A46" s="2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</row>
    <row r="47" spans="4:29" ht="16.5" customHeight="1"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</row>
    <row r="48" spans="4:29" ht="16.5" customHeight="1"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</row>
    <row r="49" spans="4:29" ht="16.5" customHeight="1"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</row>
    <row r="50" spans="4:29" ht="16.5" customHeight="1"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</row>
    <row r="51" spans="4:29" ht="16.5" customHeight="1"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</row>
    <row r="52" spans="4:29" ht="16.5" customHeight="1"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</row>
    <row r="53" spans="4:29" ht="16.5" customHeight="1"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</row>
    <row r="54" spans="4:29" ht="16.5" customHeight="1"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</row>
    <row r="55" spans="4:29" ht="16.5" customHeight="1"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</row>
    <row r="56" spans="4:29" ht="16.5" customHeight="1"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</row>
    <row r="57" spans="4:29" ht="16.5" customHeight="1"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</row>
    <row r="58" spans="4:29" ht="16.5" customHeight="1"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</row>
    <row r="59" spans="4:29" ht="16.5" customHeight="1"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</row>
    <row r="60" spans="4:29" ht="16.5" customHeight="1"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</row>
    <row r="61" spans="4:29" ht="16.5" customHeight="1"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</row>
    <row r="62" spans="4:29" ht="16.5" customHeight="1"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</row>
    <row r="63" spans="4:29" ht="16.5" customHeight="1"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</row>
    <row r="64" spans="4:29" ht="16.5" customHeight="1"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</row>
    <row r="65" spans="4:29" ht="16.5" customHeight="1"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</row>
    <row r="66" spans="4:29" ht="16.5" customHeight="1"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</row>
    <row r="67" spans="4:29" ht="16.5" customHeight="1"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</row>
    <row r="68" spans="4:29" ht="16.5" customHeight="1"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</row>
    <row r="69" spans="4:29" ht="16.5" customHeight="1"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</row>
    <row r="70" spans="4:29" ht="16.5" customHeight="1"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</row>
    <row r="71" spans="4:29" ht="16.5" customHeight="1"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179"/>
      <c r="AC71" s="179"/>
    </row>
    <row r="72" spans="4:29" ht="16.5" customHeight="1"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</row>
    <row r="73" spans="4:29" ht="16.5" customHeight="1"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  <c r="AB73" s="179"/>
      <c r="AC73" s="179"/>
    </row>
    <row r="74" spans="4:29" ht="16.5" customHeight="1"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179"/>
    </row>
    <row r="75" spans="4:29" ht="16.5" customHeight="1"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79"/>
      <c r="AB75" s="179"/>
      <c r="AC75" s="179"/>
    </row>
    <row r="76" spans="4:29" ht="16.5" customHeight="1"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</row>
    <row r="77" spans="4:29" ht="16.5" customHeight="1"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  <c r="AA77" s="179"/>
      <c r="AB77" s="179"/>
      <c r="AC77" s="179"/>
    </row>
    <row r="78" spans="4:29" ht="16.5" customHeight="1"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</row>
    <row r="79" spans="4:29" ht="16.5" customHeight="1"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</row>
    <row r="80" spans="4:29" ht="16.5" customHeight="1"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  <c r="AA80" s="179"/>
      <c r="AB80" s="179"/>
      <c r="AC80" s="179"/>
    </row>
    <row r="81" spans="4:29" ht="16.5" customHeight="1"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  <c r="AA81" s="179"/>
      <c r="AB81" s="179"/>
      <c r="AC81" s="179"/>
    </row>
    <row r="82" spans="4:29" ht="16.5" customHeight="1"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  <c r="Z82" s="179"/>
      <c r="AA82" s="179"/>
      <c r="AB82" s="179"/>
      <c r="AC82" s="179"/>
    </row>
    <row r="83" spans="4:29" ht="16.5" customHeight="1"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79"/>
      <c r="AA83" s="179"/>
      <c r="AB83" s="179"/>
      <c r="AC83" s="179"/>
    </row>
    <row r="84" spans="4:29" ht="16.5" customHeight="1"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  <c r="T84" s="179"/>
      <c r="U84" s="179"/>
      <c r="V84" s="179"/>
      <c r="W84" s="179"/>
      <c r="X84" s="179"/>
      <c r="Y84" s="179"/>
      <c r="Z84" s="179"/>
      <c r="AA84" s="179"/>
      <c r="AB84" s="179"/>
      <c r="AC84" s="179"/>
    </row>
    <row r="85" spans="4:29" ht="16.5" customHeight="1"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  <c r="AB85" s="179"/>
      <c r="AC85" s="179"/>
    </row>
    <row r="86" spans="4:29" ht="16.5" customHeight="1"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  <c r="W86" s="179"/>
      <c r="X86" s="179"/>
      <c r="Y86" s="179"/>
      <c r="Z86" s="179"/>
      <c r="AA86" s="179"/>
      <c r="AB86" s="179"/>
      <c r="AC86" s="179"/>
    </row>
    <row r="87" spans="4:29" ht="16.5" customHeight="1"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</row>
    <row r="88" spans="4:29" ht="16.5" customHeight="1"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79"/>
      <c r="X88" s="179"/>
      <c r="Y88" s="179"/>
      <c r="Z88" s="179"/>
      <c r="AA88" s="179"/>
      <c r="AB88" s="179"/>
      <c r="AC88" s="179"/>
    </row>
    <row r="89" spans="4:29" ht="16.5" customHeight="1"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  <c r="AA89" s="179"/>
      <c r="AB89" s="179"/>
      <c r="AC89" s="179"/>
    </row>
    <row r="90" spans="4:29" ht="16.5" customHeight="1"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  <c r="X90" s="179"/>
      <c r="Y90" s="179"/>
      <c r="Z90" s="179"/>
      <c r="AA90" s="179"/>
      <c r="AB90" s="179"/>
      <c r="AC90" s="179"/>
    </row>
    <row r="91" spans="4:29" ht="16.5" customHeight="1"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79"/>
      <c r="Z91" s="179"/>
      <c r="AA91" s="179"/>
      <c r="AB91" s="179"/>
      <c r="AC91" s="179"/>
    </row>
    <row r="92" spans="4:29" ht="16.5" customHeight="1"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  <c r="AB92" s="179"/>
      <c r="AC92" s="179"/>
    </row>
    <row r="93" spans="4:29" ht="16.5" customHeight="1"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  <c r="X93" s="179"/>
      <c r="Y93" s="179"/>
      <c r="Z93" s="179"/>
      <c r="AA93" s="179"/>
      <c r="AB93" s="179"/>
      <c r="AC93" s="179"/>
    </row>
    <row r="94" spans="4:29" ht="16.5" customHeight="1"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9"/>
      <c r="Z94" s="179"/>
      <c r="AA94" s="179"/>
      <c r="AB94" s="179"/>
      <c r="AC94" s="179"/>
    </row>
    <row r="95" spans="4:29" ht="16.5" customHeight="1"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  <c r="X95" s="179"/>
      <c r="Y95" s="179"/>
      <c r="Z95" s="179"/>
      <c r="AA95" s="179"/>
      <c r="AB95" s="179"/>
      <c r="AC95" s="179"/>
    </row>
    <row r="96" spans="4:29" ht="16.5" customHeight="1"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79"/>
      <c r="AA96" s="179"/>
      <c r="AB96" s="179"/>
      <c r="AC96" s="179"/>
    </row>
    <row r="97" spans="4:29" ht="16.5" customHeight="1"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  <c r="Z97" s="179"/>
      <c r="AA97" s="179"/>
      <c r="AB97" s="179"/>
      <c r="AC97" s="179"/>
    </row>
    <row r="98" spans="4:29" ht="16.5" customHeight="1"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  <c r="S98" s="179"/>
      <c r="T98" s="179"/>
      <c r="U98" s="179"/>
      <c r="V98" s="179"/>
      <c r="W98" s="179"/>
      <c r="X98" s="179"/>
      <c r="Y98" s="179"/>
      <c r="Z98" s="179"/>
      <c r="AA98" s="179"/>
      <c r="AB98" s="179"/>
      <c r="AC98" s="179"/>
    </row>
    <row r="99" spans="4:29" ht="16.5" customHeight="1"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  <c r="S99" s="179"/>
      <c r="T99" s="179"/>
      <c r="U99" s="179"/>
      <c r="V99" s="179"/>
      <c r="W99" s="179"/>
      <c r="X99" s="179"/>
      <c r="Y99" s="179"/>
      <c r="Z99" s="179"/>
      <c r="AA99" s="179"/>
      <c r="AB99" s="179"/>
      <c r="AC99" s="179"/>
    </row>
    <row r="100" spans="4:29" ht="16.5" customHeight="1"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179"/>
      <c r="U100" s="179"/>
      <c r="V100" s="179"/>
      <c r="W100" s="179"/>
      <c r="X100" s="179"/>
      <c r="Y100" s="179"/>
      <c r="Z100" s="179"/>
      <c r="AA100" s="179"/>
      <c r="AB100" s="179"/>
      <c r="AC100" s="179"/>
    </row>
    <row r="101" spans="4:29" ht="16.5" customHeight="1"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  <c r="S101" s="179"/>
      <c r="T101" s="179"/>
      <c r="U101" s="179"/>
      <c r="V101" s="179"/>
      <c r="W101" s="179"/>
      <c r="X101" s="179"/>
      <c r="Y101" s="179"/>
      <c r="Z101" s="179"/>
      <c r="AA101" s="179"/>
      <c r="AB101" s="179"/>
      <c r="AC101" s="179"/>
    </row>
    <row r="102" spans="4:29" ht="16.5" customHeight="1"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179"/>
      <c r="Y102" s="179"/>
      <c r="Z102" s="179"/>
      <c r="AA102" s="179"/>
      <c r="AB102" s="179"/>
      <c r="AC102" s="179"/>
    </row>
    <row r="103" spans="4:29" ht="16.5" customHeight="1"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  <c r="S103" s="179"/>
      <c r="T103" s="179"/>
      <c r="U103" s="179"/>
      <c r="V103" s="179"/>
      <c r="W103" s="179"/>
      <c r="X103" s="179"/>
      <c r="Y103" s="179"/>
      <c r="Z103" s="179"/>
      <c r="AA103" s="179"/>
      <c r="AB103" s="179"/>
      <c r="AC103" s="179"/>
    </row>
    <row r="104" spans="4:29" ht="16.5" customHeight="1"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179"/>
      <c r="U104" s="179"/>
      <c r="V104" s="179"/>
      <c r="W104" s="179"/>
      <c r="X104" s="179"/>
      <c r="Y104" s="179"/>
      <c r="Z104" s="179"/>
      <c r="AA104" s="179"/>
      <c r="AB104" s="179"/>
      <c r="AC104" s="179"/>
    </row>
    <row r="105" spans="4:29" ht="16.5" customHeight="1"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  <c r="S105" s="179"/>
      <c r="T105" s="179"/>
      <c r="U105" s="179"/>
      <c r="V105" s="179"/>
      <c r="W105" s="179"/>
      <c r="X105" s="179"/>
      <c r="Y105" s="179"/>
      <c r="Z105" s="179"/>
      <c r="AA105" s="179"/>
      <c r="AB105" s="179"/>
      <c r="AC105" s="179"/>
    </row>
    <row r="106" spans="4:29" ht="16.5" customHeight="1"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T106" s="179"/>
      <c r="U106" s="179"/>
      <c r="V106" s="179"/>
      <c r="W106" s="179"/>
      <c r="X106" s="179"/>
      <c r="Y106" s="179"/>
      <c r="Z106" s="179"/>
      <c r="AA106" s="179"/>
      <c r="AB106" s="179"/>
      <c r="AC106" s="179"/>
    </row>
    <row r="107" spans="4:29" ht="16.5" customHeight="1"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  <c r="S107" s="179"/>
      <c r="T107" s="179"/>
      <c r="U107" s="179"/>
      <c r="V107" s="179"/>
      <c r="W107" s="179"/>
      <c r="X107" s="179"/>
      <c r="Y107" s="179"/>
      <c r="Z107" s="179"/>
      <c r="AA107" s="179"/>
      <c r="AB107" s="179"/>
      <c r="AC107" s="179"/>
    </row>
    <row r="108" spans="4:29" ht="16.5" customHeight="1"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  <c r="S108" s="179"/>
      <c r="T108" s="179"/>
      <c r="U108" s="179"/>
      <c r="V108" s="179"/>
      <c r="W108" s="179"/>
      <c r="X108" s="179"/>
      <c r="Y108" s="179"/>
      <c r="Z108" s="179"/>
      <c r="AA108" s="179"/>
      <c r="AB108" s="179"/>
      <c r="AC108" s="179"/>
    </row>
    <row r="109" spans="4:29" ht="16.5" customHeight="1"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  <c r="S109" s="179"/>
      <c r="T109" s="179"/>
      <c r="U109" s="179"/>
      <c r="V109" s="179"/>
      <c r="W109" s="179"/>
      <c r="X109" s="179"/>
      <c r="Y109" s="179"/>
      <c r="Z109" s="179"/>
      <c r="AA109" s="179"/>
      <c r="AB109" s="179"/>
      <c r="AC109" s="179"/>
    </row>
    <row r="110" spans="4:29" ht="16.5" customHeight="1"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  <c r="S110" s="179"/>
      <c r="T110" s="179"/>
      <c r="U110" s="179"/>
      <c r="V110" s="179"/>
      <c r="W110" s="179"/>
      <c r="X110" s="179"/>
      <c r="Y110" s="179"/>
      <c r="Z110" s="179"/>
      <c r="AA110" s="179"/>
      <c r="AB110" s="179"/>
      <c r="AC110" s="179"/>
    </row>
    <row r="111" spans="4:29" ht="16.5" customHeight="1"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  <c r="S111" s="179"/>
      <c r="T111" s="179"/>
      <c r="U111" s="179"/>
      <c r="V111" s="179"/>
      <c r="W111" s="179"/>
      <c r="X111" s="179"/>
      <c r="Y111" s="179"/>
      <c r="Z111" s="179"/>
      <c r="AA111" s="179"/>
      <c r="AB111" s="179"/>
      <c r="AC111" s="179"/>
    </row>
    <row r="112" spans="4:29" ht="16.5" customHeight="1"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  <c r="S112" s="179"/>
      <c r="T112" s="179"/>
      <c r="U112" s="179"/>
      <c r="V112" s="179"/>
      <c r="W112" s="179"/>
      <c r="X112" s="179"/>
      <c r="Y112" s="179"/>
      <c r="Z112" s="179"/>
      <c r="AA112" s="179"/>
      <c r="AB112" s="179"/>
      <c r="AC112" s="179"/>
    </row>
    <row r="113" spans="4:29" ht="16.5" customHeight="1"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  <c r="S113" s="179"/>
      <c r="T113" s="179"/>
      <c r="U113" s="179"/>
      <c r="V113" s="179"/>
      <c r="W113" s="179"/>
      <c r="X113" s="179"/>
      <c r="Y113" s="179"/>
      <c r="Z113" s="179"/>
      <c r="AA113" s="179"/>
      <c r="AB113" s="179"/>
      <c r="AC113" s="179"/>
    </row>
    <row r="114" spans="4:29" ht="16.5" customHeight="1"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  <c r="S114" s="179"/>
      <c r="T114" s="179"/>
      <c r="U114" s="179"/>
      <c r="V114" s="179"/>
      <c r="W114" s="179"/>
      <c r="X114" s="179"/>
      <c r="Y114" s="179"/>
      <c r="Z114" s="179"/>
      <c r="AA114" s="179"/>
      <c r="AB114" s="179"/>
      <c r="AC114" s="179"/>
    </row>
    <row r="115" spans="4:29" ht="16.5" customHeight="1"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  <c r="S115" s="179"/>
      <c r="T115" s="179"/>
      <c r="U115" s="179"/>
      <c r="V115" s="179"/>
      <c r="W115" s="179"/>
      <c r="X115" s="179"/>
      <c r="Y115" s="179"/>
      <c r="Z115" s="179"/>
      <c r="AA115" s="179"/>
      <c r="AB115" s="179"/>
      <c r="AC115" s="179"/>
    </row>
    <row r="116" spans="4:29" ht="16.5" customHeight="1"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  <c r="S116" s="179"/>
      <c r="T116" s="179"/>
      <c r="U116" s="179"/>
      <c r="V116" s="179"/>
      <c r="W116" s="179"/>
      <c r="X116" s="179"/>
      <c r="Y116" s="179"/>
      <c r="Z116" s="179"/>
      <c r="AA116" s="179"/>
      <c r="AB116" s="179"/>
      <c r="AC116" s="179"/>
    </row>
    <row r="117" spans="4:29" ht="16.5" customHeight="1"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  <c r="S117" s="179"/>
      <c r="T117" s="179"/>
      <c r="U117" s="179"/>
      <c r="V117" s="179"/>
      <c r="W117" s="179"/>
      <c r="X117" s="179"/>
      <c r="Y117" s="179"/>
      <c r="Z117" s="179"/>
      <c r="AA117" s="179"/>
      <c r="AB117" s="179"/>
      <c r="AC117" s="179"/>
    </row>
    <row r="118" spans="4:29" ht="16.5" customHeight="1"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  <c r="S118" s="179"/>
      <c r="T118" s="179"/>
      <c r="U118" s="179"/>
      <c r="V118" s="179"/>
      <c r="W118" s="179"/>
      <c r="X118" s="179"/>
      <c r="Y118" s="179"/>
      <c r="Z118" s="179"/>
      <c r="AA118" s="179"/>
      <c r="AB118" s="179"/>
      <c r="AC118" s="179"/>
    </row>
    <row r="119" spans="4:29" ht="16.5" customHeight="1"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  <c r="S119" s="179"/>
      <c r="T119" s="179"/>
      <c r="U119" s="179"/>
      <c r="V119" s="179"/>
      <c r="W119" s="179"/>
      <c r="X119" s="179"/>
      <c r="Y119" s="179"/>
      <c r="Z119" s="179"/>
      <c r="AA119" s="179"/>
      <c r="AB119" s="179"/>
      <c r="AC119" s="179"/>
    </row>
    <row r="120" spans="4:29" ht="16.5" customHeight="1"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  <c r="S120" s="179"/>
      <c r="T120" s="179"/>
      <c r="U120" s="179"/>
      <c r="V120" s="179"/>
      <c r="W120" s="179"/>
      <c r="X120" s="179"/>
      <c r="Y120" s="179"/>
      <c r="Z120" s="179"/>
      <c r="AA120" s="179"/>
      <c r="AB120" s="179"/>
      <c r="AC120" s="179"/>
    </row>
    <row r="121" spans="4:29" ht="16.5" customHeight="1"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  <c r="S121" s="179"/>
      <c r="T121" s="179"/>
      <c r="U121" s="179"/>
      <c r="V121" s="179"/>
      <c r="W121" s="179"/>
      <c r="X121" s="179"/>
      <c r="Y121" s="179"/>
      <c r="Z121" s="179"/>
      <c r="AA121" s="179"/>
      <c r="AB121" s="179"/>
      <c r="AC121" s="179"/>
    </row>
    <row r="122" spans="4:29" ht="16.5" customHeight="1"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  <c r="S122" s="179"/>
      <c r="T122" s="179"/>
      <c r="U122" s="179"/>
      <c r="V122" s="179"/>
      <c r="W122" s="179"/>
      <c r="X122" s="179"/>
      <c r="Y122" s="179"/>
      <c r="Z122" s="179"/>
      <c r="AA122" s="179"/>
      <c r="AB122" s="179"/>
      <c r="AC122" s="179"/>
    </row>
    <row r="123" spans="4:29" ht="16.5" customHeight="1"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  <c r="S123" s="179"/>
      <c r="T123" s="179"/>
      <c r="U123" s="179"/>
      <c r="V123" s="179"/>
      <c r="W123" s="179"/>
      <c r="X123" s="179"/>
      <c r="Y123" s="179"/>
      <c r="Z123" s="179"/>
      <c r="AA123" s="179"/>
      <c r="AB123" s="179"/>
      <c r="AC123" s="179"/>
    </row>
    <row r="124" spans="4:29" ht="16.5" customHeight="1"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  <c r="S124" s="179"/>
      <c r="T124" s="179"/>
      <c r="U124" s="179"/>
      <c r="V124" s="179"/>
      <c r="W124" s="179"/>
      <c r="X124" s="179"/>
      <c r="Y124" s="179"/>
      <c r="Z124" s="179"/>
      <c r="AA124" s="179"/>
      <c r="AB124" s="179"/>
      <c r="AC124" s="179"/>
    </row>
    <row r="125" spans="4:29" ht="16.5" customHeight="1"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  <c r="S125" s="179"/>
      <c r="T125" s="179"/>
      <c r="U125" s="179"/>
      <c r="V125" s="179"/>
      <c r="W125" s="179"/>
      <c r="X125" s="179"/>
      <c r="Y125" s="179"/>
      <c r="Z125" s="179"/>
      <c r="AA125" s="179"/>
      <c r="AB125" s="179"/>
      <c r="AC125" s="179"/>
    </row>
    <row r="126" spans="4:29" ht="16.5" customHeight="1"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  <c r="S126" s="179"/>
      <c r="T126" s="179"/>
      <c r="U126" s="179"/>
      <c r="V126" s="179"/>
      <c r="W126" s="179"/>
      <c r="X126" s="179"/>
      <c r="Y126" s="179"/>
      <c r="Z126" s="179"/>
      <c r="AA126" s="179"/>
      <c r="AB126" s="179"/>
      <c r="AC126" s="179"/>
    </row>
    <row r="127" spans="4:29" ht="16.5" customHeight="1"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  <c r="S127" s="179"/>
      <c r="T127" s="179"/>
      <c r="U127" s="179"/>
      <c r="V127" s="179"/>
      <c r="W127" s="179"/>
      <c r="X127" s="179"/>
      <c r="Y127" s="179"/>
      <c r="Z127" s="179"/>
      <c r="AA127" s="179"/>
      <c r="AB127" s="179"/>
      <c r="AC127" s="179"/>
    </row>
    <row r="128" spans="4:29" ht="16.5" customHeight="1"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  <c r="S128" s="179"/>
      <c r="T128" s="179"/>
      <c r="U128" s="179"/>
      <c r="V128" s="179"/>
      <c r="W128" s="179"/>
      <c r="X128" s="179"/>
      <c r="Y128" s="179"/>
      <c r="Z128" s="179"/>
      <c r="AA128" s="179"/>
      <c r="AB128" s="179"/>
      <c r="AC128" s="179"/>
    </row>
    <row r="129" spans="4:29" ht="16.5" customHeight="1"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  <c r="S129" s="179"/>
      <c r="T129" s="179"/>
      <c r="U129" s="179"/>
      <c r="V129" s="179"/>
      <c r="W129" s="179"/>
      <c r="X129" s="179"/>
      <c r="Y129" s="179"/>
      <c r="Z129" s="179"/>
      <c r="AA129" s="179"/>
      <c r="AB129" s="179"/>
      <c r="AC129" s="179"/>
    </row>
    <row r="130" spans="4:29" ht="16.5" customHeight="1"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  <c r="S130" s="179"/>
      <c r="T130" s="179"/>
      <c r="U130" s="179"/>
      <c r="V130" s="179"/>
      <c r="W130" s="179"/>
      <c r="X130" s="179"/>
      <c r="Y130" s="179"/>
      <c r="Z130" s="179"/>
      <c r="AA130" s="179"/>
      <c r="AB130" s="179"/>
      <c r="AC130" s="179"/>
    </row>
    <row r="131" spans="4:29" ht="16.5" customHeight="1"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  <c r="S131" s="179"/>
      <c r="T131" s="179"/>
      <c r="U131" s="179"/>
      <c r="V131" s="179"/>
      <c r="W131" s="179"/>
      <c r="X131" s="179"/>
      <c r="Y131" s="179"/>
      <c r="Z131" s="179"/>
      <c r="AA131" s="179"/>
      <c r="AB131" s="179"/>
      <c r="AC131" s="179"/>
    </row>
    <row r="132" spans="4:29" ht="16.5" customHeight="1"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  <c r="S132" s="179"/>
      <c r="T132" s="179"/>
      <c r="U132" s="179"/>
      <c r="V132" s="179"/>
      <c r="W132" s="179"/>
      <c r="X132" s="179"/>
      <c r="Y132" s="179"/>
      <c r="Z132" s="179"/>
      <c r="AA132" s="179"/>
      <c r="AB132" s="179"/>
      <c r="AC132" s="179"/>
    </row>
    <row r="133" spans="4:29" ht="16.5" customHeight="1"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  <c r="S133" s="179"/>
      <c r="T133" s="179"/>
      <c r="U133" s="179"/>
      <c r="V133" s="179"/>
      <c r="W133" s="179"/>
      <c r="X133" s="179"/>
      <c r="Y133" s="179"/>
      <c r="Z133" s="179"/>
      <c r="AA133" s="179"/>
      <c r="AB133" s="179"/>
      <c r="AC133" s="179"/>
    </row>
    <row r="134" spans="4:29" ht="16.5" customHeight="1"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  <c r="S134" s="179"/>
      <c r="T134" s="179"/>
      <c r="U134" s="179"/>
      <c r="V134" s="179"/>
      <c r="W134" s="179"/>
      <c r="X134" s="179"/>
      <c r="Y134" s="179"/>
      <c r="Z134" s="179"/>
      <c r="AA134" s="179"/>
      <c r="AB134" s="179"/>
      <c r="AC134" s="179"/>
    </row>
    <row r="135" spans="4:29" ht="16.5" customHeight="1"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  <c r="S135" s="179"/>
      <c r="T135" s="179"/>
      <c r="U135" s="179"/>
      <c r="V135" s="179"/>
      <c r="W135" s="179"/>
      <c r="X135" s="179"/>
      <c r="Y135" s="179"/>
      <c r="Z135" s="179"/>
      <c r="AA135" s="179"/>
      <c r="AB135" s="179"/>
      <c r="AC135" s="179"/>
    </row>
    <row r="136" spans="4:29" ht="16.5" customHeight="1"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  <c r="S136" s="179"/>
      <c r="T136" s="179"/>
      <c r="U136" s="179"/>
      <c r="V136" s="179"/>
      <c r="W136" s="179"/>
      <c r="X136" s="179"/>
      <c r="Y136" s="179"/>
      <c r="Z136" s="179"/>
      <c r="AA136" s="179"/>
      <c r="AB136" s="179"/>
      <c r="AC136" s="179"/>
    </row>
    <row r="137" spans="4:29" ht="16.5" customHeight="1"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  <c r="S137" s="179"/>
      <c r="T137" s="179"/>
      <c r="U137" s="179"/>
      <c r="V137" s="179"/>
      <c r="W137" s="179"/>
      <c r="X137" s="179"/>
      <c r="Y137" s="179"/>
      <c r="Z137" s="179"/>
      <c r="AA137" s="179"/>
      <c r="AB137" s="179"/>
      <c r="AC137" s="179"/>
    </row>
    <row r="138" spans="4:29" ht="16.5" customHeight="1"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  <c r="S138" s="179"/>
      <c r="T138" s="179"/>
      <c r="U138" s="179"/>
      <c r="V138" s="179"/>
      <c r="W138" s="179"/>
      <c r="X138" s="179"/>
      <c r="Y138" s="179"/>
      <c r="Z138" s="179"/>
      <c r="AA138" s="179"/>
      <c r="AB138" s="179"/>
      <c r="AC138" s="179"/>
    </row>
    <row r="139" spans="4:29" ht="16.5" customHeight="1"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  <c r="S139" s="179"/>
      <c r="T139" s="179"/>
      <c r="U139" s="179"/>
      <c r="V139" s="179"/>
      <c r="W139" s="179"/>
      <c r="X139" s="179"/>
      <c r="Y139" s="179"/>
      <c r="Z139" s="179"/>
      <c r="AA139" s="179"/>
      <c r="AB139" s="179"/>
      <c r="AC139" s="179"/>
    </row>
    <row r="140" spans="4:29" ht="16.5" customHeight="1"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  <c r="S140" s="179"/>
      <c r="T140" s="179"/>
      <c r="U140" s="179"/>
      <c r="V140" s="179"/>
      <c r="W140" s="179"/>
      <c r="X140" s="179"/>
      <c r="Y140" s="179"/>
      <c r="Z140" s="179"/>
      <c r="AA140" s="179"/>
      <c r="AB140" s="179"/>
      <c r="AC140" s="179"/>
    </row>
    <row r="141" spans="4:29" ht="16.5" customHeight="1"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  <c r="S141" s="179"/>
      <c r="T141" s="179"/>
      <c r="U141" s="179"/>
      <c r="V141" s="179"/>
      <c r="W141" s="179"/>
      <c r="X141" s="179"/>
      <c r="Y141" s="179"/>
      <c r="Z141" s="179"/>
      <c r="AA141" s="179"/>
      <c r="AB141" s="179"/>
      <c r="AC141" s="179"/>
    </row>
    <row r="142" spans="4:29" ht="16.5" customHeight="1"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  <c r="S142" s="179"/>
      <c r="T142" s="179"/>
      <c r="U142" s="179"/>
      <c r="V142" s="179"/>
      <c r="W142" s="179"/>
      <c r="X142" s="179"/>
      <c r="Y142" s="179"/>
      <c r="Z142" s="179"/>
      <c r="AA142" s="179"/>
      <c r="AB142" s="179"/>
      <c r="AC142" s="179"/>
    </row>
    <row r="143" spans="4:29" ht="16.5" customHeight="1"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  <c r="S143" s="179"/>
      <c r="T143" s="179"/>
      <c r="U143" s="179"/>
      <c r="V143" s="179"/>
      <c r="W143" s="179"/>
      <c r="X143" s="179"/>
      <c r="Y143" s="179"/>
      <c r="Z143" s="179"/>
      <c r="AA143" s="179"/>
      <c r="AB143" s="179"/>
      <c r="AC143" s="179"/>
    </row>
    <row r="144" spans="4:29" ht="16.5" customHeight="1"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  <c r="S144" s="179"/>
      <c r="T144" s="179"/>
      <c r="U144" s="179"/>
      <c r="V144" s="179"/>
      <c r="W144" s="179"/>
      <c r="X144" s="179"/>
      <c r="Y144" s="179"/>
      <c r="Z144" s="179"/>
      <c r="AA144" s="179"/>
      <c r="AB144" s="179"/>
      <c r="AC144" s="179"/>
    </row>
    <row r="145" spans="4:29" ht="16.5" customHeight="1"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  <c r="S145" s="179"/>
      <c r="T145" s="179"/>
      <c r="U145" s="179"/>
      <c r="V145" s="179"/>
      <c r="W145" s="179"/>
      <c r="X145" s="179"/>
      <c r="Y145" s="179"/>
      <c r="Z145" s="179"/>
      <c r="AA145" s="179"/>
      <c r="AB145" s="179"/>
      <c r="AC145" s="179"/>
    </row>
    <row r="146" spans="4:29" ht="16.5" customHeight="1"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  <c r="S146" s="179"/>
      <c r="T146" s="179"/>
      <c r="U146" s="179"/>
      <c r="V146" s="179"/>
      <c r="W146" s="179"/>
      <c r="X146" s="179"/>
      <c r="Y146" s="179"/>
      <c r="Z146" s="179"/>
      <c r="AA146" s="179"/>
      <c r="AB146" s="179"/>
      <c r="AC146" s="179"/>
    </row>
    <row r="147" spans="4:29" ht="16.5" customHeight="1"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  <c r="S147" s="179"/>
      <c r="T147" s="179"/>
      <c r="U147" s="179"/>
      <c r="V147" s="179"/>
      <c r="W147" s="179"/>
      <c r="X147" s="179"/>
      <c r="Y147" s="179"/>
      <c r="Z147" s="179"/>
      <c r="AA147" s="179"/>
      <c r="AB147" s="179"/>
      <c r="AC147" s="179"/>
    </row>
    <row r="148" spans="4:29" ht="16.5" customHeight="1"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  <c r="S148" s="179"/>
      <c r="T148" s="179"/>
      <c r="U148" s="179"/>
      <c r="V148" s="179"/>
      <c r="W148" s="179"/>
      <c r="X148" s="179"/>
      <c r="Y148" s="179"/>
      <c r="Z148" s="179"/>
      <c r="AA148" s="179"/>
      <c r="AB148" s="179"/>
      <c r="AC148" s="179"/>
    </row>
    <row r="149" spans="4:29" ht="16.5" customHeight="1"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  <c r="S149" s="179"/>
      <c r="T149" s="179"/>
      <c r="U149" s="179"/>
      <c r="V149" s="179"/>
      <c r="W149" s="179"/>
      <c r="X149" s="179"/>
      <c r="Y149" s="179"/>
      <c r="Z149" s="179"/>
      <c r="AA149" s="179"/>
      <c r="AB149" s="179"/>
      <c r="AC149" s="179"/>
    </row>
    <row r="150" spans="4:29" ht="16.5" customHeight="1"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  <c r="S150" s="179"/>
      <c r="T150" s="179"/>
      <c r="U150" s="179"/>
      <c r="V150" s="179"/>
      <c r="W150" s="179"/>
      <c r="X150" s="179"/>
      <c r="Y150" s="179"/>
      <c r="Z150" s="179"/>
      <c r="AA150" s="179"/>
      <c r="AB150" s="179"/>
      <c r="AC150" s="179"/>
    </row>
    <row r="151" ht="16.5" customHeight="1">
      <c r="AC151" s="179"/>
    </row>
    <row r="152" ht="16.5" customHeight="1">
      <c r="AC152" s="179"/>
    </row>
    <row r="153" ht="16.5" customHeight="1">
      <c r="AC153" s="179"/>
    </row>
    <row r="154" ht="16.5" customHeight="1">
      <c r="AC154" s="179"/>
    </row>
    <row r="155" ht="16.5" customHeight="1"/>
    <row r="156" ht="16.5" customHeight="1"/>
    <row r="157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1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41">
    <pageSetUpPr fitToPage="1"/>
  </sheetPr>
  <dimension ref="A1:Y155"/>
  <sheetViews>
    <sheetView zoomScale="75" zoomScaleNormal="75" workbookViewId="0" topLeftCell="C1">
      <selection activeCell="D12" sqref="D12"/>
    </sheetView>
  </sheetViews>
  <sheetFormatPr defaultColWidth="11.421875" defaultRowHeight="12.75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17.57421875" style="0" customWidth="1"/>
    <col min="6" max="6" width="14.57421875" style="0" customWidth="1"/>
    <col min="7" max="7" width="10.28125" style="0" customWidth="1"/>
    <col min="8" max="8" width="5.421875" style="0" hidden="1" customWidth="1"/>
    <col min="9" max="9" width="14.7109375" style="0" customWidth="1"/>
    <col min="10" max="10" width="14.421875" style="0" customWidth="1"/>
    <col min="11" max="13" width="9.7109375" style="0" customWidth="1"/>
    <col min="14" max="15" width="6.00390625" style="0" customWidth="1"/>
    <col min="16" max="16" width="5.7109375" style="0" hidden="1" customWidth="1"/>
    <col min="17" max="17" width="13.140625" style="0" hidden="1" customWidth="1"/>
    <col min="18" max="19" width="5.7109375" style="0" hidden="1" customWidth="1"/>
    <col min="20" max="20" width="12.28125" style="0" hidden="1" customWidth="1"/>
    <col min="21" max="21" width="9.7109375" style="0" hidden="1" customWidth="1"/>
    <col min="22" max="23" width="15.7109375" style="0" customWidth="1"/>
  </cols>
  <sheetData>
    <row r="1" s="18" customFormat="1" ht="26.25">
      <c r="W1" s="146"/>
    </row>
    <row r="2" spans="1:23" s="18" customFormat="1" ht="26.25">
      <c r="A2" s="91"/>
      <c r="B2" s="435" t="str">
        <f>+'TOT-1108'!B2</f>
        <v>ANEXO VI al Memoràndum D.T.E.E. N°  366 / 2010          </v>
      </c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</row>
    <row r="3" s="5" customFormat="1" ht="12.75">
      <c r="A3" s="90"/>
    </row>
    <row r="4" spans="1:2" s="25" customFormat="1" ht="11.25">
      <c r="A4" s="23" t="s">
        <v>2</v>
      </c>
      <c r="B4" s="125"/>
    </row>
    <row r="5" spans="1:2" s="25" customFormat="1" ht="11.25">
      <c r="A5" s="23" t="s">
        <v>3</v>
      </c>
      <c r="B5" s="125"/>
    </row>
    <row r="6" s="5" customFormat="1" ht="13.5" thickBot="1"/>
    <row r="7" spans="2:24" s="5" customFormat="1" ht="13.5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1"/>
    </row>
    <row r="8" spans="2:24" s="29" customFormat="1" ht="20.25">
      <c r="B8" s="79"/>
      <c r="D8" s="178" t="s">
        <v>91</v>
      </c>
      <c r="E8" s="436"/>
      <c r="F8" s="175"/>
      <c r="G8" s="174"/>
      <c r="H8" s="174"/>
      <c r="I8" s="174"/>
      <c r="J8" s="174"/>
      <c r="K8" s="174"/>
      <c r="L8" s="174"/>
      <c r="M8" s="174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437"/>
    </row>
    <row r="9" spans="2:24" s="5" customFormat="1" ht="12.75">
      <c r="B9" s="5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6"/>
    </row>
    <row r="10" spans="2:24" s="29" customFormat="1" ht="20.25">
      <c r="B10" s="79"/>
      <c r="D10" s="11" t="s">
        <v>263</v>
      </c>
      <c r="F10" s="438"/>
      <c r="G10" s="81"/>
      <c r="H10" s="81"/>
      <c r="I10" s="81"/>
      <c r="J10" s="81"/>
      <c r="K10" s="81"/>
      <c r="L10" s="81"/>
      <c r="M10" s="81"/>
      <c r="N10" s="81"/>
      <c r="O10" s="81"/>
      <c r="P10" s="30"/>
      <c r="Q10" s="30"/>
      <c r="R10" s="30"/>
      <c r="S10" s="30"/>
      <c r="T10" s="30"/>
      <c r="U10" s="30"/>
      <c r="V10" s="30"/>
      <c r="W10" s="30"/>
      <c r="X10" s="80"/>
    </row>
    <row r="11" spans="2:24" s="5" customFormat="1" ht="16.5" customHeight="1">
      <c r="B11" s="50"/>
      <c r="C11" s="4"/>
      <c r="D11" s="78"/>
      <c r="F11" s="31"/>
      <c r="G11" s="72"/>
      <c r="H11" s="72"/>
      <c r="I11" s="72"/>
      <c r="J11" s="72"/>
      <c r="K11" s="72"/>
      <c r="L11" s="72"/>
      <c r="M11" s="72"/>
      <c r="N11" s="72"/>
      <c r="O11" s="72"/>
      <c r="P11" s="4"/>
      <c r="Q11" s="4"/>
      <c r="R11" s="4"/>
      <c r="S11" s="4"/>
      <c r="T11" s="4"/>
      <c r="U11" s="4"/>
      <c r="V11" s="4"/>
      <c r="W11" s="4"/>
      <c r="X11" s="6"/>
    </row>
    <row r="12" spans="2:24" s="29" customFormat="1" ht="20.25">
      <c r="B12" s="79"/>
      <c r="D12" s="11" t="s">
        <v>264</v>
      </c>
      <c r="F12" s="438"/>
      <c r="G12" s="81"/>
      <c r="H12" s="81"/>
      <c r="I12" s="81"/>
      <c r="J12" s="81"/>
      <c r="K12" s="81"/>
      <c r="L12" s="81"/>
      <c r="M12" s="81"/>
      <c r="N12" s="81"/>
      <c r="O12" s="81"/>
      <c r="P12" s="30"/>
      <c r="Q12" s="30"/>
      <c r="R12" s="30"/>
      <c r="S12" s="30"/>
      <c r="T12" s="30"/>
      <c r="U12" s="30"/>
      <c r="V12" s="30"/>
      <c r="W12" s="30"/>
      <c r="X12" s="80"/>
    </row>
    <row r="13" spans="2:24" s="5" customFormat="1" ht="16.5" customHeight="1">
      <c r="B13" s="50"/>
      <c r="C13" s="4"/>
      <c r="D13" s="78"/>
      <c r="F13" s="31"/>
      <c r="G13" s="72"/>
      <c r="H13" s="72"/>
      <c r="I13" s="72"/>
      <c r="J13" s="72"/>
      <c r="K13" s="72"/>
      <c r="L13" s="72"/>
      <c r="M13" s="72"/>
      <c r="N13" s="72"/>
      <c r="O13" s="72"/>
      <c r="P13" s="4"/>
      <c r="Q13" s="4"/>
      <c r="R13" s="4"/>
      <c r="S13" s="4"/>
      <c r="T13" s="4"/>
      <c r="U13" s="4"/>
      <c r="V13" s="4"/>
      <c r="W13" s="4"/>
      <c r="X13" s="6"/>
    </row>
    <row r="14" spans="2:24" s="36" customFormat="1" ht="16.5" customHeight="1">
      <c r="B14" s="37" t="str">
        <f>'TOT-1108'!B14</f>
        <v>Desde el 01 al 30 de noviembre de 2008</v>
      </c>
      <c r="C14" s="439"/>
      <c r="D14" s="440"/>
      <c r="E14" s="440"/>
      <c r="F14" s="440"/>
      <c r="G14" s="440"/>
      <c r="H14" s="440"/>
      <c r="I14" s="440"/>
      <c r="J14" s="440"/>
      <c r="K14" s="440"/>
      <c r="L14" s="440"/>
      <c r="M14" s="440"/>
      <c r="N14" s="440"/>
      <c r="O14" s="440"/>
      <c r="P14" s="439"/>
      <c r="Q14" s="439"/>
      <c r="R14" s="439"/>
      <c r="S14" s="439"/>
      <c r="T14" s="439"/>
      <c r="U14" s="439"/>
      <c r="V14" s="439"/>
      <c r="W14" s="439"/>
      <c r="X14" s="441"/>
    </row>
    <row r="15" spans="2:24" s="5" customFormat="1" ht="16.5" customHeight="1">
      <c r="B15" s="50"/>
      <c r="C15" s="4"/>
      <c r="D15" s="4"/>
      <c r="E15" s="4"/>
      <c r="F15" s="4"/>
      <c r="G15" s="4"/>
      <c r="H15" s="4"/>
      <c r="I15" s="4"/>
      <c r="J15" s="4"/>
      <c r="K15" s="4"/>
      <c r="P15" s="4"/>
      <c r="Q15" s="4"/>
      <c r="R15" s="4"/>
      <c r="S15" s="4"/>
      <c r="T15" s="4"/>
      <c r="U15" s="4"/>
      <c r="V15" s="4"/>
      <c r="W15" s="4"/>
      <c r="X15" s="6"/>
    </row>
    <row r="16" spans="2:24" s="5" customFormat="1" ht="4.5" customHeight="1" thickBot="1">
      <c r="B16" s="50"/>
      <c r="C16" s="4"/>
      <c r="D16" s="976"/>
      <c r="E16" s="214"/>
      <c r="F16" s="977"/>
      <c r="G16" s="377"/>
      <c r="H16"/>
      <c r="I16" s="4"/>
      <c r="J16" s="4"/>
      <c r="K16" s="4"/>
      <c r="L16" s="4"/>
      <c r="M16" s="4"/>
      <c r="O16" s="4"/>
      <c r="P16" s="4"/>
      <c r="Q16" s="4"/>
      <c r="R16" s="4"/>
      <c r="S16" s="4"/>
      <c r="T16" s="4"/>
      <c r="U16" s="4"/>
      <c r="V16" s="4"/>
      <c r="W16" s="4"/>
      <c r="X16" s="6"/>
    </row>
    <row r="17" spans="2:24" s="5" customFormat="1" ht="16.5" customHeight="1" thickBot="1" thickTop="1">
      <c r="B17" s="50"/>
      <c r="C17" s="4"/>
      <c r="D17" s="443" t="s">
        <v>26</v>
      </c>
      <c r="E17" s="444"/>
      <c r="F17" s="926">
        <v>20</v>
      </c>
      <c r="G17" s="377"/>
      <c r="H17"/>
      <c r="I17" s="214"/>
      <c r="J17" s="215"/>
      <c r="K17" s="4"/>
      <c r="L17" s="4"/>
      <c r="M17" s="4"/>
      <c r="O17" s="4"/>
      <c r="P17" s="4"/>
      <c r="Q17" s="4"/>
      <c r="R17" s="116"/>
      <c r="S17" s="116"/>
      <c r="T17" s="116"/>
      <c r="U17" s="116"/>
      <c r="V17" s="116"/>
      <c r="W17" s="116"/>
      <c r="X17" s="6"/>
    </row>
    <row r="18" spans="2:24" s="5" customFormat="1" ht="16.5" customHeight="1" thickBot="1" thickTop="1">
      <c r="B18" s="50"/>
      <c r="C18" s="66"/>
      <c r="D18" s="445"/>
      <c r="E18" s="446"/>
      <c r="F18" s="446"/>
      <c r="G18" s="198"/>
      <c r="H18" s="198"/>
      <c r="I18" s="198"/>
      <c r="J18" s="198"/>
      <c r="K18" s="198"/>
      <c r="L18" s="198"/>
      <c r="M18" s="198"/>
      <c r="N18" s="198"/>
      <c r="O18" s="447"/>
      <c r="P18" s="448"/>
      <c r="Q18" s="449"/>
      <c r="R18" s="449"/>
      <c r="S18" s="449"/>
      <c r="T18" s="449"/>
      <c r="U18" s="449"/>
      <c r="V18" s="450"/>
      <c r="W18" s="451"/>
      <c r="X18" s="6"/>
    </row>
    <row r="19" spans="2:24" s="5" customFormat="1" ht="33.75" customHeight="1" thickBot="1" thickTop="1">
      <c r="B19" s="50"/>
      <c r="C19" s="84" t="s">
        <v>13</v>
      </c>
      <c r="D19" s="86" t="s">
        <v>27</v>
      </c>
      <c r="E19" s="85" t="s">
        <v>28</v>
      </c>
      <c r="F19" s="86" t="s">
        <v>265</v>
      </c>
      <c r="G19" s="452" t="s">
        <v>29</v>
      </c>
      <c r="H19" s="130" t="s">
        <v>16</v>
      </c>
      <c r="I19" s="85" t="s">
        <v>17</v>
      </c>
      <c r="J19" s="85" t="s">
        <v>18</v>
      </c>
      <c r="K19" s="86" t="s">
        <v>36</v>
      </c>
      <c r="L19" s="86" t="s">
        <v>31</v>
      </c>
      <c r="M19" s="88" t="s">
        <v>19</v>
      </c>
      <c r="N19" s="88" t="s">
        <v>58</v>
      </c>
      <c r="O19" s="85" t="s">
        <v>32</v>
      </c>
      <c r="P19" s="130" t="s">
        <v>37</v>
      </c>
      <c r="Q19" s="453" t="s">
        <v>71</v>
      </c>
      <c r="R19" s="454" t="s">
        <v>94</v>
      </c>
      <c r="S19" s="455"/>
      <c r="T19" s="456" t="s">
        <v>22</v>
      </c>
      <c r="U19" s="270" t="s">
        <v>21</v>
      </c>
      <c r="V19" s="133" t="s">
        <v>80</v>
      </c>
      <c r="W19" s="457" t="s">
        <v>24</v>
      </c>
      <c r="X19" s="6"/>
    </row>
    <row r="20" spans="2:24" s="5" customFormat="1" ht="16.5" customHeight="1" thickTop="1">
      <c r="B20" s="50"/>
      <c r="C20" s="458"/>
      <c r="D20" s="459"/>
      <c r="E20" s="459"/>
      <c r="F20" s="459"/>
      <c r="G20" s="459"/>
      <c r="H20" s="347"/>
      <c r="I20" s="460"/>
      <c r="J20" s="460"/>
      <c r="K20" s="458"/>
      <c r="L20" s="458"/>
      <c r="M20" s="459"/>
      <c r="N20" s="187"/>
      <c r="O20" s="458"/>
      <c r="P20" s="461"/>
      <c r="Q20" s="462"/>
      <c r="R20" s="463"/>
      <c r="S20" s="464"/>
      <c r="T20" s="465"/>
      <c r="U20" s="465"/>
      <c r="V20" s="466"/>
      <c r="W20" s="467"/>
      <c r="X20" s="6"/>
    </row>
    <row r="21" spans="2:24" s="5" customFormat="1" ht="16.5" customHeight="1">
      <c r="B21" s="50"/>
      <c r="C21" s="289"/>
      <c r="D21" s="468"/>
      <c r="E21" s="469"/>
      <c r="F21" s="469"/>
      <c r="G21" s="470"/>
      <c r="H21" s="471"/>
      <c r="I21" s="472"/>
      <c r="J21" s="473"/>
      <c r="K21" s="474"/>
      <c r="L21" s="475"/>
      <c r="M21" s="476"/>
      <c r="N21" s="188"/>
      <c r="O21" s="477"/>
      <c r="P21" s="478"/>
      <c r="Q21" s="479"/>
      <c r="R21" s="480"/>
      <c r="S21" s="481"/>
      <c r="T21" s="482"/>
      <c r="U21" s="482"/>
      <c r="V21" s="477"/>
      <c r="W21" s="483"/>
      <c r="X21" s="6"/>
    </row>
    <row r="22" spans="2:24" s="5" customFormat="1" ht="16.5" customHeight="1">
      <c r="B22" s="50"/>
      <c r="C22" s="157">
        <v>117</v>
      </c>
      <c r="D22" s="484" t="s">
        <v>342</v>
      </c>
      <c r="E22" s="412" t="s">
        <v>343</v>
      </c>
      <c r="F22" s="412">
        <v>0.0431</v>
      </c>
      <c r="G22" s="485">
        <v>150</v>
      </c>
      <c r="H22" s="306">
        <f>G22*F22</f>
        <v>6.465</v>
      </c>
      <c r="I22" s="414">
        <v>39760.027083333334</v>
      </c>
      <c r="J22" s="192">
        <v>39760.520833333336</v>
      </c>
      <c r="K22" s="415">
        <f>IF(D22="","",(J22-I22)*24)</f>
        <v>11.850000000034925</v>
      </c>
      <c r="L22" s="416">
        <f>IF(D22="","",ROUND((J22-I22)*24*60,0))</f>
        <v>711</v>
      </c>
      <c r="M22" s="234" t="s">
        <v>279</v>
      </c>
      <c r="N22" s="235" t="str">
        <f>IF(D22="","","--")</f>
        <v>--</v>
      </c>
      <c r="O22" s="155" t="s">
        <v>248</v>
      </c>
      <c r="P22" s="486">
        <f>IF(OR(M22="P",M22="RP"),$F$17/10,$F$17)</f>
        <v>20</v>
      </c>
      <c r="Q22" s="487" t="str">
        <f>IF(M22="P",H22*P22*ROUND(L22/60,2),"--")</f>
        <v>--</v>
      </c>
      <c r="R22" s="488" t="str">
        <f>IF(AND(M22="F",O22="NO"),H22*P22,"--")</f>
        <v>--</v>
      </c>
      <c r="S22" s="489">
        <f>IF(M22="F",H22*P22*ROUND(L22/60,2),"--")</f>
        <v>1532.2050000000002</v>
      </c>
      <c r="T22" s="490" t="str">
        <f>IF(M22="RF",H22*P22*ROUND(L22/60,2),"--")</f>
        <v>--</v>
      </c>
      <c r="U22" s="310" t="s">
        <v>248</v>
      </c>
      <c r="V22" s="155" t="str">
        <f>IF(D22="","","SI")</f>
        <v>SI</v>
      </c>
      <c r="W22" s="421">
        <f>IF(D22="","",SUM(Q22:U22)*IF(V22="SI",1,2))</f>
        <v>1532.2050000000002</v>
      </c>
      <c r="X22" s="6"/>
    </row>
    <row r="23" spans="2:24" s="5" customFormat="1" ht="16.5" customHeight="1">
      <c r="B23" s="50"/>
      <c r="C23" s="289"/>
      <c r="D23" s="484"/>
      <c r="E23" s="412"/>
      <c r="F23" s="412"/>
      <c r="G23" s="485"/>
      <c r="H23" s="306">
        <f aca="true" t="shared" si="0" ref="H23:H39">G23*F23</f>
        <v>0</v>
      </c>
      <c r="I23" s="414"/>
      <c r="J23" s="192"/>
      <c r="K23" s="415">
        <f aca="true" t="shared" si="1" ref="K23:K39">IF(D23="","",(J23-I23)*24)</f>
      </c>
      <c r="L23" s="416">
        <f aca="true" t="shared" si="2" ref="L23:L39">IF(D23="","",ROUND((J23-I23)*24*60,0))</f>
      </c>
      <c r="M23" s="234"/>
      <c r="N23" s="235">
        <f aca="true" t="shared" si="3" ref="N23:N39">IF(D23="","","--")</f>
      </c>
      <c r="O23" s="155">
        <f aca="true" t="shared" si="4" ref="O23:O39">IF(D23="","",IF(OR(M23="P",M23="RP"),"--","NO"))</f>
      </c>
      <c r="P23" s="486">
        <f aca="true" t="shared" si="5" ref="P23:P39">IF(OR(M23="P",M23="RP"),$F$17/10,$F$17)</f>
        <v>20</v>
      </c>
      <c r="Q23" s="487" t="str">
        <f aca="true" t="shared" si="6" ref="Q23:Q39">IF(M23="P",H23*P23*ROUND(L23/60,2),"--")</f>
        <v>--</v>
      </c>
      <c r="R23" s="488" t="str">
        <f aca="true" t="shared" si="7" ref="R23:R39">IF(AND(M23="F",O23="NO"),H23*P23,"--")</f>
        <v>--</v>
      </c>
      <c r="S23" s="489" t="str">
        <f aca="true" t="shared" si="8" ref="S23:S39">IF(M23="F",H23*P23*ROUND(L23/60,2),"--")</f>
        <v>--</v>
      </c>
      <c r="T23" s="490" t="str">
        <f aca="true" t="shared" si="9" ref="T23:T39">IF(M23="RF",H23*P23*ROUND(L23/60,2),"--")</f>
        <v>--</v>
      </c>
      <c r="U23" s="310" t="s">
        <v>248</v>
      </c>
      <c r="V23" s="155">
        <f aca="true" t="shared" si="10" ref="V23:V39">IF(D23="","","SI")</f>
      </c>
      <c r="W23" s="421">
        <f aca="true" t="shared" si="11" ref="W23:W39">IF(D23="","",SUM(Q23:U23)*IF(V23="SI",1,2))</f>
      </c>
      <c r="X23" s="6"/>
    </row>
    <row r="24" spans="2:24" s="5" customFormat="1" ht="16.5" customHeight="1">
      <c r="B24" s="50"/>
      <c r="C24" s="157"/>
      <c r="D24" s="484"/>
      <c r="E24" s="412"/>
      <c r="F24" s="412"/>
      <c r="G24" s="485"/>
      <c r="H24" s="306">
        <f t="shared" si="0"/>
        <v>0</v>
      </c>
      <c r="I24" s="414"/>
      <c r="J24" s="192"/>
      <c r="K24" s="415">
        <f t="shared" si="1"/>
      </c>
      <c r="L24" s="416">
        <f t="shared" si="2"/>
      </c>
      <c r="M24" s="234"/>
      <c r="N24" s="235">
        <f t="shared" si="3"/>
      </c>
      <c r="O24" s="155">
        <f t="shared" si="4"/>
      </c>
      <c r="P24" s="486">
        <f t="shared" si="5"/>
        <v>20</v>
      </c>
      <c r="Q24" s="487" t="str">
        <f t="shared" si="6"/>
        <v>--</v>
      </c>
      <c r="R24" s="488" t="str">
        <f t="shared" si="7"/>
        <v>--</v>
      </c>
      <c r="S24" s="489" t="str">
        <f t="shared" si="8"/>
        <v>--</v>
      </c>
      <c r="T24" s="490" t="str">
        <f t="shared" si="9"/>
        <v>--</v>
      </c>
      <c r="U24" s="310" t="s">
        <v>248</v>
      </c>
      <c r="V24" s="155">
        <f t="shared" si="10"/>
      </c>
      <c r="W24" s="421">
        <f t="shared" si="11"/>
      </c>
      <c r="X24" s="6"/>
    </row>
    <row r="25" spans="2:24" s="5" customFormat="1" ht="16.5" customHeight="1">
      <c r="B25" s="50"/>
      <c r="C25" s="289"/>
      <c r="D25" s="484"/>
      <c r="E25" s="412"/>
      <c r="F25" s="412"/>
      <c r="G25" s="485"/>
      <c r="H25" s="306">
        <f t="shared" si="0"/>
        <v>0</v>
      </c>
      <c r="I25" s="414"/>
      <c r="J25" s="192"/>
      <c r="K25" s="415">
        <f t="shared" si="1"/>
      </c>
      <c r="L25" s="416">
        <f t="shared" si="2"/>
      </c>
      <c r="M25" s="234"/>
      <c r="N25" s="235">
        <f t="shared" si="3"/>
      </c>
      <c r="O25" s="155">
        <f t="shared" si="4"/>
      </c>
      <c r="P25" s="486">
        <f t="shared" si="5"/>
        <v>20</v>
      </c>
      <c r="Q25" s="487" t="str">
        <f t="shared" si="6"/>
        <v>--</v>
      </c>
      <c r="R25" s="488" t="str">
        <f t="shared" si="7"/>
        <v>--</v>
      </c>
      <c r="S25" s="489" t="str">
        <f t="shared" si="8"/>
        <v>--</v>
      </c>
      <c r="T25" s="490" t="str">
        <f t="shared" si="9"/>
        <v>--</v>
      </c>
      <c r="U25" s="310" t="s">
        <v>248</v>
      </c>
      <c r="V25" s="155">
        <f t="shared" si="10"/>
      </c>
      <c r="W25" s="421">
        <f t="shared" si="11"/>
      </c>
      <c r="X25" s="491"/>
    </row>
    <row r="26" spans="2:24" s="5" customFormat="1" ht="16.5" customHeight="1">
      <c r="B26" s="50"/>
      <c r="C26" s="157"/>
      <c r="D26" s="484"/>
      <c r="E26" s="412"/>
      <c r="F26" s="412"/>
      <c r="G26" s="485"/>
      <c r="H26" s="306">
        <f t="shared" si="0"/>
        <v>0</v>
      </c>
      <c r="I26" s="414"/>
      <c r="J26" s="192"/>
      <c r="K26" s="415">
        <f t="shared" si="1"/>
      </c>
      <c r="L26" s="416">
        <f t="shared" si="2"/>
      </c>
      <c r="M26" s="234"/>
      <c r="N26" s="235">
        <f t="shared" si="3"/>
      </c>
      <c r="O26" s="155">
        <f t="shared" si="4"/>
      </c>
      <c r="P26" s="486">
        <f t="shared" si="5"/>
        <v>20</v>
      </c>
      <c r="Q26" s="487" t="str">
        <f t="shared" si="6"/>
        <v>--</v>
      </c>
      <c r="R26" s="488" t="str">
        <f t="shared" si="7"/>
        <v>--</v>
      </c>
      <c r="S26" s="489" t="str">
        <f t="shared" si="8"/>
        <v>--</v>
      </c>
      <c r="T26" s="490" t="str">
        <f t="shared" si="9"/>
        <v>--</v>
      </c>
      <c r="U26" s="310" t="s">
        <v>248</v>
      </c>
      <c r="V26" s="155">
        <f t="shared" si="10"/>
      </c>
      <c r="W26" s="421">
        <f t="shared" si="11"/>
      </c>
      <c r="X26" s="491"/>
    </row>
    <row r="27" spans="2:24" s="5" customFormat="1" ht="16.5" customHeight="1">
      <c r="B27" s="50"/>
      <c r="C27" s="289"/>
      <c r="D27" s="484"/>
      <c r="E27" s="412"/>
      <c r="F27" s="412"/>
      <c r="G27" s="485"/>
      <c r="H27" s="306">
        <f t="shared" si="0"/>
        <v>0</v>
      </c>
      <c r="I27" s="414"/>
      <c r="J27" s="192"/>
      <c r="K27" s="415">
        <f t="shared" si="1"/>
      </c>
      <c r="L27" s="416">
        <f t="shared" si="2"/>
      </c>
      <c r="M27" s="234"/>
      <c r="N27" s="235">
        <f t="shared" si="3"/>
      </c>
      <c r="O27" s="155">
        <f t="shared" si="4"/>
      </c>
      <c r="P27" s="486">
        <f t="shared" si="5"/>
        <v>20</v>
      </c>
      <c r="Q27" s="487" t="str">
        <f t="shared" si="6"/>
        <v>--</v>
      </c>
      <c r="R27" s="488" t="str">
        <f t="shared" si="7"/>
        <v>--</v>
      </c>
      <c r="S27" s="489" t="str">
        <f t="shared" si="8"/>
        <v>--</v>
      </c>
      <c r="T27" s="490" t="str">
        <f t="shared" si="9"/>
        <v>--</v>
      </c>
      <c r="U27" s="310" t="s">
        <v>248</v>
      </c>
      <c r="V27" s="155">
        <f t="shared" si="10"/>
      </c>
      <c r="W27" s="421">
        <f t="shared" si="11"/>
      </c>
      <c r="X27" s="491"/>
    </row>
    <row r="28" spans="2:24" s="5" customFormat="1" ht="16.5" customHeight="1">
      <c r="B28" s="50"/>
      <c r="C28" s="157"/>
      <c r="D28" s="484"/>
      <c r="E28" s="412"/>
      <c r="F28" s="412"/>
      <c r="G28" s="485"/>
      <c r="H28" s="306">
        <f t="shared" si="0"/>
        <v>0</v>
      </c>
      <c r="I28" s="414"/>
      <c r="J28" s="192"/>
      <c r="K28" s="415">
        <f t="shared" si="1"/>
      </c>
      <c r="L28" s="416">
        <f t="shared" si="2"/>
      </c>
      <c r="M28" s="234"/>
      <c r="N28" s="235">
        <f t="shared" si="3"/>
      </c>
      <c r="O28" s="155">
        <f t="shared" si="4"/>
      </c>
      <c r="P28" s="486">
        <f t="shared" si="5"/>
        <v>20</v>
      </c>
      <c r="Q28" s="487" t="str">
        <f t="shared" si="6"/>
        <v>--</v>
      </c>
      <c r="R28" s="488" t="str">
        <f t="shared" si="7"/>
        <v>--</v>
      </c>
      <c r="S28" s="489" t="str">
        <f t="shared" si="8"/>
        <v>--</v>
      </c>
      <c r="T28" s="490" t="str">
        <f t="shared" si="9"/>
        <v>--</v>
      </c>
      <c r="U28" s="310" t="s">
        <v>248</v>
      </c>
      <c r="V28" s="155">
        <f t="shared" si="10"/>
      </c>
      <c r="W28" s="421">
        <f t="shared" si="11"/>
      </c>
      <c r="X28" s="491"/>
    </row>
    <row r="29" spans="2:24" s="5" customFormat="1" ht="16.5" customHeight="1">
      <c r="B29" s="50"/>
      <c r="C29" s="289"/>
      <c r="D29" s="484"/>
      <c r="E29" s="412"/>
      <c r="F29" s="412"/>
      <c r="G29" s="485"/>
      <c r="H29" s="306">
        <f t="shared" si="0"/>
        <v>0</v>
      </c>
      <c r="I29" s="414"/>
      <c r="J29" s="192"/>
      <c r="K29" s="415">
        <f t="shared" si="1"/>
      </c>
      <c r="L29" s="416">
        <f t="shared" si="2"/>
      </c>
      <c r="M29" s="234"/>
      <c r="N29" s="235">
        <f t="shared" si="3"/>
      </c>
      <c r="O29" s="155">
        <f t="shared" si="4"/>
      </c>
      <c r="P29" s="486">
        <f t="shared" si="5"/>
        <v>20</v>
      </c>
      <c r="Q29" s="487" t="str">
        <f t="shared" si="6"/>
        <v>--</v>
      </c>
      <c r="R29" s="488" t="str">
        <f t="shared" si="7"/>
        <v>--</v>
      </c>
      <c r="S29" s="489" t="str">
        <f t="shared" si="8"/>
        <v>--</v>
      </c>
      <c r="T29" s="490" t="str">
        <f t="shared" si="9"/>
        <v>--</v>
      </c>
      <c r="U29" s="310" t="s">
        <v>248</v>
      </c>
      <c r="V29" s="155">
        <f t="shared" si="10"/>
      </c>
      <c r="W29" s="421">
        <f t="shared" si="11"/>
      </c>
      <c r="X29" s="491"/>
    </row>
    <row r="30" spans="2:24" s="5" customFormat="1" ht="16.5" customHeight="1">
      <c r="B30" s="50"/>
      <c r="C30" s="157"/>
      <c r="D30" s="484"/>
      <c r="E30" s="412"/>
      <c r="F30" s="412"/>
      <c r="G30" s="485"/>
      <c r="H30" s="306">
        <f t="shared" si="0"/>
        <v>0</v>
      </c>
      <c r="I30" s="414"/>
      <c r="J30" s="192"/>
      <c r="K30" s="415">
        <f t="shared" si="1"/>
      </c>
      <c r="L30" s="416">
        <f t="shared" si="2"/>
      </c>
      <c r="M30" s="234"/>
      <c r="N30" s="235">
        <f t="shared" si="3"/>
      </c>
      <c r="O30" s="155">
        <f t="shared" si="4"/>
      </c>
      <c r="P30" s="486">
        <f t="shared" si="5"/>
        <v>20</v>
      </c>
      <c r="Q30" s="487" t="str">
        <f t="shared" si="6"/>
        <v>--</v>
      </c>
      <c r="R30" s="488" t="str">
        <f t="shared" si="7"/>
        <v>--</v>
      </c>
      <c r="S30" s="489" t="str">
        <f t="shared" si="8"/>
        <v>--</v>
      </c>
      <c r="T30" s="490" t="str">
        <f t="shared" si="9"/>
        <v>--</v>
      </c>
      <c r="U30" s="310" t="s">
        <v>248</v>
      </c>
      <c r="V30" s="155">
        <f t="shared" si="10"/>
      </c>
      <c r="W30" s="421">
        <f t="shared" si="11"/>
      </c>
      <c r="X30" s="6"/>
    </row>
    <row r="31" spans="2:24" s="5" customFormat="1" ht="16.5" customHeight="1">
      <c r="B31" s="50"/>
      <c r="C31" s="289"/>
      <c r="D31" s="484"/>
      <c r="E31" s="412"/>
      <c r="F31" s="412"/>
      <c r="G31" s="485"/>
      <c r="H31" s="306">
        <f t="shared" si="0"/>
        <v>0</v>
      </c>
      <c r="I31" s="414"/>
      <c r="J31" s="192"/>
      <c r="K31" s="415">
        <f t="shared" si="1"/>
      </c>
      <c r="L31" s="416">
        <f t="shared" si="2"/>
      </c>
      <c r="M31" s="234"/>
      <c r="N31" s="235">
        <f t="shared" si="3"/>
      </c>
      <c r="O31" s="155">
        <f t="shared" si="4"/>
      </c>
      <c r="P31" s="486">
        <f t="shared" si="5"/>
        <v>20</v>
      </c>
      <c r="Q31" s="487" t="str">
        <f t="shared" si="6"/>
        <v>--</v>
      </c>
      <c r="R31" s="488" t="str">
        <f t="shared" si="7"/>
        <v>--</v>
      </c>
      <c r="S31" s="489" t="str">
        <f t="shared" si="8"/>
        <v>--</v>
      </c>
      <c r="T31" s="490" t="str">
        <f t="shared" si="9"/>
        <v>--</v>
      </c>
      <c r="U31" s="310" t="s">
        <v>248</v>
      </c>
      <c r="V31" s="155">
        <f t="shared" si="10"/>
      </c>
      <c r="W31" s="421">
        <f t="shared" si="11"/>
      </c>
      <c r="X31" s="6"/>
    </row>
    <row r="32" spans="2:24" s="5" customFormat="1" ht="16.5" customHeight="1">
      <c r="B32" s="50"/>
      <c r="C32" s="157"/>
      <c r="D32" s="484"/>
      <c r="E32" s="412"/>
      <c r="F32" s="412"/>
      <c r="G32" s="485"/>
      <c r="H32" s="306">
        <f t="shared" si="0"/>
        <v>0</v>
      </c>
      <c r="I32" s="414"/>
      <c r="J32" s="192"/>
      <c r="K32" s="415">
        <f t="shared" si="1"/>
      </c>
      <c r="L32" s="416">
        <f t="shared" si="2"/>
      </c>
      <c r="M32" s="234"/>
      <c r="N32" s="235">
        <f t="shared" si="3"/>
      </c>
      <c r="O32" s="155">
        <f t="shared" si="4"/>
      </c>
      <c r="P32" s="486">
        <f t="shared" si="5"/>
        <v>20</v>
      </c>
      <c r="Q32" s="487" t="str">
        <f t="shared" si="6"/>
        <v>--</v>
      </c>
      <c r="R32" s="488" t="str">
        <f t="shared" si="7"/>
        <v>--</v>
      </c>
      <c r="S32" s="489" t="str">
        <f t="shared" si="8"/>
        <v>--</v>
      </c>
      <c r="T32" s="490" t="str">
        <f t="shared" si="9"/>
        <v>--</v>
      </c>
      <c r="U32" s="310" t="s">
        <v>248</v>
      </c>
      <c r="V32" s="155">
        <f t="shared" si="10"/>
      </c>
      <c r="W32" s="421">
        <f t="shared" si="11"/>
      </c>
      <c r="X32" s="6"/>
    </row>
    <row r="33" spans="2:24" s="5" customFormat="1" ht="16.5" customHeight="1">
      <c r="B33" s="50"/>
      <c r="C33" s="289"/>
      <c r="D33" s="484"/>
      <c r="E33" s="412"/>
      <c r="F33" s="412"/>
      <c r="G33" s="485"/>
      <c r="H33" s="306">
        <f t="shared" si="0"/>
        <v>0</v>
      </c>
      <c r="I33" s="414"/>
      <c r="J33" s="192"/>
      <c r="K33" s="415">
        <f t="shared" si="1"/>
      </c>
      <c r="L33" s="416">
        <f t="shared" si="2"/>
      </c>
      <c r="M33" s="234"/>
      <c r="N33" s="235">
        <f t="shared" si="3"/>
      </c>
      <c r="O33" s="155">
        <f t="shared" si="4"/>
      </c>
      <c r="P33" s="486">
        <f t="shared" si="5"/>
        <v>20</v>
      </c>
      <c r="Q33" s="487" t="str">
        <f t="shared" si="6"/>
        <v>--</v>
      </c>
      <c r="R33" s="488" t="str">
        <f t="shared" si="7"/>
        <v>--</v>
      </c>
      <c r="S33" s="489" t="str">
        <f t="shared" si="8"/>
        <v>--</v>
      </c>
      <c r="T33" s="490" t="str">
        <f t="shared" si="9"/>
        <v>--</v>
      </c>
      <c r="U33" s="310" t="s">
        <v>248</v>
      </c>
      <c r="V33" s="155">
        <f t="shared" si="10"/>
      </c>
      <c r="W33" s="421">
        <f t="shared" si="11"/>
      </c>
      <c r="X33" s="6"/>
    </row>
    <row r="34" spans="2:24" s="5" customFormat="1" ht="16.5" customHeight="1">
      <c r="B34" s="50"/>
      <c r="C34" s="157"/>
      <c r="D34" s="484"/>
      <c r="E34" s="412"/>
      <c r="F34" s="412"/>
      <c r="G34" s="485"/>
      <c r="H34" s="306">
        <f t="shared" si="0"/>
        <v>0</v>
      </c>
      <c r="I34" s="414"/>
      <c r="J34" s="192"/>
      <c r="K34" s="415">
        <f t="shared" si="1"/>
      </c>
      <c r="L34" s="416">
        <f t="shared" si="2"/>
      </c>
      <c r="M34" s="234"/>
      <c r="N34" s="235">
        <f t="shared" si="3"/>
      </c>
      <c r="O34" s="155">
        <f t="shared" si="4"/>
      </c>
      <c r="P34" s="486">
        <f t="shared" si="5"/>
        <v>20</v>
      </c>
      <c r="Q34" s="487" t="str">
        <f t="shared" si="6"/>
        <v>--</v>
      </c>
      <c r="R34" s="488" t="str">
        <f t="shared" si="7"/>
        <v>--</v>
      </c>
      <c r="S34" s="489" t="str">
        <f t="shared" si="8"/>
        <v>--</v>
      </c>
      <c r="T34" s="490" t="str">
        <f t="shared" si="9"/>
        <v>--</v>
      </c>
      <c r="U34" s="310" t="s">
        <v>248</v>
      </c>
      <c r="V34" s="155">
        <f t="shared" si="10"/>
      </c>
      <c r="W34" s="421">
        <f t="shared" si="11"/>
      </c>
      <c r="X34" s="6"/>
    </row>
    <row r="35" spans="2:24" s="5" customFormat="1" ht="16.5" customHeight="1">
      <c r="B35" s="50"/>
      <c r="C35" s="289"/>
      <c r="D35" s="484"/>
      <c r="E35" s="412"/>
      <c r="F35" s="412"/>
      <c r="G35" s="485"/>
      <c r="H35" s="306">
        <f t="shared" si="0"/>
        <v>0</v>
      </c>
      <c r="I35" s="414"/>
      <c r="J35" s="192"/>
      <c r="K35" s="415">
        <f t="shared" si="1"/>
      </c>
      <c r="L35" s="416">
        <f t="shared" si="2"/>
      </c>
      <c r="M35" s="234"/>
      <c r="N35" s="235">
        <f t="shared" si="3"/>
      </c>
      <c r="O35" s="155">
        <f t="shared" si="4"/>
      </c>
      <c r="P35" s="486">
        <f t="shared" si="5"/>
        <v>20</v>
      </c>
      <c r="Q35" s="487" t="str">
        <f t="shared" si="6"/>
        <v>--</v>
      </c>
      <c r="R35" s="488" t="str">
        <f t="shared" si="7"/>
        <v>--</v>
      </c>
      <c r="S35" s="489" t="str">
        <f t="shared" si="8"/>
        <v>--</v>
      </c>
      <c r="T35" s="490" t="str">
        <f t="shared" si="9"/>
        <v>--</v>
      </c>
      <c r="U35" s="310" t="s">
        <v>248</v>
      </c>
      <c r="V35" s="155">
        <f t="shared" si="10"/>
      </c>
      <c r="W35" s="421">
        <f t="shared" si="11"/>
      </c>
      <c r="X35" s="6"/>
    </row>
    <row r="36" spans="2:24" s="5" customFormat="1" ht="16.5" customHeight="1">
      <c r="B36" s="50"/>
      <c r="C36" s="157"/>
      <c r="D36" s="484"/>
      <c r="E36" s="412"/>
      <c r="F36" s="412"/>
      <c r="G36" s="485"/>
      <c r="H36" s="306">
        <f t="shared" si="0"/>
        <v>0</v>
      </c>
      <c r="I36" s="414"/>
      <c r="J36" s="192"/>
      <c r="K36" s="415">
        <f t="shared" si="1"/>
      </c>
      <c r="L36" s="416">
        <f t="shared" si="2"/>
      </c>
      <c r="M36" s="234"/>
      <c r="N36" s="235">
        <f t="shared" si="3"/>
      </c>
      <c r="O36" s="155">
        <f t="shared" si="4"/>
      </c>
      <c r="P36" s="486">
        <f t="shared" si="5"/>
        <v>20</v>
      </c>
      <c r="Q36" s="487" t="str">
        <f t="shared" si="6"/>
        <v>--</v>
      </c>
      <c r="R36" s="488" t="str">
        <f t="shared" si="7"/>
        <v>--</v>
      </c>
      <c r="S36" s="489" t="str">
        <f t="shared" si="8"/>
        <v>--</v>
      </c>
      <c r="T36" s="490" t="str">
        <f t="shared" si="9"/>
        <v>--</v>
      </c>
      <c r="U36" s="310" t="s">
        <v>248</v>
      </c>
      <c r="V36" s="155">
        <f t="shared" si="10"/>
      </c>
      <c r="W36" s="421">
        <f t="shared" si="11"/>
      </c>
      <c r="X36" s="6"/>
    </row>
    <row r="37" spans="2:24" s="5" customFormat="1" ht="16.5" customHeight="1">
      <c r="B37" s="50"/>
      <c r="C37" s="289"/>
      <c r="D37" s="484"/>
      <c r="E37" s="412"/>
      <c r="F37" s="412"/>
      <c r="G37" s="485"/>
      <c r="H37" s="306">
        <f t="shared" si="0"/>
        <v>0</v>
      </c>
      <c r="I37" s="414"/>
      <c r="J37" s="192"/>
      <c r="K37" s="415">
        <f t="shared" si="1"/>
      </c>
      <c r="L37" s="416">
        <f t="shared" si="2"/>
      </c>
      <c r="M37" s="234"/>
      <c r="N37" s="235">
        <f t="shared" si="3"/>
      </c>
      <c r="O37" s="155">
        <f t="shared" si="4"/>
      </c>
      <c r="P37" s="486">
        <f t="shared" si="5"/>
        <v>20</v>
      </c>
      <c r="Q37" s="487" t="str">
        <f t="shared" si="6"/>
        <v>--</v>
      </c>
      <c r="R37" s="488" t="str">
        <f t="shared" si="7"/>
        <v>--</v>
      </c>
      <c r="S37" s="489" t="str">
        <f t="shared" si="8"/>
        <v>--</v>
      </c>
      <c r="T37" s="490" t="str">
        <f t="shared" si="9"/>
        <v>--</v>
      </c>
      <c r="U37" s="310" t="s">
        <v>248</v>
      </c>
      <c r="V37" s="155">
        <f t="shared" si="10"/>
      </c>
      <c r="W37" s="421">
        <f t="shared" si="11"/>
      </c>
      <c r="X37" s="6"/>
    </row>
    <row r="38" spans="2:24" s="5" customFormat="1" ht="16.5" customHeight="1">
      <c r="B38" s="50"/>
      <c r="C38" s="157"/>
      <c r="D38" s="484"/>
      <c r="E38" s="412"/>
      <c r="F38" s="412"/>
      <c r="G38" s="485"/>
      <c r="H38" s="306">
        <f t="shared" si="0"/>
        <v>0</v>
      </c>
      <c r="I38" s="414"/>
      <c r="J38" s="192"/>
      <c r="K38" s="415">
        <f t="shared" si="1"/>
      </c>
      <c r="L38" s="416">
        <f t="shared" si="2"/>
      </c>
      <c r="M38" s="234"/>
      <c r="N38" s="235">
        <f t="shared" si="3"/>
      </c>
      <c r="O38" s="155">
        <f t="shared" si="4"/>
      </c>
      <c r="P38" s="486">
        <f t="shared" si="5"/>
        <v>20</v>
      </c>
      <c r="Q38" s="487" t="str">
        <f t="shared" si="6"/>
        <v>--</v>
      </c>
      <c r="R38" s="488" t="str">
        <f t="shared" si="7"/>
        <v>--</v>
      </c>
      <c r="S38" s="489" t="str">
        <f t="shared" si="8"/>
        <v>--</v>
      </c>
      <c r="T38" s="490" t="str">
        <f t="shared" si="9"/>
        <v>--</v>
      </c>
      <c r="U38" s="310" t="s">
        <v>248</v>
      </c>
      <c r="V38" s="155">
        <f t="shared" si="10"/>
      </c>
      <c r="W38" s="421">
        <f t="shared" si="11"/>
      </c>
      <c r="X38" s="6"/>
    </row>
    <row r="39" spans="2:24" s="5" customFormat="1" ht="16.5" customHeight="1">
      <c r="B39" s="50"/>
      <c r="C39" s="289"/>
      <c r="D39" s="484"/>
      <c r="E39" s="412"/>
      <c r="F39" s="412"/>
      <c r="G39" s="485"/>
      <c r="H39" s="306">
        <f t="shared" si="0"/>
        <v>0</v>
      </c>
      <c r="I39" s="414"/>
      <c r="J39" s="192"/>
      <c r="K39" s="415">
        <f t="shared" si="1"/>
      </c>
      <c r="L39" s="416">
        <f t="shared" si="2"/>
      </c>
      <c r="M39" s="234"/>
      <c r="N39" s="235">
        <f t="shared" si="3"/>
      </c>
      <c r="O39" s="155">
        <f t="shared" si="4"/>
      </c>
      <c r="P39" s="486">
        <f t="shared" si="5"/>
        <v>20</v>
      </c>
      <c r="Q39" s="487" t="str">
        <f t="shared" si="6"/>
        <v>--</v>
      </c>
      <c r="R39" s="488" t="str">
        <f t="shared" si="7"/>
        <v>--</v>
      </c>
      <c r="S39" s="489" t="str">
        <f t="shared" si="8"/>
        <v>--</v>
      </c>
      <c r="T39" s="490" t="str">
        <f t="shared" si="9"/>
        <v>--</v>
      </c>
      <c r="U39" s="310" t="s">
        <v>248</v>
      </c>
      <c r="V39" s="155">
        <f t="shared" si="10"/>
      </c>
      <c r="W39" s="421">
        <f t="shared" si="11"/>
      </c>
      <c r="X39" s="6"/>
    </row>
    <row r="40" spans="2:24" s="5" customFormat="1" ht="16.5" customHeight="1" thickBot="1">
      <c r="B40" s="50"/>
      <c r="C40" s="157"/>
      <c r="D40" s="492"/>
      <c r="E40" s="149"/>
      <c r="F40" s="149"/>
      <c r="G40" s="493"/>
      <c r="H40" s="132"/>
      <c r="I40" s="422"/>
      <c r="J40" s="422"/>
      <c r="K40" s="423"/>
      <c r="L40" s="423"/>
      <c r="M40" s="422"/>
      <c r="N40" s="197"/>
      <c r="O40" s="154"/>
      <c r="P40" s="494"/>
      <c r="Q40" s="495"/>
      <c r="R40" s="496"/>
      <c r="S40" s="497"/>
      <c r="T40" s="498"/>
      <c r="U40" s="498"/>
      <c r="V40" s="154"/>
      <c r="W40" s="499"/>
      <c r="X40" s="6"/>
    </row>
    <row r="41" spans="2:24" s="5" customFormat="1" ht="16.5" customHeight="1" thickBot="1" thickTop="1">
      <c r="B41" s="50"/>
      <c r="C41" s="128" t="s">
        <v>25</v>
      </c>
      <c r="D41" s="129" t="s">
        <v>372</v>
      </c>
      <c r="G41" s="4"/>
      <c r="H41" s="4"/>
      <c r="I41" s="4"/>
      <c r="J41" s="4"/>
      <c r="K41" s="4"/>
      <c r="L41" s="4"/>
      <c r="M41" s="4"/>
      <c r="N41" s="4"/>
      <c r="O41" s="4"/>
      <c r="P41" s="500">
        <f>SUM(Q20:Q40)</f>
        <v>0</v>
      </c>
      <c r="Q41" s="501">
        <f>SUM(R20:R40)</f>
        <v>0</v>
      </c>
      <c r="R41" s="502">
        <f>SUM(S20:S40)</f>
        <v>1532.2050000000002</v>
      </c>
      <c r="S41" s="503">
        <f>SUM(T20:T40)</f>
        <v>0</v>
      </c>
      <c r="T41" s="503">
        <f>SUM(U20:U40)</f>
        <v>0</v>
      </c>
      <c r="W41" s="101">
        <f>ROUND(SUM(W20:W40),2)</f>
        <v>1532.21</v>
      </c>
      <c r="X41" s="504"/>
    </row>
    <row r="42" spans="2:24" s="5" customFormat="1" ht="16.5" customHeight="1" thickBot="1" thickTop="1">
      <c r="B42" s="74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6"/>
    </row>
    <row r="43" spans="4:25" ht="16.5" customHeight="1" thickTop="1">
      <c r="D43" s="181"/>
      <c r="E43" s="181"/>
      <c r="F43" s="181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</row>
    <row r="44" spans="4:25" ht="16.5" customHeight="1">
      <c r="D44" s="181"/>
      <c r="E44" s="181"/>
      <c r="F44" s="181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</row>
    <row r="45" spans="4:25" ht="16.5" customHeight="1">
      <c r="D45" s="181"/>
      <c r="E45" s="181"/>
      <c r="F45" s="181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</row>
    <row r="46" spans="4:25" ht="16.5" customHeight="1">
      <c r="D46" s="181"/>
      <c r="E46" s="181"/>
      <c r="F46" s="181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</row>
    <row r="47" spans="4:25" ht="16.5" customHeight="1">
      <c r="D47" s="181"/>
      <c r="E47" s="181"/>
      <c r="F47" s="181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</row>
    <row r="48" spans="4:25" ht="16.5" customHeight="1">
      <c r="D48" s="181"/>
      <c r="E48" s="181"/>
      <c r="F48" s="181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</row>
    <row r="49" spans="4:25" ht="16.5" customHeight="1"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</row>
    <row r="50" spans="4:25" ht="16.5" customHeight="1"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</row>
    <row r="51" spans="4:25" ht="16.5" customHeight="1"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</row>
    <row r="52" spans="4:25" ht="16.5" customHeight="1"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</row>
    <row r="53" spans="4:25" ht="16.5" customHeight="1"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</row>
    <row r="54" spans="4:25" ht="16.5" customHeight="1"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</row>
    <row r="55" spans="4:25" ht="16.5" customHeight="1"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</row>
    <row r="56" spans="4:25" ht="16.5" customHeight="1"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</row>
    <row r="57" spans="4:25" ht="16.5" customHeight="1"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</row>
    <row r="58" spans="4:25" ht="16.5" customHeight="1"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</row>
    <row r="59" spans="4:25" ht="16.5" customHeight="1"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</row>
    <row r="60" spans="4:25" ht="16.5" customHeight="1"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</row>
    <row r="61" spans="4:25" ht="16.5" customHeight="1"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</row>
    <row r="62" spans="4:25" ht="16.5" customHeight="1"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</row>
    <row r="63" spans="4:25" ht="16.5" customHeight="1"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</row>
    <row r="64" spans="4:25" ht="16.5" customHeight="1"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</row>
    <row r="65" spans="4:25" ht="16.5" customHeight="1"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</row>
    <row r="66" spans="4:25" ht="16.5" customHeight="1"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</row>
    <row r="67" spans="4:25" ht="16.5" customHeight="1"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</row>
    <row r="68" spans="4:25" ht="16.5" customHeight="1"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</row>
    <row r="69" spans="4:25" ht="16.5" customHeight="1"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</row>
    <row r="70" spans="4:25" ht="16.5" customHeight="1"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</row>
    <row r="71" spans="4:25" ht="16.5" customHeight="1"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</row>
    <row r="72" spans="4:25" ht="16.5" customHeight="1"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</row>
    <row r="73" spans="4:25" ht="16.5" customHeight="1"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</row>
    <row r="74" spans="4:25" ht="16.5" customHeight="1"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</row>
    <row r="75" spans="4:25" ht="16.5" customHeight="1"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</row>
    <row r="76" spans="4:25" ht="16.5" customHeight="1"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</row>
    <row r="77" spans="4:25" ht="16.5" customHeight="1"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</row>
    <row r="78" spans="4:25" ht="16.5" customHeight="1"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</row>
    <row r="79" spans="4:25" ht="16.5" customHeight="1"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</row>
    <row r="80" spans="4:25" ht="16.5" customHeight="1"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</row>
    <row r="81" spans="4:25" ht="16.5" customHeight="1"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</row>
    <row r="82" spans="4:25" ht="16.5" customHeight="1"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</row>
    <row r="83" spans="4:25" ht="16.5" customHeight="1"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79"/>
    </row>
    <row r="84" spans="4:25" ht="16.5" customHeight="1"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  <c r="T84" s="179"/>
      <c r="U84" s="179"/>
      <c r="V84" s="179"/>
      <c r="W84" s="179"/>
      <c r="X84" s="179"/>
      <c r="Y84" s="179"/>
    </row>
    <row r="85" spans="4:25" ht="16.5" customHeight="1"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</row>
    <row r="86" spans="4:25" ht="16.5" customHeight="1"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  <c r="W86" s="179"/>
      <c r="X86" s="179"/>
      <c r="Y86" s="179"/>
    </row>
    <row r="87" spans="4:25" ht="16.5" customHeight="1"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</row>
    <row r="88" spans="4:25" ht="16.5" customHeight="1"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79"/>
      <c r="X88" s="179"/>
      <c r="Y88" s="179"/>
    </row>
    <row r="89" spans="4:25" ht="16.5" customHeight="1"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</row>
    <row r="90" spans="4:25" ht="16.5" customHeight="1"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  <c r="X90" s="179"/>
      <c r="Y90" s="179"/>
    </row>
    <row r="91" spans="4:25" ht="16.5" customHeight="1"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79"/>
    </row>
    <row r="92" spans="4:25" ht="16.5" customHeight="1"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</row>
    <row r="93" spans="4:25" ht="16.5" customHeight="1"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  <c r="X93" s="179"/>
      <c r="Y93" s="179"/>
    </row>
    <row r="94" spans="4:25" ht="16.5" customHeight="1"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9"/>
    </row>
    <row r="95" spans="4:25" ht="16.5" customHeight="1"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  <c r="X95" s="179"/>
      <c r="Y95" s="179"/>
    </row>
    <row r="96" spans="4:25" ht="16.5" customHeight="1"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</row>
    <row r="97" spans="4:25" ht="16.5" customHeight="1"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</row>
    <row r="98" spans="4:25" ht="16.5" customHeight="1"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  <c r="S98" s="179"/>
      <c r="T98" s="179"/>
      <c r="U98" s="179"/>
      <c r="V98" s="179"/>
      <c r="W98" s="179"/>
      <c r="X98" s="179"/>
      <c r="Y98" s="179"/>
    </row>
    <row r="99" spans="4:25" ht="16.5" customHeight="1"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  <c r="S99" s="179"/>
      <c r="T99" s="179"/>
      <c r="U99" s="179"/>
      <c r="V99" s="179"/>
      <c r="W99" s="179"/>
      <c r="X99" s="179"/>
      <c r="Y99" s="179"/>
    </row>
    <row r="100" spans="4:25" ht="16.5" customHeight="1"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179"/>
      <c r="U100" s="179"/>
      <c r="V100" s="179"/>
      <c r="W100" s="179"/>
      <c r="X100" s="179"/>
      <c r="Y100" s="179"/>
    </row>
    <row r="101" spans="4:25" ht="16.5" customHeight="1"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  <c r="S101" s="179"/>
      <c r="T101" s="179"/>
      <c r="U101" s="179"/>
      <c r="V101" s="179"/>
      <c r="W101" s="179"/>
      <c r="X101" s="179"/>
      <c r="Y101" s="179"/>
    </row>
    <row r="102" spans="4:25" ht="16.5" customHeight="1"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179"/>
      <c r="Y102" s="179"/>
    </row>
    <row r="103" spans="4:25" ht="16.5" customHeight="1"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  <c r="S103" s="179"/>
      <c r="T103" s="179"/>
      <c r="U103" s="179"/>
      <c r="V103" s="179"/>
      <c r="W103" s="179"/>
      <c r="X103" s="179"/>
      <c r="Y103" s="179"/>
    </row>
    <row r="104" spans="4:25" ht="16.5" customHeight="1"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179"/>
      <c r="U104" s="179"/>
      <c r="V104" s="179"/>
      <c r="W104" s="179"/>
      <c r="X104" s="179"/>
      <c r="Y104" s="179"/>
    </row>
    <row r="105" spans="4:25" ht="16.5" customHeight="1"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  <c r="S105" s="179"/>
      <c r="T105" s="179"/>
      <c r="U105" s="179"/>
      <c r="V105" s="179"/>
      <c r="W105" s="179"/>
      <c r="X105" s="179"/>
      <c r="Y105" s="179"/>
    </row>
    <row r="106" spans="4:25" ht="16.5" customHeight="1"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T106" s="179"/>
      <c r="U106" s="179"/>
      <c r="V106" s="179"/>
      <c r="W106" s="179"/>
      <c r="X106" s="179"/>
      <c r="Y106" s="179"/>
    </row>
    <row r="107" spans="4:25" ht="16.5" customHeight="1"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  <c r="S107" s="179"/>
      <c r="T107" s="179"/>
      <c r="U107" s="179"/>
      <c r="V107" s="179"/>
      <c r="W107" s="179"/>
      <c r="X107" s="179"/>
      <c r="Y107" s="179"/>
    </row>
    <row r="108" spans="4:25" ht="16.5" customHeight="1"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  <c r="S108" s="179"/>
      <c r="T108" s="179"/>
      <c r="U108" s="179"/>
      <c r="V108" s="179"/>
      <c r="W108" s="179"/>
      <c r="X108" s="179"/>
      <c r="Y108" s="179"/>
    </row>
    <row r="109" spans="4:25" ht="16.5" customHeight="1"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  <c r="S109" s="179"/>
      <c r="T109" s="179"/>
      <c r="U109" s="179"/>
      <c r="V109" s="179"/>
      <c r="W109" s="179"/>
      <c r="X109" s="179"/>
      <c r="Y109" s="179"/>
    </row>
    <row r="110" spans="4:25" ht="16.5" customHeight="1"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  <c r="S110" s="179"/>
      <c r="T110" s="179"/>
      <c r="U110" s="179"/>
      <c r="V110" s="179"/>
      <c r="W110" s="179"/>
      <c r="X110" s="179"/>
      <c r="Y110" s="179"/>
    </row>
    <row r="111" spans="4:25" ht="16.5" customHeight="1"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  <c r="S111" s="179"/>
      <c r="T111" s="179"/>
      <c r="U111" s="179"/>
      <c r="V111" s="179"/>
      <c r="W111" s="179"/>
      <c r="X111" s="179"/>
      <c r="Y111" s="179"/>
    </row>
    <row r="112" spans="4:25" ht="16.5" customHeight="1"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  <c r="S112" s="179"/>
      <c r="T112" s="179"/>
      <c r="U112" s="179"/>
      <c r="V112" s="179"/>
      <c r="W112" s="179"/>
      <c r="X112" s="179"/>
      <c r="Y112" s="179"/>
    </row>
    <row r="113" spans="4:25" ht="16.5" customHeight="1"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  <c r="S113" s="179"/>
      <c r="T113" s="179"/>
      <c r="U113" s="179"/>
      <c r="V113" s="179"/>
      <c r="W113" s="179"/>
      <c r="X113" s="179"/>
      <c r="Y113" s="179"/>
    </row>
    <row r="114" spans="4:25" ht="16.5" customHeight="1"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  <c r="S114" s="179"/>
      <c r="T114" s="179"/>
      <c r="U114" s="179"/>
      <c r="V114" s="179"/>
      <c r="W114" s="179"/>
      <c r="X114" s="179"/>
      <c r="Y114" s="179"/>
    </row>
    <row r="115" spans="4:25" ht="16.5" customHeight="1"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  <c r="S115" s="179"/>
      <c r="T115" s="179"/>
      <c r="U115" s="179"/>
      <c r="V115" s="179"/>
      <c r="W115" s="179"/>
      <c r="X115" s="179"/>
      <c r="Y115" s="179"/>
    </row>
    <row r="116" spans="4:25" ht="16.5" customHeight="1"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  <c r="S116" s="179"/>
      <c r="T116" s="179"/>
      <c r="U116" s="179"/>
      <c r="V116" s="179"/>
      <c r="W116" s="179"/>
      <c r="X116" s="179"/>
      <c r="Y116" s="179"/>
    </row>
    <row r="117" spans="4:25" ht="16.5" customHeight="1"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  <c r="S117" s="179"/>
      <c r="T117" s="179"/>
      <c r="U117" s="179"/>
      <c r="V117" s="179"/>
      <c r="W117" s="179"/>
      <c r="X117" s="179"/>
      <c r="Y117" s="179"/>
    </row>
    <row r="118" spans="4:25" ht="16.5" customHeight="1"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  <c r="S118" s="179"/>
      <c r="T118" s="179"/>
      <c r="U118" s="179"/>
      <c r="V118" s="179"/>
      <c r="W118" s="179"/>
      <c r="X118" s="179"/>
      <c r="Y118" s="179"/>
    </row>
    <row r="119" spans="4:25" ht="16.5" customHeight="1"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  <c r="S119" s="179"/>
      <c r="T119" s="179"/>
      <c r="U119" s="179"/>
      <c r="V119" s="179"/>
      <c r="W119" s="179"/>
      <c r="X119" s="179"/>
      <c r="Y119" s="179"/>
    </row>
    <row r="120" spans="4:25" ht="16.5" customHeight="1"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  <c r="S120" s="179"/>
      <c r="T120" s="179"/>
      <c r="U120" s="179"/>
      <c r="V120" s="179"/>
      <c r="W120" s="179"/>
      <c r="X120" s="179"/>
      <c r="Y120" s="179"/>
    </row>
    <row r="121" spans="4:25" ht="16.5" customHeight="1"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  <c r="S121" s="179"/>
      <c r="T121" s="179"/>
      <c r="U121" s="179"/>
      <c r="V121" s="179"/>
      <c r="W121" s="179"/>
      <c r="X121" s="179"/>
      <c r="Y121" s="179"/>
    </row>
    <row r="122" spans="4:25" ht="16.5" customHeight="1"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  <c r="S122" s="179"/>
      <c r="T122" s="179"/>
      <c r="U122" s="179"/>
      <c r="V122" s="179"/>
      <c r="W122" s="179"/>
      <c r="X122" s="179"/>
      <c r="Y122" s="179"/>
    </row>
    <row r="123" spans="4:25" ht="16.5" customHeight="1"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  <c r="S123" s="179"/>
      <c r="T123" s="179"/>
      <c r="U123" s="179"/>
      <c r="V123" s="179"/>
      <c r="W123" s="179"/>
      <c r="X123" s="179"/>
      <c r="Y123" s="179"/>
    </row>
    <row r="124" spans="4:25" ht="16.5" customHeight="1"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  <c r="S124" s="179"/>
      <c r="T124" s="179"/>
      <c r="U124" s="179"/>
      <c r="V124" s="179"/>
      <c r="W124" s="179"/>
      <c r="X124" s="179"/>
      <c r="Y124" s="179"/>
    </row>
    <row r="125" spans="4:25" ht="16.5" customHeight="1"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  <c r="S125" s="179"/>
      <c r="T125" s="179"/>
      <c r="U125" s="179"/>
      <c r="V125" s="179"/>
      <c r="W125" s="179"/>
      <c r="X125" s="179"/>
      <c r="Y125" s="179"/>
    </row>
    <row r="126" spans="4:25" ht="16.5" customHeight="1"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  <c r="S126" s="179"/>
      <c r="T126" s="179"/>
      <c r="U126" s="179"/>
      <c r="V126" s="179"/>
      <c r="W126" s="179"/>
      <c r="X126" s="179"/>
      <c r="Y126" s="179"/>
    </row>
    <row r="127" spans="4:25" ht="16.5" customHeight="1"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  <c r="S127" s="179"/>
      <c r="T127" s="179"/>
      <c r="U127" s="179"/>
      <c r="V127" s="179"/>
      <c r="W127" s="179"/>
      <c r="X127" s="179"/>
      <c r="Y127" s="179"/>
    </row>
    <row r="128" spans="4:25" ht="16.5" customHeight="1"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  <c r="S128" s="179"/>
      <c r="T128" s="179"/>
      <c r="U128" s="179"/>
      <c r="V128" s="179"/>
      <c r="W128" s="179"/>
      <c r="X128" s="179"/>
      <c r="Y128" s="179"/>
    </row>
    <row r="129" spans="4:25" ht="16.5" customHeight="1"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  <c r="S129" s="179"/>
      <c r="T129" s="179"/>
      <c r="U129" s="179"/>
      <c r="V129" s="179"/>
      <c r="W129" s="179"/>
      <c r="X129" s="179"/>
      <c r="Y129" s="179"/>
    </row>
    <row r="130" spans="4:25" ht="16.5" customHeight="1"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  <c r="S130" s="179"/>
      <c r="T130" s="179"/>
      <c r="U130" s="179"/>
      <c r="V130" s="179"/>
      <c r="W130" s="179"/>
      <c r="X130" s="179"/>
      <c r="Y130" s="179"/>
    </row>
    <row r="131" spans="4:25" ht="16.5" customHeight="1"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  <c r="S131" s="179"/>
      <c r="T131" s="179"/>
      <c r="U131" s="179"/>
      <c r="V131" s="179"/>
      <c r="W131" s="179"/>
      <c r="X131" s="179"/>
      <c r="Y131" s="179"/>
    </row>
    <row r="132" spans="4:25" ht="16.5" customHeight="1"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  <c r="S132" s="179"/>
      <c r="T132" s="179"/>
      <c r="U132" s="179"/>
      <c r="V132" s="179"/>
      <c r="W132" s="179"/>
      <c r="X132" s="179"/>
      <c r="Y132" s="179"/>
    </row>
    <row r="133" spans="4:25" ht="16.5" customHeight="1"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  <c r="S133" s="179"/>
      <c r="T133" s="179"/>
      <c r="U133" s="179"/>
      <c r="V133" s="179"/>
      <c r="W133" s="179"/>
      <c r="X133" s="179"/>
      <c r="Y133" s="179"/>
    </row>
    <row r="134" spans="4:25" ht="16.5" customHeight="1"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  <c r="S134" s="179"/>
      <c r="T134" s="179"/>
      <c r="U134" s="179"/>
      <c r="V134" s="179"/>
      <c r="W134" s="179"/>
      <c r="X134" s="179"/>
      <c r="Y134" s="179"/>
    </row>
    <row r="135" spans="4:25" ht="16.5" customHeight="1"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  <c r="S135" s="179"/>
      <c r="T135" s="179"/>
      <c r="U135" s="179"/>
      <c r="V135" s="179"/>
      <c r="W135" s="179"/>
      <c r="X135" s="179"/>
      <c r="Y135" s="179"/>
    </row>
    <row r="136" spans="4:25" ht="16.5" customHeight="1"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  <c r="S136" s="179"/>
      <c r="T136" s="179"/>
      <c r="U136" s="179"/>
      <c r="V136" s="179"/>
      <c r="W136" s="179"/>
      <c r="X136" s="179"/>
      <c r="Y136" s="179"/>
    </row>
    <row r="137" spans="4:25" ht="16.5" customHeight="1"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  <c r="S137" s="179"/>
      <c r="T137" s="179"/>
      <c r="U137" s="179"/>
      <c r="V137" s="179"/>
      <c r="W137" s="179"/>
      <c r="X137" s="179"/>
      <c r="Y137" s="179"/>
    </row>
    <row r="138" spans="4:25" ht="16.5" customHeight="1"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  <c r="S138" s="179"/>
      <c r="T138" s="179"/>
      <c r="U138" s="179"/>
      <c r="V138" s="179"/>
      <c r="W138" s="179"/>
      <c r="X138" s="179"/>
      <c r="Y138" s="179"/>
    </row>
    <row r="139" spans="4:25" ht="16.5" customHeight="1"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  <c r="S139" s="179"/>
      <c r="T139" s="179"/>
      <c r="U139" s="179"/>
      <c r="V139" s="179"/>
      <c r="W139" s="179"/>
      <c r="X139" s="179"/>
      <c r="Y139" s="179"/>
    </row>
    <row r="140" spans="4:25" ht="16.5" customHeight="1"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  <c r="S140" s="179"/>
      <c r="T140" s="179"/>
      <c r="U140" s="179"/>
      <c r="V140" s="179"/>
      <c r="W140" s="179"/>
      <c r="X140" s="179"/>
      <c r="Y140" s="179"/>
    </row>
    <row r="141" spans="4:25" ht="16.5" customHeight="1"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  <c r="S141" s="179"/>
      <c r="T141" s="179"/>
      <c r="U141" s="179"/>
      <c r="V141" s="179"/>
      <c r="W141" s="179"/>
      <c r="X141" s="179"/>
      <c r="Y141" s="179"/>
    </row>
    <row r="142" spans="4:25" ht="16.5" customHeight="1"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  <c r="S142" s="179"/>
      <c r="T142" s="179"/>
      <c r="U142" s="179"/>
      <c r="V142" s="179"/>
      <c r="W142" s="179"/>
      <c r="X142" s="179"/>
      <c r="Y142" s="179"/>
    </row>
    <row r="143" spans="4:25" ht="16.5" customHeight="1"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  <c r="S143" s="179"/>
      <c r="T143" s="179"/>
      <c r="U143" s="179"/>
      <c r="V143" s="179"/>
      <c r="W143" s="179"/>
      <c r="X143" s="179"/>
      <c r="Y143" s="179"/>
    </row>
    <row r="144" spans="4:25" ht="16.5" customHeight="1"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  <c r="S144" s="179"/>
      <c r="T144" s="179"/>
      <c r="U144" s="179"/>
      <c r="V144" s="179"/>
      <c r="W144" s="179"/>
      <c r="X144" s="179"/>
      <c r="Y144" s="179"/>
    </row>
    <row r="145" spans="4:25" ht="16.5" customHeight="1"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  <c r="S145" s="179"/>
      <c r="T145" s="179"/>
      <c r="U145" s="179"/>
      <c r="V145" s="179"/>
      <c r="W145" s="179"/>
      <c r="X145" s="179"/>
      <c r="Y145" s="179"/>
    </row>
    <row r="146" spans="4:25" ht="16.5" customHeight="1"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  <c r="S146" s="179"/>
      <c r="T146" s="179"/>
      <c r="U146" s="179"/>
      <c r="V146" s="179"/>
      <c r="W146" s="179"/>
      <c r="X146" s="179"/>
      <c r="Y146" s="179"/>
    </row>
    <row r="147" spans="4:25" ht="16.5" customHeight="1"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  <c r="S147" s="179"/>
      <c r="T147" s="179"/>
      <c r="U147" s="179"/>
      <c r="V147" s="179"/>
      <c r="W147" s="179"/>
      <c r="X147" s="179"/>
      <c r="Y147" s="179"/>
    </row>
    <row r="148" spans="4:25" ht="16.5" customHeight="1"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  <c r="S148" s="179"/>
      <c r="T148" s="179"/>
      <c r="U148" s="179"/>
      <c r="V148" s="179"/>
      <c r="W148" s="179"/>
      <c r="X148" s="179"/>
      <c r="Y148" s="179"/>
    </row>
    <row r="149" spans="4:25" ht="16.5" customHeight="1"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  <c r="S149" s="179"/>
      <c r="T149" s="179"/>
      <c r="U149" s="179"/>
      <c r="V149" s="179"/>
      <c r="W149" s="179"/>
      <c r="X149" s="179"/>
      <c r="Y149" s="179"/>
    </row>
    <row r="150" spans="4:25" ht="16.5" customHeight="1">
      <c r="D150" s="179"/>
      <c r="E150" s="179"/>
      <c r="F150" s="179"/>
      <c r="X150" s="179"/>
      <c r="Y150" s="179"/>
    </row>
    <row r="151" spans="4:6" ht="16.5" customHeight="1">
      <c r="D151" s="179"/>
      <c r="E151" s="179"/>
      <c r="F151" s="179"/>
    </row>
    <row r="152" spans="4:6" ht="16.5" customHeight="1">
      <c r="D152" s="179"/>
      <c r="E152" s="179"/>
      <c r="F152" s="179"/>
    </row>
    <row r="153" spans="4:6" ht="16.5" customHeight="1">
      <c r="D153" s="179"/>
      <c r="E153" s="179"/>
      <c r="F153" s="179"/>
    </row>
    <row r="154" spans="4:6" ht="16.5" customHeight="1">
      <c r="D154" s="179"/>
      <c r="E154" s="179"/>
      <c r="F154" s="179"/>
    </row>
    <row r="155" spans="4:6" ht="16.5" customHeight="1">
      <c r="D155" s="179"/>
      <c r="E155" s="179"/>
      <c r="F155" s="179"/>
    </row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3" r:id="rId2"/>
  <headerFooter alignWithMargins="0">
    <oddFooter>&amp;L&amp;"Times New Roman,Normal"&amp;5&amp;F  - TRANSPORTE de ENERGÍA ELÉCTRICA - PJL - JI -JM - &amp;P/&amp;N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31">
    <pageSetUpPr fitToPage="1"/>
  </sheetPr>
  <dimension ref="A1:AG76"/>
  <sheetViews>
    <sheetView zoomScale="50" zoomScaleNormal="50" workbookViewId="0" topLeftCell="A1">
      <selection activeCell="M64" sqref="M64"/>
    </sheetView>
  </sheetViews>
  <sheetFormatPr defaultColWidth="11.421875" defaultRowHeight="12.75"/>
  <cols>
    <col min="1" max="1" width="29.57421875" style="0" customWidth="1"/>
    <col min="2" max="2" width="10.140625" style="0" customWidth="1"/>
    <col min="3" max="3" width="4.7109375" style="0" customWidth="1"/>
    <col min="4" max="4" width="30.7109375" style="0" customWidth="1"/>
    <col min="5" max="5" width="20.7109375" style="0" customWidth="1"/>
    <col min="6" max="6" width="15.00390625" style="0" customWidth="1"/>
    <col min="7" max="7" width="14.7109375" style="0" customWidth="1"/>
    <col min="8" max="8" width="8.7109375" style="0" hidden="1" customWidth="1"/>
    <col min="9" max="9" width="11.00390625" style="0" hidden="1" customWidth="1"/>
    <col min="10" max="11" width="18.7109375" style="0" customWidth="1"/>
    <col min="12" max="13" width="10.7109375" style="0" customWidth="1"/>
    <col min="14" max="14" width="9.7109375" style="0" customWidth="1"/>
    <col min="15" max="15" width="10.57421875" style="0" customWidth="1"/>
    <col min="16" max="16" width="8.421875" style="0" customWidth="1"/>
    <col min="17" max="17" width="7.7109375" style="0" customWidth="1"/>
    <col min="18" max="19" width="12.140625" style="0" hidden="1" customWidth="1"/>
    <col min="20" max="22" width="8.421875" style="0" hidden="1" customWidth="1"/>
    <col min="23" max="23" width="15.57421875" style="0" hidden="1" customWidth="1"/>
    <col min="24" max="27" width="8.421875" style="0" hidden="1" customWidth="1"/>
    <col min="28" max="28" width="9.7109375" style="0" customWidth="1"/>
    <col min="29" max="29" width="17.28125" style="0" customWidth="1"/>
    <col min="30" max="30" width="25.7109375" style="0" customWidth="1"/>
    <col min="31" max="31" width="4.140625" style="0" customWidth="1"/>
    <col min="32" max="32" width="7.140625" style="0" customWidth="1"/>
    <col min="33" max="33" width="5.28125" style="0" customWidth="1"/>
    <col min="34" max="34" width="5.421875" style="0" customWidth="1"/>
    <col min="35" max="35" width="4.7109375" style="0" customWidth="1"/>
    <col min="36" max="36" width="5.28125" style="0" customWidth="1"/>
    <col min="37" max="38" width="13.28125" style="0" customWidth="1"/>
    <col min="39" max="39" width="6.57421875" style="0" customWidth="1"/>
    <col min="40" max="40" width="6.421875" style="0" customWidth="1"/>
    <col min="45" max="45" width="12.7109375" style="0" customWidth="1"/>
    <col min="49" max="49" width="21.00390625" style="0" customWidth="1"/>
  </cols>
  <sheetData>
    <row r="1" spans="1:30" ht="13.5">
      <c r="A1" s="90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AD1" s="146"/>
    </row>
    <row r="2" spans="1:23" ht="27" customHeight="1">
      <c r="A2" s="90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30" s="551" customFormat="1" ht="30.75">
      <c r="A3" s="548"/>
      <c r="B3" s="549" t="str">
        <f>+'TOT-1108'!B2</f>
        <v>ANEXO VI al Memoràndum D.T.E.E. N°  366 / 2010          </v>
      </c>
      <c r="C3" s="550"/>
      <c r="D3" s="550"/>
      <c r="E3" s="550"/>
      <c r="F3" s="550"/>
      <c r="G3" s="550"/>
      <c r="H3" s="550"/>
      <c r="I3" s="550"/>
      <c r="J3" s="550"/>
      <c r="K3" s="550"/>
      <c r="L3" s="550"/>
      <c r="M3" s="550"/>
      <c r="N3" s="550"/>
      <c r="O3" s="550"/>
      <c r="P3" s="550"/>
      <c r="Q3" s="550"/>
      <c r="R3" s="550"/>
      <c r="S3" s="550"/>
      <c r="T3" s="550"/>
      <c r="U3" s="550"/>
      <c r="V3" s="550"/>
      <c r="W3" s="550"/>
      <c r="AB3" s="550"/>
      <c r="AC3" s="550"/>
      <c r="AD3" s="550"/>
    </row>
    <row r="4" spans="1:2" s="25" customFormat="1" ht="11.25">
      <c r="A4" s="781" t="s">
        <v>2</v>
      </c>
      <c r="B4" s="782"/>
    </row>
    <row r="5" spans="1:2" s="25" customFormat="1" ht="12" thickBot="1">
      <c r="A5" s="781" t="s">
        <v>3</v>
      </c>
      <c r="B5" s="781"/>
    </row>
    <row r="6" spans="1:30" ht="16.5" customHeight="1" thickTop="1">
      <c r="A6" s="5"/>
      <c r="B6" s="69"/>
      <c r="C6" s="70"/>
      <c r="D6" s="70"/>
      <c r="E6" s="201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180"/>
      <c r="X6" s="180"/>
      <c r="Y6" s="180"/>
      <c r="Z6" s="180"/>
      <c r="AA6" s="180"/>
      <c r="AB6" s="180"/>
      <c r="AC6" s="180"/>
      <c r="AD6" s="94"/>
    </row>
    <row r="7" spans="1:30" ht="20.25">
      <c r="A7" s="5"/>
      <c r="B7" s="50"/>
      <c r="C7" s="4"/>
      <c r="D7" s="178" t="s">
        <v>99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77"/>
      <c r="Q7" s="77"/>
      <c r="R7" s="4"/>
      <c r="S7" s="4"/>
      <c r="T7" s="4"/>
      <c r="U7" s="4"/>
      <c r="V7" s="4"/>
      <c r="AD7" s="17"/>
    </row>
    <row r="8" spans="1:30" ht="16.5" customHeight="1">
      <c r="A8" s="5"/>
      <c r="B8" s="50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AD8" s="17"/>
    </row>
    <row r="9" spans="2:30" s="36" customFormat="1" ht="20.25">
      <c r="B9" s="44"/>
      <c r="C9" s="43"/>
      <c r="D9" s="178" t="s">
        <v>100</v>
      </c>
      <c r="E9" s="43"/>
      <c r="F9" s="43"/>
      <c r="G9" s="43"/>
      <c r="H9" s="43"/>
      <c r="N9" s="43"/>
      <c r="O9" s="43"/>
      <c r="P9" s="202"/>
      <c r="Q9" s="202"/>
      <c r="R9" s="43"/>
      <c r="S9" s="43"/>
      <c r="T9" s="43"/>
      <c r="U9" s="43"/>
      <c r="V9" s="43"/>
      <c r="W9"/>
      <c r="X9" s="43"/>
      <c r="Y9" s="43"/>
      <c r="Z9" s="43"/>
      <c r="AA9" s="43"/>
      <c r="AB9" s="43"/>
      <c r="AC9"/>
      <c r="AD9" s="203"/>
    </row>
    <row r="10" spans="1:30" ht="16.5" customHeight="1">
      <c r="A10" s="5"/>
      <c r="B10" s="50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AD10" s="17"/>
    </row>
    <row r="11" spans="2:30" s="36" customFormat="1" ht="20.25">
      <c r="B11" s="44"/>
      <c r="C11" s="43"/>
      <c r="D11" s="178" t="s">
        <v>117</v>
      </c>
      <c r="E11" s="43"/>
      <c r="F11" s="43"/>
      <c r="G11" s="43"/>
      <c r="H11" s="43"/>
      <c r="N11" s="43"/>
      <c r="O11" s="43"/>
      <c r="P11" s="202"/>
      <c r="Q11" s="202"/>
      <c r="R11" s="43"/>
      <c r="S11" s="43"/>
      <c r="T11" s="43"/>
      <c r="U11" s="43"/>
      <c r="V11" s="43"/>
      <c r="W11"/>
      <c r="X11" s="43"/>
      <c r="Y11" s="43"/>
      <c r="Z11" s="43"/>
      <c r="AA11" s="43"/>
      <c r="AB11" s="43"/>
      <c r="AC11"/>
      <c r="AD11" s="203"/>
    </row>
    <row r="12" spans="1:30" ht="16.5" customHeight="1">
      <c r="A12" s="5"/>
      <c r="B12" s="50"/>
      <c r="C12" s="4"/>
      <c r="D12" s="4"/>
      <c r="E12" s="5"/>
      <c r="F12" s="5"/>
      <c r="G12" s="5"/>
      <c r="H12" s="5"/>
      <c r="I12" s="72"/>
      <c r="J12" s="72"/>
      <c r="K12" s="72"/>
      <c r="L12" s="72"/>
      <c r="M12" s="72"/>
      <c r="N12" s="72"/>
      <c r="O12" s="72"/>
      <c r="P12" s="72"/>
      <c r="Q12" s="72"/>
      <c r="R12" s="4"/>
      <c r="S12" s="4"/>
      <c r="T12" s="4"/>
      <c r="U12" s="4"/>
      <c r="V12" s="4"/>
      <c r="AD12" s="17"/>
    </row>
    <row r="13" spans="2:30" s="36" customFormat="1" ht="19.5">
      <c r="B13" s="37" t="str">
        <f>'TOT-1108'!B14</f>
        <v>Desde el 01 al 30 de noviembre de 2008</v>
      </c>
      <c r="C13" s="38"/>
      <c r="D13" s="40"/>
      <c r="E13" s="40"/>
      <c r="F13" s="40"/>
      <c r="G13" s="40"/>
      <c r="H13" s="40"/>
      <c r="I13" s="41"/>
      <c r="J13" s="176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127"/>
      <c r="V13" s="127"/>
      <c r="W13"/>
      <c r="X13" s="552"/>
      <c r="Y13" s="552"/>
      <c r="Z13" s="552"/>
      <c r="AA13" s="552"/>
      <c r="AB13" s="127"/>
      <c r="AC13" s="176"/>
      <c r="AD13" s="42"/>
    </row>
    <row r="14" spans="1:30" ht="16.5" customHeight="1">
      <c r="A14" s="5"/>
      <c r="B14" s="50"/>
      <c r="C14" s="4"/>
      <c r="D14" s="4"/>
      <c r="E14" s="66"/>
      <c r="F14" s="66"/>
      <c r="G14" s="4"/>
      <c r="H14" s="4"/>
      <c r="I14" s="4"/>
      <c r="J14" s="553"/>
      <c r="K14" s="4"/>
      <c r="L14" s="4"/>
      <c r="M14" s="4"/>
      <c r="N14" s="5"/>
      <c r="O14" s="5"/>
      <c r="P14" s="4"/>
      <c r="Q14" s="4"/>
      <c r="R14" s="4"/>
      <c r="S14" s="4"/>
      <c r="T14" s="4"/>
      <c r="U14" s="4"/>
      <c r="V14" s="4"/>
      <c r="AD14" s="17"/>
    </row>
    <row r="15" spans="1:30" ht="16.5" customHeight="1">
      <c r="A15" s="5"/>
      <c r="B15" s="50"/>
      <c r="C15" s="4"/>
      <c r="D15" s="4"/>
      <c r="E15" s="66"/>
      <c r="F15" s="66"/>
      <c r="G15" s="4"/>
      <c r="H15" s="4"/>
      <c r="I15" s="141"/>
      <c r="J15" s="4"/>
      <c r="K15" s="1"/>
      <c r="M15" s="4"/>
      <c r="N15" s="5"/>
      <c r="O15" s="5"/>
      <c r="P15" s="4"/>
      <c r="Q15" s="4"/>
      <c r="R15" s="4"/>
      <c r="S15" s="4"/>
      <c r="T15" s="4"/>
      <c r="U15" s="4"/>
      <c r="V15" s="4"/>
      <c r="AD15" s="17"/>
    </row>
    <row r="16" spans="1:30" ht="16.5" customHeight="1">
      <c r="A16" s="5"/>
      <c r="B16" s="50"/>
      <c r="C16" s="4"/>
      <c r="D16" s="4"/>
      <c r="E16" s="66"/>
      <c r="F16" s="66"/>
      <c r="G16" s="4"/>
      <c r="H16" s="4"/>
      <c r="I16" s="141"/>
      <c r="J16" s="4"/>
      <c r="K16" s="1"/>
      <c r="M16" s="4"/>
      <c r="N16" s="5"/>
      <c r="O16" s="5"/>
      <c r="P16" s="4"/>
      <c r="Q16" s="4"/>
      <c r="R16" s="4"/>
      <c r="S16" s="4"/>
      <c r="T16" s="4"/>
      <c r="U16" s="4"/>
      <c r="V16" s="4"/>
      <c r="AD16" s="17"/>
    </row>
    <row r="17" spans="1:30" ht="16.5" customHeight="1">
      <c r="A17" s="5"/>
      <c r="B17" s="50"/>
      <c r="C17" s="166" t="s">
        <v>101</v>
      </c>
      <c r="D17" s="54" t="s">
        <v>102</v>
      </c>
      <c r="E17" s="66"/>
      <c r="F17" s="66"/>
      <c r="G17" s="4"/>
      <c r="H17" s="4"/>
      <c r="I17" s="4"/>
      <c r="J17" s="553"/>
      <c r="K17" s="4"/>
      <c r="L17" s="4"/>
      <c r="M17" s="4"/>
      <c r="N17" s="5"/>
      <c r="O17" s="5"/>
      <c r="P17" s="4"/>
      <c r="Q17" s="4"/>
      <c r="R17" s="4"/>
      <c r="S17" s="4"/>
      <c r="T17" s="4"/>
      <c r="U17" s="4"/>
      <c r="V17" s="4"/>
      <c r="AD17" s="17"/>
    </row>
    <row r="18" spans="2:30" s="32" customFormat="1" ht="16.5" customHeight="1">
      <c r="B18" s="554"/>
      <c r="C18" s="33"/>
      <c r="D18" s="555"/>
      <c r="E18" s="556"/>
      <c r="F18" s="557"/>
      <c r="G18" s="33"/>
      <c r="H18" s="33"/>
      <c r="I18" s="33"/>
      <c r="J18" s="558"/>
      <c r="K18" s="33"/>
      <c r="L18" s="33"/>
      <c r="M18" s="33"/>
      <c r="P18" s="33"/>
      <c r="Q18" s="33"/>
      <c r="R18" s="33"/>
      <c r="S18" s="33"/>
      <c r="T18" s="33"/>
      <c r="U18" s="33"/>
      <c r="V18" s="33"/>
      <c r="W18"/>
      <c r="AD18" s="559"/>
    </row>
    <row r="19" spans="2:30" s="32" customFormat="1" ht="16.5" customHeight="1">
      <c r="B19" s="554"/>
      <c r="C19" s="33"/>
      <c r="D19" s="560" t="s">
        <v>103</v>
      </c>
      <c r="F19" s="561">
        <v>117.179</v>
      </c>
      <c r="G19" s="560" t="s">
        <v>104</v>
      </c>
      <c r="H19" s="33"/>
      <c r="I19" s="33"/>
      <c r="J19" s="562"/>
      <c r="K19" s="563" t="s">
        <v>40</v>
      </c>
      <c r="L19" s="564">
        <v>0.04</v>
      </c>
      <c r="R19" s="33"/>
      <c r="S19" s="33"/>
      <c r="T19" s="33"/>
      <c r="U19" s="33"/>
      <c r="V19" s="33"/>
      <c r="W19"/>
      <c r="AD19" s="559"/>
    </row>
    <row r="20" spans="2:30" s="32" customFormat="1" ht="16.5" customHeight="1">
      <c r="B20" s="554"/>
      <c r="C20" s="33"/>
      <c r="D20" s="560" t="s">
        <v>118</v>
      </c>
      <c r="F20" s="561">
        <v>0.319</v>
      </c>
      <c r="G20" s="560" t="s">
        <v>119</v>
      </c>
      <c r="H20" s="33"/>
      <c r="I20" s="33"/>
      <c r="J20" s="33"/>
      <c r="K20" s="555" t="s">
        <v>38</v>
      </c>
      <c r="L20" s="33">
        <f>MID(B13,16,2)*24</f>
        <v>720</v>
      </c>
      <c r="M20" s="33" t="s">
        <v>39</v>
      </c>
      <c r="N20" s="33"/>
      <c r="O20" s="33"/>
      <c r="P20" s="783"/>
      <c r="Q20" s="33"/>
      <c r="R20" s="33"/>
      <c r="S20" s="33"/>
      <c r="T20" s="33"/>
      <c r="U20" s="33"/>
      <c r="V20" s="33"/>
      <c r="W20"/>
      <c r="AD20" s="559"/>
    </row>
    <row r="21" spans="2:30" s="32" customFormat="1" ht="16.5" customHeight="1">
      <c r="B21" s="554"/>
      <c r="C21" s="33"/>
      <c r="D21" s="560" t="s">
        <v>120</v>
      </c>
      <c r="F21" s="561">
        <v>51.126</v>
      </c>
      <c r="G21" s="560" t="s">
        <v>121</v>
      </c>
      <c r="H21" s="33"/>
      <c r="I21" s="33"/>
      <c r="J21" s="33"/>
      <c r="K21" s="214"/>
      <c r="L21" s="215"/>
      <c r="M21" s="33"/>
      <c r="N21" s="33"/>
      <c r="O21" s="33"/>
      <c r="P21" s="783"/>
      <c r="Q21" s="33"/>
      <c r="R21" s="33"/>
      <c r="S21" s="33"/>
      <c r="T21" s="33"/>
      <c r="U21" s="33"/>
      <c r="V21" s="33"/>
      <c r="W21"/>
      <c r="AD21" s="559"/>
    </row>
    <row r="22" spans="2:30" s="32" customFormat="1" ht="16.5" customHeight="1">
      <c r="B22" s="554"/>
      <c r="C22" s="33"/>
      <c r="D22" s="560" t="s">
        <v>122</v>
      </c>
      <c r="F22" s="561">
        <v>63.904</v>
      </c>
      <c r="G22" s="560" t="s">
        <v>121</v>
      </c>
      <c r="H22" s="33"/>
      <c r="I22" s="33"/>
      <c r="J22" s="33"/>
      <c r="K22" s="214"/>
      <c r="L22" s="215"/>
      <c r="M22" s="33"/>
      <c r="N22" s="33"/>
      <c r="O22" s="33"/>
      <c r="P22" s="783"/>
      <c r="Q22" s="33"/>
      <c r="R22" s="33"/>
      <c r="S22" s="33"/>
      <c r="T22" s="33"/>
      <c r="U22" s="33"/>
      <c r="V22" s="33"/>
      <c r="W22"/>
      <c r="AD22" s="559"/>
    </row>
    <row r="23" spans="2:30" s="32" customFormat="1" ht="8.25" customHeight="1">
      <c r="B23" s="554"/>
      <c r="C23" s="33"/>
      <c r="D23" s="33"/>
      <c r="E23" s="566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/>
      <c r="AD23" s="559"/>
    </row>
    <row r="24" spans="1:30" ht="16.5" customHeight="1">
      <c r="A24" s="5"/>
      <c r="B24" s="50"/>
      <c r="C24" s="166" t="s">
        <v>105</v>
      </c>
      <c r="D24" s="3" t="s">
        <v>153</v>
      </c>
      <c r="I24" s="4"/>
      <c r="J24" s="32"/>
      <c r="O24" s="4"/>
      <c r="P24" s="4"/>
      <c r="Q24" s="4"/>
      <c r="R24" s="4"/>
      <c r="S24" s="4"/>
      <c r="T24" s="4"/>
      <c r="V24" s="4"/>
      <c r="X24" s="4"/>
      <c r="Y24" s="4"/>
      <c r="Z24" s="4"/>
      <c r="AA24" s="4"/>
      <c r="AB24" s="4"/>
      <c r="AC24" s="4"/>
      <c r="AD24" s="17"/>
    </row>
    <row r="25" spans="1:30" ht="10.5" customHeight="1" thickBot="1">
      <c r="A25" s="5"/>
      <c r="B25" s="50"/>
      <c r="C25" s="66"/>
      <c r="D25" s="3"/>
      <c r="I25" s="4"/>
      <c r="J25" s="32"/>
      <c r="O25" s="4"/>
      <c r="P25" s="4"/>
      <c r="Q25" s="4"/>
      <c r="R25" s="4"/>
      <c r="S25" s="4"/>
      <c r="T25" s="4"/>
      <c r="V25" s="4"/>
      <c r="X25" s="4"/>
      <c r="Y25" s="4"/>
      <c r="Z25" s="4"/>
      <c r="AA25" s="4"/>
      <c r="AB25" s="4"/>
      <c r="AC25" s="4"/>
      <c r="AD25" s="17"/>
    </row>
    <row r="26" spans="2:30" s="32" customFormat="1" ht="16.5" customHeight="1" thickBot="1" thickTop="1">
      <c r="B26" s="554"/>
      <c r="C26" s="557"/>
      <c r="D26"/>
      <c r="E26"/>
      <c r="F26"/>
      <c r="G26"/>
      <c r="H26"/>
      <c r="I26"/>
      <c r="J26" s="567" t="s">
        <v>45</v>
      </c>
      <c r="K26" s="568">
        <f>L19*AC68</f>
        <v>43919.20323199999</v>
      </c>
      <c r="L26"/>
      <c r="S26"/>
      <c r="T26"/>
      <c r="U26"/>
      <c r="W26"/>
      <c r="AD26" s="559"/>
    </row>
    <row r="27" spans="2:30" s="32" customFormat="1" ht="11.25" customHeight="1" thickTop="1">
      <c r="B27" s="554"/>
      <c r="C27" s="557"/>
      <c r="D27" s="33"/>
      <c r="E27" s="566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/>
      <c r="W27"/>
      <c r="AD27" s="559"/>
    </row>
    <row r="28" spans="1:30" ht="16.5" customHeight="1">
      <c r="A28" s="5"/>
      <c r="B28" s="50"/>
      <c r="C28" s="166" t="s">
        <v>106</v>
      </c>
      <c r="D28" s="3" t="s">
        <v>154</v>
      </c>
      <c r="E28" s="217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AD28" s="17"/>
    </row>
    <row r="29" spans="1:30" ht="21.75" customHeight="1" thickBot="1">
      <c r="A29" s="5"/>
      <c r="B29" s="50"/>
      <c r="C29" s="4"/>
      <c r="D29" s="4"/>
      <c r="E29" s="217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AD29" s="17"/>
    </row>
    <row r="30" spans="2:31" s="5" customFormat="1" ht="33.75" customHeight="1" thickBot="1" thickTop="1">
      <c r="B30" s="50"/>
      <c r="C30" s="84" t="s">
        <v>13</v>
      </c>
      <c r="D30" s="219" t="s">
        <v>0</v>
      </c>
      <c r="E30" s="182" t="s">
        <v>14</v>
      </c>
      <c r="F30" s="87" t="s">
        <v>15</v>
      </c>
      <c r="G30" s="220" t="s">
        <v>77</v>
      </c>
      <c r="H30" s="221" t="s">
        <v>37</v>
      </c>
      <c r="I30" s="136" t="s">
        <v>16</v>
      </c>
      <c r="J30" s="85" t="s">
        <v>17</v>
      </c>
      <c r="K30" s="183" t="s">
        <v>18</v>
      </c>
      <c r="L30" s="88" t="s">
        <v>36</v>
      </c>
      <c r="M30" s="86" t="s">
        <v>31</v>
      </c>
      <c r="N30" s="88" t="s">
        <v>107</v>
      </c>
      <c r="O30" s="88" t="s">
        <v>58</v>
      </c>
      <c r="P30" s="183" t="s">
        <v>59</v>
      </c>
      <c r="Q30" s="85" t="s">
        <v>32</v>
      </c>
      <c r="R30" s="138" t="s">
        <v>20</v>
      </c>
      <c r="S30" s="569" t="s">
        <v>21</v>
      </c>
      <c r="T30" s="570" t="s">
        <v>78</v>
      </c>
      <c r="U30" s="571"/>
      <c r="V30" s="572"/>
      <c r="W30" s="573" t="s">
        <v>108</v>
      </c>
      <c r="X30" s="574"/>
      <c r="Y30" s="575"/>
      <c r="Z30" s="576" t="s">
        <v>22</v>
      </c>
      <c r="AA30" s="577" t="s">
        <v>23</v>
      </c>
      <c r="AB30" s="89" t="s">
        <v>80</v>
      </c>
      <c r="AC30" s="122" t="s">
        <v>24</v>
      </c>
      <c r="AD30" s="227"/>
      <c r="AE30"/>
    </row>
    <row r="31" spans="1:30" ht="16.5" customHeight="1" thickTop="1">
      <c r="A31" s="5"/>
      <c r="B31" s="50"/>
      <c r="C31" s="7"/>
      <c r="D31" s="578"/>
      <c r="E31" s="579"/>
      <c r="F31" s="580"/>
      <c r="G31" s="581"/>
      <c r="H31" s="582"/>
      <c r="I31" s="583"/>
      <c r="J31" s="584"/>
      <c r="K31" s="585"/>
      <c r="L31" s="7"/>
      <c r="M31" s="7"/>
      <c r="N31" s="189"/>
      <c r="O31" s="189"/>
      <c r="P31" s="7"/>
      <c r="Q31" s="186"/>
      <c r="R31" s="586"/>
      <c r="S31" s="587"/>
      <c r="T31" s="588"/>
      <c r="U31" s="589"/>
      <c r="V31" s="590"/>
      <c r="W31" s="591"/>
      <c r="X31" s="592"/>
      <c r="Y31" s="593"/>
      <c r="Z31" s="594"/>
      <c r="AA31" s="595"/>
      <c r="AB31" s="596"/>
      <c r="AC31" s="597"/>
      <c r="AD31" s="17"/>
    </row>
    <row r="32" spans="1:30" ht="16.5" customHeight="1">
      <c r="A32" s="5"/>
      <c r="B32" s="50"/>
      <c r="C32" s="920" t="s">
        <v>231</v>
      </c>
      <c r="D32" s="7"/>
      <c r="E32" s="546"/>
      <c r="F32" s="598"/>
      <c r="G32" s="599"/>
      <c r="H32" s="600">
        <f>IF(G32="A",200,IF(G32="B",60,20))</f>
        <v>20</v>
      </c>
      <c r="I32" s="601">
        <f>IF(F32&gt;100,F32,100)*$F$19/100</f>
        <v>117.179</v>
      </c>
      <c r="J32" s="602"/>
      <c r="K32" s="547"/>
      <c r="L32" s="603">
        <f>IF(D32="","",(K32-J32)*24)</f>
      </c>
      <c r="M32" s="416">
        <f>IF(D32="","",ROUND((K32-J32)*24*60,0))</f>
      </c>
      <c r="N32" s="604"/>
      <c r="O32" s="605">
        <f>IF(D32="","","--")</f>
      </c>
      <c r="P32" s="236">
        <f>IF(D32="","","NO")</f>
      </c>
      <c r="Q32" s="236">
        <f>IF(D32="","",IF(OR(N32="P",N32="RP"),"--","NO"))</f>
      </c>
      <c r="R32" s="606" t="str">
        <f>IF(N32="P",+I32*H32*ROUND(M32/60,2)/100,"--")</f>
        <v>--</v>
      </c>
      <c r="S32" s="607" t="str">
        <f>IF(N32="RP",I32*H32*ROUND(M32/60,2)*0.01*O32/100,"--")</f>
        <v>--</v>
      </c>
      <c r="T32" s="608" t="str">
        <f>IF(AND(N32="F",Q32="NO"),IF(P32="SI",1.2,1)*I32*H32,"--")</f>
        <v>--</v>
      </c>
      <c r="U32" s="609" t="str">
        <f>IF(AND(M32&gt;10,N32="F"),IF(M32&lt;=300,ROUND(M32/60,2),5)*I32*H32*IF(P32="SI",1.2,1),"--")</f>
        <v>--</v>
      </c>
      <c r="V32" s="610" t="str">
        <f>IF(AND(N32="F",M32&gt;300),IF(P32="SI",1.2,1)*(ROUND(M32/60,2)-5)*I32*H32*0.1,"--")</f>
        <v>--</v>
      </c>
      <c r="W32" s="611" t="str">
        <f>IF(AND(N32="R",Q32="NO"),IF(P32="SI",1.2,1)*I32*H32*O32/100,"--")</f>
        <v>--</v>
      </c>
      <c r="X32" s="612" t="str">
        <f>IF(AND(M32&gt;10,N32="R"),IF(M32&lt;=300,ROUND(M32/60,2),5)*I32*H32*O32/100*IF(P32="SI",1.2,1),"--")</f>
        <v>--</v>
      </c>
      <c r="Y32" s="613" t="str">
        <f>IF(AND(N32="R",M32&gt;300),IF(P32="SI",1.2,1)*(ROUND(M32/60,2)-5)*I32*H32*O32/100*0.1,"--")</f>
        <v>--</v>
      </c>
      <c r="Z32" s="614" t="str">
        <f>IF(N32="RF",IF(P32="SI",1.2,1)*ROUND(M32/60,2)*I32*H32*0.1,"--")</f>
        <v>--</v>
      </c>
      <c r="AA32" s="615" t="str">
        <f>IF(N32="RR",IF(P32="SI",1.2,1)*ROUND(M32/60,2)*I32*H32*O32/100*0.1,"--")</f>
        <v>--</v>
      </c>
      <c r="AB32" s="616">
        <f>IF(D32="","","SI")</f>
      </c>
      <c r="AC32" s="16">
        <f>IF(D32="","",SUM(R32:AA32)*IF(AB32="SI",1,2))</f>
      </c>
      <c r="AD32" s="17"/>
    </row>
    <row r="33" spans="1:30" ht="16.5" customHeight="1">
      <c r="A33" s="5"/>
      <c r="B33" s="50"/>
      <c r="C33" s="920" t="s">
        <v>232</v>
      </c>
      <c r="D33" s="7"/>
      <c r="E33" s="546"/>
      <c r="F33" s="598"/>
      <c r="G33" s="599"/>
      <c r="H33" s="600">
        <f>IF(G33="A",200,IF(G33="B",60,20))</f>
        <v>20</v>
      </c>
      <c r="I33" s="601">
        <f>IF(F33&gt;100,F33,100)*$F$19/100</f>
        <v>117.179</v>
      </c>
      <c r="J33" s="602"/>
      <c r="K33" s="547"/>
      <c r="L33" s="603">
        <f>IF(D33="","",(K33-J33)*24)</f>
      </c>
      <c r="M33" s="416">
        <f>IF(D33="","",ROUND((K33-J33)*24*60,0))</f>
      </c>
      <c r="N33" s="604"/>
      <c r="O33" s="605">
        <f>IF(D33="","","--")</f>
      </c>
      <c r="P33" s="236">
        <f>IF(D33="","","NO")</f>
      </c>
      <c r="Q33" s="236">
        <f>IF(D33="","",IF(OR(N33="P",N33="RP"),"--","NO"))</f>
      </c>
      <c r="R33" s="606" t="str">
        <f>IF(N33="P",+I33*H33*ROUND(M33/60,2)/100,"--")</f>
        <v>--</v>
      </c>
      <c r="S33" s="607" t="str">
        <f>IF(N33="RP",I33*H33*ROUND(M33/60,2)*0.01*O33/100,"--")</f>
        <v>--</v>
      </c>
      <c r="T33" s="608" t="str">
        <f>IF(AND(N33="F",Q33="NO"),IF(P33="SI",1.2,1)*I33*H33,"--")</f>
        <v>--</v>
      </c>
      <c r="U33" s="609" t="str">
        <f>IF(AND(M33&gt;10,N33="F"),IF(M33&lt;=300,ROUND(M33/60,2),5)*I33*H33*IF(P33="SI",1.2,1),"--")</f>
        <v>--</v>
      </c>
      <c r="V33" s="610" t="str">
        <f>IF(AND(N33="F",M33&gt;300),IF(P33="SI",1.2,1)*(ROUND(M33/60,2)-5)*I33*H33*0.1,"--")</f>
        <v>--</v>
      </c>
      <c r="W33" s="611" t="str">
        <f>IF(AND(N33="R",Q33="NO"),IF(P33="SI",1.2,1)*I33*H33*O33/100,"--")</f>
        <v>--</v>
      </c>
      <c r="X33" s="612" t="str">
        <f>IF(AND(M33&gt;10,N33="R"),IF(M33&lt;=300,ROUND(M33/60,2),5)*I33*H33*O33/100*IF(P33="SI",1.2,1),"--")</f>
        <v>--</v>
      </c>
      <c r="Y33" s="613" t="str">
        <f>IF(AND(N33="R",M33&gt;300),IF(P33="SI",1.2,1)*(ROUND(M33/60,2)-5)*I33*H33*O33/100*0.1,"--")</f>
        <v>--</v>
      </c>
      <c r="Z33" s="614" t="str">
        <f>IF(N33="RF",IF(P33="SI",1.2,1)*ROUND(M33/60,2)*I33*H33*0.1,"--")</f>
        <v>--</v>
      </c>
      <c r="AA33" s="615" t="str">
        <f>IF(N33="RR",IF(P33="SI",1.2,1)*ROUND(M33/60,2)*I33*H33*O33/100*0.1,"--")</f>
        <v>--</v>
      </c>
      <c r="AB33" s="616">
        <f>IF(D33="","","SI")</f>
      </c>
      <c r="AC33" s="16">
        <f>IF(D33="","",SUM(R33:AA33)*IF(AB33="SI",1,2))</f>
      </c>
      <c r="AD33" s="17"/>
    </row>
    <row r="34" spans="1:30" ht="16.5" customHeight="1" thickBot="1">
      <c r="A34" s="32"/>
      <c r="B34" s="50"/>
      <c r="C34" s="694"/>
      <c r="D34" s="617"/>
      <c r="E34" s="618"/>
      <c r="F34" s="619"/>
      <c r="G34" s="620"/>
      <c r="H34" s="621"/>
      <c r="I34" s="622"/>
      <c r="J34" s="623"/>
      <c r="K34" s="623"/>
      <c r="L34" s="9"/>
      <c r="M34" s="9"/>
      <c r="N34" s="9"/>
      <c r="O34" s="624"/>
      <c r="P34" s="9"/>
      <c r="Q34" s="9"/>
      <c r="R34" s="625"/>
      <c r="S34" s="626"/>
      <c r="T34" s="627"/>
      <c r="U34" s="628"/>
      <c r="V34" s="629"/>
      <c r="W34" s="630"/>
      <c r="X34" s="631"/>
      <c r="Y34" s="632"/>
      <c r="Z34" s="633"/>
      <c r="AA34" s="634"/>
      <c r="AB34" s="635"/>
      <c r="AC34" s="636"/>
      <c r="AD34" s="242"/>
    </row>
    <row r="35" spans="1:30" ht="16.5" customHeight="1" thickBot="1" thickTop="1">
      <c r="A35" s="32"/>
      <c r="B35" s="50"/>
      <c r="C35" s="557"/>
      <c r="D35" s="557"/>
      <c r="E35" s="637"/>
      <c r="F35" s="566"/>
      <c r="G35" s="638"/>
      <c r="H35" s="638"/>
      <c r="I35" s="639"/>
      <c r="J35" s="639"/>
      <c r="K35" s="639"/>
      <c r="L35" s="639"/>
      <c r="M35" s="639"/>
      <c r="N35" s="639"/>
      <c r="O35" s="640"/>
      <c r="P35" s="639"/>
      <c r="Q35" s="639"/>
      <c r="R35" s="641">
        <f aca="true" t="shared" si="0" ref="R35:AA35">SUM(R31:R34)</f>
        <v>0</v>
      </c>
      <c r="S35" s="642">
        <f t="shared" si="0"/>
        <v>0</v>
      </c>
      <c r="T35" s="643">
        <f t="shared" si="0"/>
        <v>0</v>
      </c>
      <c r="U35" s="643">
        <f t="shared" si="0"/>
        <v>0</v>
      </c>
      <c r="V35" s="643">
        <f t="shared" si="0"/>
        <v>0</v>
      </c>
      <c r="W35" s="644">
        <f t="shared" si="0"/>
        <v>0</v>
      </c>
      <c r="X35" s="644">
        <f t="shared" si="0"/>
        <v>0</v>
      </c>
      <c r="Y35" s="644">
        <f t="shared" si="0"/>
        <v>0</v>
      </c>
      <c r="Z35" s="645">
        <f t="shared" si="0"/>
        <v>0</v>
      </c>
      <c r="AA35" s="646">
        <f t="shared" si="0"/>
        <v>0</v>
      </c>
      <c r="AB35" s="647"/>
      <c r="AC35" s="648">
        <f>SUM(AC31:AC34)</f>
        <v>0</v>
      </c>
      <c r="AD35" s="242"/>
    </row>
    <row r="36" spans="1:30" ht="13.5" customHeight="1" thickBot="1" thickTop="1">
      <c r="A36" s="32"/>
      <c r="B36" s="50"/>
      <c r="C36" s="557"/>
      <c r="D36" s="557"/>
      <c r="E36" s="637"/>
      <c r="F36" s="566"/>
      <c r="G36" s="638"/>
      <c r="H36" s="638"/>
      <c r="I36" s="639"/>
      <c r="J36" s="639"/>
      <c r="K36" s="639"/>
      <c r="L36" s="639"/>
      <c r="M36" s="639"/>
      <c r="N36" s="639"/>
      <c r="O36" s="640"/>
      <c r="P36" s="639"/>
      <c r="Q36" s="639"/>
      <c r="R36" s="649"/>
      <c r="S36" s="650"/>
      <c r="T36" s="651"/>
      <c r="U36" s="651"/>
      <c r="V36" s="651"/>
      <c r="W36" s="649"/>
      <c r="X36" s="649"/>
      <c r="Y36" s="649"/>
      <c r="Z36" s="649"/>
      <c r="AA36" s="649"/>
      <c r="AB36" s="652"/>
      <c r="AC36" s="653"/>
      <c r="AD36" s="242"/>
    </row>
    <row r="37" spans="1:33" s="5" customFormat="1" ht="33.75" customHeight="1" thickBot="1" thickTop="1">
      <c r="A37" s="90"/>
      <c r="B37" s="95"/>
      <c r="C37" s="124" t="s">
        <v>13</v>
      </c>
      <c r="D37" s="120" t="s">
        <v>27</v>
      </c>
      <c r="E37" s="119" t="s">
        <v>28</v>
      </c>
      <c r="F37" s="121" t="s">
        <v>29</v>
      </c>
      <c r="G37" s="122" t="s">
        <v>14</v>
      </c>
      <c r="H37" s="130" t="s">
        <v>16</v>
      </c>
      <c r="I37" s="654"/>
      <c r="J37" s="119" t="s">
        <v>17</v>
      </c>
      <c r="K37" s="119" t="s">
        <v>18</v>
      </c>
      <c r="L37" s="120" t="s">
        <v>30</v>
      </c>
      <c r="M37" s="120" t="s">
        <v>31</v>
      </c>
      <c r="N37" s="88" t="s">
        <v>109</v>
      </c>
      <c r="O37" s="119" t="s">
        <v>32</v>
      </c>
      <c r="P37" s="655" t="s">
        <v>33</v>
      </c>
      <c r="Q37" s="656"/>
      <c r="R37" s="130" t="s">
        <v>34</v>
      </c>
      <c r="S37" s="657" t="s">
        <v>20</v>
      </c>
      <c r="T37" s="658" t="s">
        <v>110</v>
      </c>
      <c r="U37" s="659"/>
      <c r="V37" s="660" t="s">
        <v>22</v>
      </c>
      <c r="W37" s="661"/>
      <c r="X37" s="662"/>
      <c r="Y37" s="662"/>
      <c r="Z37" s="662"/>
      <c r="AA37" s="663"/>
      <c r="AB37" s="133" t="s">
        <v>80</v>
      </c>
      <c r="AC37" s="122" t="s">
        <v>24</v>
      </c>
      <c r="AD37" s="17"/>
      <c r="AF37"/>
      <c r="AG37"/>
    </row>
    <row r="38" spans="1:30" ht="16.5" customHeight="1" thickTop="1">
      <c r="A38" s="5"/>
      <c r="B38" s="50"/>
      <c r="C38" s="7"/>
      <c r="D38" s="10"/>
      <c r="E38" s="10"/>
      <c r="F38" s="10"/>
      <c r="G38" s="664"/>
      <c r="H38" s="665"/>
      <c r="I38" s="666"/>
      <c r="J38" s="10"/>
      <c r="K38" s="10"/>
      <c r="L38" s="10"/>
      <c r="M38" s="10"/>
      <c r="N38" s="10"/>
      <c r="O38" s="667"/>
      <c r="P38" s="668"/>
      <c r="Q38" s="669"/>
      <c r="R38" s="134"/>
      <c r="S38" s="670"/>
      <c r="T38" s="671"/>
      <c r="U38" s="672"/>
      <c r="V38" s="673"/>
      <c r="W38" s="674"/>
      <c r="X38" s="675"/>
      <c r="Y38" s="675"/>
      <c r="Z38" s="675"/>
      <c r="AA38" s="676"/>
      <c r="AB38" s="667"/>
      <c r="AC38" s="677"/>
      <c r="AD38" s="17"/>
    </row>
    <row r="39" spans="1:30" ht="16.5" customHeight="1">
      <c r="A39" s="5"/>
      <c r="B39" s="50"/>
      <c r="C39" s="920" t="s">
        <v>231</v>
      </c>
      <c r="D39" s="678" t="s">
        <v>348</v>
      </c>
      <c r="E39" s="679" t="s">
        <v>349</v>
      </c>
      <c r="F39" s="680">
        <v>80</v>
      </c>
      <c r="G39" s="681">
        <v>500</v>
      </c>
      <c r="H39" s="682">
        <f>F39*$F$20</f>
        <v>25.52</v>
      </c>
      <c r="I39" s="683"/>
      <c r="J39" s="684">
        <v>39772.404861111114</v>
      </c>
      <c r="K39" s="684">
        <v>39772.5</v>
      </c>
      <c r="L39" s="307">
        <f>IF(D39="","",(K39-J39)*24)</f>
        <v>2.2833333332673647</v>
      </c>
      <c r="M39" s="14">
        <f>IF(D39="","",(K39-J39)*24*60)</f>
        <v>136.99999999604188</v>
      </c>
      <c r="N39" s="13" t="s">
        <v>251</v>
      </c>
      <c r="O39" s="8" t="str">
        <f>IF(D39="","",IF(OR(N39="P",N39="RP"),"--","NO"))</f>
        <v>--</v>
      </c>
      <c r="P39" s="685" t="str">
        <f>IF(D39="","","NO")</f>
        <v>NO</v>
      </c>
      <c r="Q39" s="686"/>
      <c r="R39" s="687">
        <f>200*IF(P39="SI",1,0.1)*IF(N39="P",0.1,1)</f>
        <v>2</v>
      </c>
      <c r="S39" s="688">
        <f>IF(N39="P",H39*R39*ROUND(M39/60,2),"--")</f>
        <v>116.37119999999999</v>
      </c>
      <c r="T39" s="689" t="str">
        <f>IF(AND(N39="F",O39="NO"),H39*R39,"--")</f>
        <v>--</v>
      </c>
      <c r="U39" s="690" t="str">
        <f>IF(N39="F",H39*R39*ROUND(M39/60,2),"--")</f>
        <v>--</v>
      </c>
      <c r="V39" s="410" t="str">
        <f>IF(N39="RF",H39*R39*ROUND(M39/60,2),"--")</f>
        <v>--</v>
      </c>
      <c r="W39" s="691"/>
      <c r="X39" s="692"/>
      <c r="Y39" s="692"/>
      <c r="Z39" s="692"/>
      <c r="AA39" s="693"/>
      <c r="AB39" s="317" t="str">
        <f>IF(D39="","","SI")</f>
        <v>SI</v>
      </c>
      <c r="AC39" s="318">
        <f>IF(D39="","",SUM(S39:V39)*IF(AB39="SI",1,2))</f>
        <v>116.37119999999999</v>
      </c>
      <c r="AD39" s="17"/>
    </row>
    <row r="40" spans="1:30" ht="16.5" customHeight="1">
      <c r="A40" s="5"/>
      <c r="B40" s="50"/>
      <c r="C40" s="920" t="s">
        <v>232</v>
      </c>
      <c r="D40" s="678" t="s">
        <v>348</v>
      </c>
      <c r="E40" s="679" t="s">
        <v>349</v>
      </c>
      <c r="F40" s="680">
        <v>80</v>
      </c>
      <c r="G40" s="681">
        <v>500</v>
      </c>
      <c r="H40" s="682">
        <f>F40*$F$20</f>
        <v>25.52</v>
      </c>
      <c r="I40" s="683"/>
      <c r="J40" s="684">
        <v>39772.56319444445</v>
      </c>
      <c r="K40" s="684">
        <v>39772.66527777778</v>
      </c>
      <c r="L40" s="307">
        <f>IF(D40="","",(K40-J40)*24)</f>
        <v>2.449999999953434</v>
      </c>
      <c r="M40" s="14">
        <f>IF(D40="","",(K40-J40)*24*60)</f>
        <v>146.99999999720603</v>
      </c>
      <c r="N40" s="13" t="s">
        <v>251</v>
      </c>
      <c r="O40" s="8" t="str">
        <f>IF(D40="","",IF(OR(N40="P",N40="RP"),"--","NO"))</f>
        <v>--</v>
      </c>
      <c r="P40" s="685" t="str">
        <f>IF(D40="","","NO")</f>
        <v>NO</v>
      </c>
      <c r="Q40" s="686"/>
      <c r="R40" s="687">
        <f>200*IF(P40="SI",1,0.1)*IF(N40="P",0.1,1)</f>
        <v>2</v>
      </c>
      <c r="S40" s="688">
        <f>IF(N40="P",H40*R40*ROUND(M40/60,2),"--")</f>
        <v>125.048</v>
      </c>
      <c r="T40" s="689" t="str">
        <f>IF(AND(N40="F",O40="NO"),H40*R40,"--")</f>
        <v>--</v>
      </c>
      <c r="U40" s="690" t="str">
        <f>IF(N40="F",H40*R40*ROUND(M40/60,2),"--")</f>
        <v>--</v>
      </c>
      <c r="V40" s="410" t="str">
        <f>IF(N40="RF",H40*R40*ROUND(M40/60,2),"--")</f>
        <v>--</v>
      </c>
      <c r="W40" s="691"/>
      <c r="X40" s="692"/>
      <c r="Y40" s="692"/>
      <c r="Z40" s="692"/>
      <c r="AA40" s="693"/>
      <c r="AB40" s="317" t="str">
        <f>IF(D40="","","SI")</f>
        <v>SI</v>
      </c>
      <c r="AC40" s="318">
        <f>IF(D40="","",SUM(S40:V40)*IF(AB40="SI",1,2))</f>
        <v>125.048</v>
      </c>
      <c r="AD40" s="17"/>
    </row>
    <row r="41" spans="1:30" ht="16.5" customHeight="1" thickBot="1">
      <c r="A41" s="32"/>
      <c r="B41" s="50"/>
      <c r="C41" s="694"/>
      <c r="D41" s="695"/>
      <c r="E41" s="696"/>
      <c r="F41" s="697"/>
      <c r="G41" s="698"/>
      <c r="H41" s="699"/>
      <c r="I41" s="700"/>
      <c r="J41" s="701"/>
      <c r="K41" s="702"/>
      <c r="L41" s="703"/>
      <c r="M41" s="704"/>
      <c r="N41" s="705"/>
      <c r="O41" s="9"/>
      <c r="P41" s="706"/>
      <c r="Q41" s="707"/>
      <c r="R41" s="708"/>
      <c r="S41" s="709"/>
      <c r="T41" s="710"/>
      <c r="U41" s="711"/>
      <c r="V41" s="712"/>
      <c r="W41" s="713"/>
      <c r="X41" s="714"/>
      <c r="Y41" s="714"/>
      <c r="Z41" s="714"/>
      <c r="AA41" s="715"/>
      <c r="AB41" s="716"/>
      <c r="AC41" s="717"/>
      <c r="AD41" s="242"/>
    </row>
    <row r="42" spans="1:30" ht="16.5" customHeight="1" thickBot="1" thickTop="1">
      <c r="A42" s="32"/>
      <c r="B42" s="50"/>
      <c r="C42" s="98"/>
      <c r="D42" s="217"/>
      <c r="E42" s="217"/>
      <c r="F42" s="447"/>
      <c r="G42" s="718"/>
      <c r="H42" s="719"/>
      <c r="I42" s="720"/>
      <c r="J42" s="721"/>
      <c r="K42" s="722"/>
      <c r="L42" s="723"/>
      <c r="M42" s="719"/>
      <c r="N42" s="724"/>
      <c r="O42" s="198"/>
      <c r="P42" s="984"/>
      <c r="Q42" s="985"/>
      <c r="R42" s="978"/>
      <c r="S42" s="978"/>
      <c r="T42" s="978"/>
      <c r="U42" s="979"/>
      <c r="V42" s="979"/>
      <c r="W42" s="979"/>
      <c r="X42" s="979"/>
      <c r="Y42" s="979"/>
      <c r="Z42" s="979"/>
      <c r="AA42" s="979"/>
      <c r="AB42" s="979"/>
      <c r="AC42" s="728">
        <f>SUM(AC38:AC41)</f>
        <v>241.4192</v>
      </c>
      <c r="AD42" s="242"/>
    </row>
    <row r="43" spans="1:30" ht="13.5" customHeight="1" thickBot="1" thickTop="1">
      <c r="A43" s="32"/>
      <c r="B43" s="50"/>
      <c r="C43" s="557"/>
      <c r="D43" s="557"/>
      <c r="E43" s="637"/>
      <c r="F43" s="566"/>
      <c r="G43" s="638"/>
      <c r="H43" s="638"/>
      <c r="I43" s="639"/>
      <c r="J43" s="639"/>
      <c r="K43" s="639"/>
      <c r="L43" s="639"/>
      <c r="M43" s="639"/>
      <c r="N43" s="639"/>
      <c r="O43" s="640"/>
      <c r="P43" s="986"/>
      <c r="Q43" s="986"/>
      <c r="R43" s="804"/>
      <c r="S43" s="805"/>
      <c r="T43" s="806"/>
      <c r="U43" s="806"/>
      <c r="V43" s="806"/>
      <c r="W43" s="804"/>
      <c r="X43" s="804"/>
      <c r="Y43" s="804"/>
      <c r="Z43" s="804"/>
      <c r="AA43" s="804"/>
      <c r="AB43" s="987"/>
      <c r="AC43" s="653"/>
      <c r="AD43" s="242"/>
    </row>
    <row r="44" spans="1:33" s="5" customFormat="1" ht="33.75" customHeight="1" thickBot="1" thickTop="1">
      <c r="A44" s="90"/>
      <c r="B44" s="95"/>
      <c r="C44" s="124" t="s">
        <v>13</v>
      </c>
      <c r="D44" s="120" t="s">
        <v>27</v>
      </c>
      <c r="E44" s="119" t="s">
        <v>28</v>
      </c>
      <c r="F44" s="1084" t="s">
        <v>276</v>
      </c>
      <c r="G44" s="1085"/>
      <c r="H44" s="130" t="s">
        <v>16</v>
      </c>
      <c r="I44" s="654"/>
      <c r="J44" s="119" t="s">
        <v>17</v>
      </c>
      <c r="K44" s="119" t="s">
        <v>18</v>
      </c>
      <c r="L44" s="120" t="s">
        <v>30</v>
      </c>
      <c r="M44" s="120" t="s">
        <v>31</v>
      </c>
      <c r="N44" s="88" t="s">
        <v>109</v>
      </c>
      <c r="O44" s="119" t="s">
        <v>32</v>
      </c>
      <c r="P44" s="655" t="s">
        <v>33</v>
      </c>
      <c r="Q44" s="656"/>
      <c r="R44" s="130" t="s">
        <v>34</v>
      </c>
      <c r="S44" s="657" t="s">
        <v>20</v>
      </c>
      <c r="T44" s="658" t="s">
        <v>110</v>
      </c>
      <c r="U44" s="659"/>
      <c r="V44" s="660" t="s">
        <v>22</v>
      </c>
      <c r="W44" s="980" t="s">
        <v>266</v>
      </c>
      <c r="X44" s="662"/>
      <c r="Y44" s="662"/>
      <c r="Z44" s="662"/>
      <c r="AA44" s="663"/>
      <c r="AB44" s="133" t="s">
        <v>80</v>
      </c>
      <c r="AC44" s="122" t="s">
        <v>24</v>
      </c>
      <c r="AD44" s="17"/>
      <c r="AF44"/>
      <c r="AG44"/>
    </row>
    <row r="45" spans="1:30" ht="16.5" customHeight="1" thickTop="1">
      <c r="A45" s="5"/>
      <c r="B45" s="50"/>
      <c r="C45" s="7"/>
      <c r="D45" s="10"/>
      <c r="E45" s="10"/>
      <c r="F45" s="1086"/>
      <c r="G45" s="1087"/>
      <c r="H45" s="665"/>
      <c r="I45" s="666"/>
      <c r="J45" s="10"/>
      <c r="K45" s="10"/>
      <c r="L45" s="10"/>
      <c r="M45" s="10"/>
      <c r="N45" s="10"/>
      <c r="O45" s="667"/>
      <c r="P45" s="668"/>
      <c r="Q45" s="669"/>
      <c r="R45" s="134"/>
      <c r="S45" s="670"/>
      <c r="T45" s="671"/>
      <c r="U45" s="672"/>
      <c r="V45" s="673"/>
      <c r="W45" s="981"/>
      <c r="X45" s="675"/>
      <c r="Y45" s="675"/>
      <c r="Z45" s="675"/>
      <c r="AA45" s="676"/>
      <c r="AB45" s="667"/>
      <c r="AC45" s="677"/>
      <c r="AD45" s="17"/>
    </row>
    <row r="46" spans="1:30" ht="15">
      <c r="A46" s="5"/>
      <c r="B46" s="50"/>
      <c r="C46" s="920" t="s">
        <v>231</v>
      </c>
      <c r="D46" s="678"/>
      <c r="E46" s="679"/>
      <c r="F46" s="1082"/>
      <c r="G46" s="1083"/>
      <c r="H46" s="682">
        <f>F46*$F$20</f>
        <v>0</v>
      </c>
      <c r="I46" s="683"/>
      <c r="J46" s="414"/>
      <c r="K46" s="192"/>
      <c r="L46" s="307">
        <f>IF(D46="","",(K46-J46)*24)</f>
      </c>
      <c r="M46" s="14">
        <f>IF(D46="","",(K46-J46)*24*60)</f>
      </c>
      <c r="N46" s="13"/>
      <c r="O46" s="8">
        <f>IF(D46="","",IF(N46="P","--","NO"))</f>
      </c>
      <c r="P46" s="1078">
        <f>IF(D46="","","--")</f>
      </c>
      <c r="Q46" s="1079"/>
      <c r="R46" s="486">
        <f>IF(OR(N46="P",N46="RP"),20/10,20)</f>
        <v>20</v>
      </c>
      <c r="S46" s="688" t="str">
        <f>IF(N46="P",H46*R46*ROUND(M46/60,2),"--")</f>
        <v>--</v>
      </c>
      <c r="T46" s="689" t="str">
        <f>IF(AND(N46="F",O46="NO"),H46*R46,"--")</f>
        <v>--</v>
      </c>
      <c r="U46" s="690" t="str">
        <f>IF(N46="F",H46*R46*ROUND(M46/60,2),"--")</f>
        <v>--</v>
      </c>
      <c r="V46" s="410" t="str">
        <f>IF(N46="RF",H46*R46*ROUND(M46/60,2),"--")</f>
        <v>--</v>
      </c>
      <c r="W46" s="982" t="str">
        <f>IF(N46="RP",H46*R46*P46/100*ROUND(M46/60,2),"--")</f>
        <v>--</v>
      </c>
      <c r="X46" s="692"/>
      <c r="Y46" s="692"/>
      <c r="Z46" s="692"/>
      <c r="AA46" s="693"/>
      <c r="AB46" s="317">
        <f>IF(D46="","","SI")</f>
      </c>
      <c r="AC46" s="318">
        <f>IF(D46="","",SUM(S46:W46)*IF(AB46="SI",1,2)*IF(AND(P46&lt;&gt;"--",N46="RF"),P46/100,1))</f>
      </c>
      <c r="AD46" s="242"/>
    </row>
    <row r="47" spans="1:30" ht="16.5" customHeight="1">
      <c r="A47" s="5"/>
      <c r="B47" s="50"/>
      <c r="C47" s="920" t="s">
        <v>232</v>
      </c>
      <c r="D47" s="678"/>
      <c r="E47" s="679"/>
      <c r="F47" s="1082"/>
      <c r="G47" s="1083"/>
      <c r="H47" s="682">
        <f>F47*$F$20</f>
        <v>0</v>
      </c>
      <c r="I47" s="683"/>
      <c r="J47" s="684"/>
      <c r="K47" s="684"/>
      <c r="L47" s="307">
        <f>IF(D47="","",(K47-J47)*24)</f>
      </c>
      <c r="M47" s="14">
        <f>IF(D47="","",(K47-J47)*24*60)</f>
      </c>
      <c r="N47" s="13"/>
      <c r="O47" s="8">
        <f>IF(D47="","",IF(OR(N47="P",N47="RP"),"--","NO"))</f>
      </c>
      <c r="P47" s="685">
        <f>IF(D47="","","NO")</f>
      </c>
      <c r="Q47" s="686"/>
      <c r="R47" s="486">
        <f>IF(OR(N47="P",N47="RP"),20/10,20)</f>
        <v>20</v>
      </c>
      <c r="S47" s="688" t="str">
        <f>IF(N47="P",H47*R47*ROUND(M47/60,2),"--")</f>
        <v>--</v>
      </c>
      <c r="T47" s="689" t="str">
        <f>IF(AND(N47="F",O47="NO"),H47*R47,"--")</f>
        <v>--</v>
      </c>
      <c r="U47" s="690" t="str">
        <f>IF(N47="F",H47*R47*ROUND(M47/60,2),"--")</f>
        <v>--</v>
      </c>
      <c r="V47" s="410" t="str">
        <f>IF(N47="RF",H47*R47*ROUND(M47/60,2),"--")</f>
        <v>--</v>
      </c>
      <c r="W47" s="982" t="str">
        <f>IF(N47="RP",H47*R47*P47/100*ROUND(M47/60,2),"--")</f>
        <v>--</v>
      </c>
      <c r="X47" s="692"/>
      <c r="Y47" s="692"/>
      <c r="Z47" s="692"/>
      <c r="AA47" s="693"/>
      <c r="AB47" s="317">
        <f>IF(D47="","","SI")</f>
      </c>
      <c r="AC47" s="318">
        <f>IF(D47="","",SUM(S47:V47)*IF(AB47="SI",1,2))</f>
      </c>
      <c r="AD47" s="17"/>
    </row>
    <row r="48" spans="1:30" ht="16.5" customHeight="1">
      <c r="A48" s="5"/>
      <c r="B48" s="50"/>
      <c r="C48" s="920" t="s">
        <v>233</v>
      </c>
      <c r="D48" s="678"/>
      <c r="E48" s="679"/>
      <c r="F48" s="1082"/>
      <c r="G48" s="1083"/>
      <c r="H48" s="682">
        <f>F48*$F$20</f>
        <v>0</v>
      </c>
      <c r="I48" s="683"/>
      <c r="J48" s="684"/>
      <c r="K48" s="684"/>
      <c r="L48" s="307">
        <f>IF(D48="","",(K48-J48)*24)</f>
      </c>
      <c r="M48" s="14">
        <f>IF(D48="","",(K48-J48)*24*60)</f>
      </c>
      <c r="N48" s="13"/>
      <c r="O48" s="8">
        <f>IF(D48="","",IF(OR(N48="P",N48="RP"),"--","NO"))</f>
      </c>
      <c r="P48" s="685">
        <f>IF(D48="","","NO")</f>
      </c>
      <c r="Q48" s="686"/>
      <c r="R48" s="486">
        <f>IF(OR(N48="P",N48="RP"),20/10,20)</f>
        <v>20</v>
      </c>
      <c r="S48" s="688" t="str">
        <f>IF(N48="P",H48*R48*ROUND(M48/60,2),"--")</f>
        <v>--</v>
      </c>
      <c r="T48" s="689" t="str">
        <f>IF(AND(N48="F",O48="NO"),H48*R48,"--")</f>
        <v>--</v>
      </c>
      <c r="U48" s="690" t="str">
        <f>IF(N48="F",H48*R48*ROUND(M48/60,2),"--")</f>
        <v>--</v>
      </c>
      <c r="V48" s="410" t="str">
        <f>IF(N48="RF",H48*R48*ROUND(M48/60,2),"--")</f>
        <v>--</v>
      </c>
      <c r="W48" s="982" t="str">
        <f>IF(N48="RP",H48*R48*P48/100*ROUND(M48/60,2),"--")</f>
        <v>--</v>
      </c>
      <c r="X48" s="692"/>
      <c r="Y48" s="692"/>
      <c r="Z48" s="692"/>
      <c r="AA48" s="693"/>
      <c r="AB48" s="317">
        <f>IF(D48="","","SI")</f>
      </c>
      <c r="AC48" s="318">
        <f>IF(D48="","",SUM(S48:V48)*IF(AB48="SI",1,2))</f>
      </c>
      <c r="AD48" s="17"/>
    </row>
    <row r="49" spans="1:30" ht="16.5" customHeight="1">
      <c r="A49" s="5"/>
      <c r="B49" s="50"/>
      <c r="C49" s="920" t="s">
        <v>234</v>
      </c>
      <c r="D49" s="678"/>
      <c r="E49" s="679"/>
      <c r="F49" s="1082"/>
      <c r="G49" s="1083"/>
      <c r="H49" s="682">
        <f>F49*$F$20</f>
        <v>0</v>
      </c>
      <c r="I49" s="683"/>
      <c r="J49" s="684"/>
      <c r="K49" s="684"/>
      <c r="L49" s="307">
        <f>IF(D49="","",(K49-J49)*24)</f>
      </c>
      <c r="M49" s="14">
        <f>IF(D49="","",(K49-J49)*24*60)</f>
      </c>
      <c r="N49" s="13"/>
      <c r="O49" s="8">
        <f>IF(D49="","",IF(OR(N49="P",N49="RP"),"--","NO"))</f>
      </c>
      <c r="P49" s="685">
        <f>IF(D49="","","NO")</f>
      </c>
      <c r="Q49" s="686"/>
      <c r="R49" s="486">
        <f>IF(OR(N49="P",N49="RP"),20/10,20)</f>
        <v>20</v>
      </c>
      <c r="S49" s="688" t="str">
        <f>IF(N49="P",H49*R49*ROUND(M49/60,2),"--")</f>
        <v>--</v>
      </c>
      <c r="T49" s="689" t="str">
        <f>IF(AND(N49="F",O49="NO"),H49*R49,"--")</f>
        <v>--</v>
      </c>
      <c r="U49" s="690" t="str">
        <f>IF(N49="F",H49*R49*ROUND(M49/60,2),"--")</f>
        <v>--</v>
      </c>
      <c r="V49" s="410" t="str">
        <f>IF(N49="RF",H49*R49*ROUND(M49/60,2),"--")</f>
        <v>--</v>
      </c>
      <c r="W49" s="982" t="str">
        <f>IF(N49="RP",H49*R49*P49/100*ROUND(M49/60,2),"--")</f>
        <v>--</v>
      </c>
      <c r="X49" s="692"/>
      <c r="Y49" s="692"/>
      <c r="Z49" s="692"/>
      <c r="AA49" s="693"/>
      <c r="AB49" s="317">
        <f>IF(D49="","","SI")</f>
      </c>
      <c r="AC49" s="318">
        <f>IF(D49="","",SUM(S49:V49)*IF(AB49="SI",1,2))</f>
      </c>
      <c r="AD49" s="17"/>
    </row>
    <row r="50" spans="1:30" ht="16.5" customHeight="1">
      <c r="A50" s="5"/>
      <c r="B50" s="50"/>
      <c r="C50" s="920" t="s">
        <v>235</v>
      </c>
      <c r="D50" s="678"/>
      <c r="E50" s="679"/>
      <c r="F50" s="1082"/>
      <c r="G50" s="1083"/>
      <c r="H50" s="682">
        <f>F50*$F$20</f>
        <v>0</v>
      </c>
      <c r="I50" s="683"/>
      <c r="J50" s="684"/>
      <c r="K50" s="684"/>
      <c r="L50" s="307">
        <f>IF(D50="","",(K50-J50)*24)</f>
      </c>
      <c r="M50" s="14">
        <f>IF(D50="","",(K50-J50)*24*60)</f>
      </c>
      <c r="N50" s="13"/>
      <c r="O50" s="8">
        <f>IF(D50="","",IF(OR(N50="P",N50="RP"),"--","NO"))</f>
      </c>
      <c r="P50" s="685">
        <f>IF(D50="","","NO")</f>
      </c>
      <c r="Q50" s="686"/>
      <c r="R50" s="486">
        <f>IF(OR(N50="P",N50="RP"),20/10,20)</f>
        <v>20</v>
      </c>
      <c r="S50" s="688" t="str">
        <f>IF(N50="P",H50*R50*ROUND(M50/60,2),"--")</f>
        <v>--</v>
      </c>
      <c r="T50" s="689" t="str">
        <f>IF(AND(N50="F",O50="NO"),H50*R50,"--")</f>
        <v>--</v>
      </c>
      <c r="U50" s="690" t="str">
        <f>IF(N50="F",H50*R50*ROUND(M50/60,2),"--")</f>
        <v>--</v>
      </c>
      <c r="V50" s="410" t="str">
        <f>IF(N50="RF",H50*R50*ROUND(M50/60,2),"--")</f>
        <v>--</v>
      </c>
      <c r="W50" s="982" t="str">
        <f>IF(N50="RP",H50*R50*P50/100*ROUND(M50/60,2),"--")</f>
        <v>--</v>
      </c>
      <c r="X50" s="692"/>
      <c r="Y50" s="692"/>
      <c r="Z50" s="692"/>
      <c r="AA50" s="693"/>
      <c r="AB50" s="317">
        <f>IF(D50="","","SI")</f>
      </c>
      <c r="AC50" s="318">
        <f>IF(D50="","",SUM(S50:V50)*IF(AB50="SI",1,2))</f>
      </c>
      <c r="AD50" s="17"/>
    </row>
    <row r="51" spans="1:30" ht="16.5" customHeight="1" thickBot="1">
      <c r="A51" s="32"/>
      <c r="B51" s="50"/>
      <c r="C51" s="694"/>
      <c r="D51" s="695"/>
      <c r="E51" s="696"/>
      <c r="F51" s="1080"/>
      <c r="G51" s="1081"/>
      <c r="H51" s="699"/>
      <c r="I51" s="700"/>
      <c r="J51" s="701"/>
      <c r="K51" s="702"/>
      <c r="L51" s="703"/>
      <c r="M51" s="704"/>
      <c r="N51" s="705"/>
      <c r="O51" s="9"/>
      <c r="P51" s="706"/>
      <c r="Q51" s="707"/>
      <c r="R51" s="708"/>
      <c r="S51" s="709"/>
      <c r="T51" s="710"/>
      <c r="U51" s="711"/>
      <c r="V51" s="712"/>
      <c r="W51" s="988"/>
      <c r="X51" s="714"/>
      <c r="Y51" s="714"/>
      <c r="Z51" s="714"/>
      <c r="AA51" s="715"/>
      <c r="AB51" s="716"/>
      <c r="AC51" s="717"/>
      <c r="AD51" s="242"/>
    </row>
    <row r="52" spans="1:30" ht="16.5" customHeight="1" thickBot="1" thickTop="1">
      <c r="A52" s="32"/>
      <c r="B52" s="50"/>
      <c r="C52" s="98"/>
      <c r="D52" s="217"/>
      <c r="E52" s="217"/>
      <c r="F52" s="447"/>
      <c r="G52" s="718"/>
      <c r="H52" s="719"/>
      <c r="I52" s="720"/>
      <c r="J52" s="721"/>
      <c r="K52" s="722"/>
      <c r="L52" s="723"/>
      <c r="M52" s="719"/>
      <c r="N52" s="724"/>
      <c r="O52" s="198"/>
      <c r="P52" s="725"/>
      <c r="Q52" s="726"/>
      <c r="R52" s="727"/>
      <c r="S52" s="727"/>
      <c r="T52" s="727"/>
      <c r="U52" s="199"/>
      <c r="V52" s="199"/>
      <c r="W52" s="199"/>
      <c r="X52" s="199"/>
      <c r="Y52" s="199"/>
      <c r="Z52" s="199"/>
      <c r="AA52" s="199"/>
      <c r="AB52" s="199"/>
      <c r="AC52" s="728">
        <f>SUM(AC45:AC51)</f>
        <v>0</v>
      </c>
      <c r="AD52" s="242"/>
    </row>
    <row r="53" spans="1:30" ht="16.5" customHeight="1" thickBot="1" thickTop="1">
      <c r="A53" s="32"/>
      <c r="B53" s="50"/>
      <c r="C53" s="98"/>
      <c r="D53" s="217"/>
      <c r="E53" s="217"/>
      <c r="F53" s="447"/>
      <c r="G53" s="718"/>
      <c r="H53" s="719"/>
      <c r="I53" s="720"/>
      <c r="J53" s="567" t="s">
        <v>42</v>
      </c>
      <c r="K53" s="568">
        <f>+AC42+AC35+AC52</f>
        <v>241.4192</v>
      </c>
      <c r="L53" s="723"/>
      <c r="M53" s="719"/>
      <c r="N53" s="729"/>
      <c r="O53" s="730"/>
      <c r="P53" s="725"/>
      <c r="Q53" s="726"/>
      <c r="R53" s="727"/>
      <c r="S53" s="727"/>
      <c r="T53" s="727"/>
      <c r="U53" s="199"/>
      <c r="V53" s="199"/>
      <c r="W53" s="199"/>
      <c r="X53" s="199"/>
      <c r="Y53" s="199"/>
      <c r="Z53" s="199"/>
      <c r="AA53" s="199"/>
      <c r="AB53" s="199"/>
      <c r="AC53" s="731"/>
      <c r="AD53" s="242"/>
    </row>
    <row r="54" spans="1:30" ht="13.5" customHeight="1" thickTop="1">
      <c r="A54" s="32"/>
      <c r="B54" s="554"/>
      <c r="C54" s="557"/>
      <c r="D54" s="732"/>
      <c r="E54" s="733"/>
      <c r="F54" s="734"/>
      <c r="G54" s="735"/>
      <c r="H54" s="735"/>
      <c r="I54" s="733"/>
      <c r="J54" s="542"/>
      <c r="K54" s="542"/>
      <c r="L54" s="733"/>
      <c r="M54" s="733"/>
      <c r="N54" s="733"/>
      <c r="O54" s="736"/>
      <c r="P54" s="733"/>
      <c r="Q54" s="733"/>
      <c r="R54" s="737"/>
      <c r="S54" s="738"/>
      <c r="T54" s="738"/>
      <c r="U54" s="739"/>
      <c r="AC54" s="739"/>
      <c r="AD54" s="740"/>
    </row>
    <row r="55" spans="1:30" ht="16.5" customHeight="1">
      <c r="A55" s="32"/>
      <c r="B55" s="554"/>
      <c r="C55" s="741" t="s">
        <v>111</v>
      </c>
      <c r="D55" s="742" t="s">
        <v>155</v>
      </c>
      <c r="E55" s="733"/>
      <c r="F55" s="734"/>
      <c r="G55" s="735"/>
      <c r="H55" s="735"/>
      <c r="I55" s="733"/>
      <c r="J55" s="542"/>
      <c r="K55" s="542"/>
      <c r="L55" s="733"/>
      <c r="M55" s="733"/>
      <c r="N55" s="733"/>
      <c r="O55" s="736"/>
      <c r="P55" s="733"/>
      <c r="Q55" s="733"/>
      <c r="R55" s="737"/>
      <c r="S55" s="738"/>
      <c r="T55" s="738"/>
      <c r="U55" s="739"/>
      <c r="AC55" s="739"/>
      <c r="AD55" s="740"/>
    </row>
    <row r="56" spans="1:30" ht="16.5" customHeight="1">
      <c r="A56" s="32"/>
      <c r="B56" s="554"/>
      <c r="C56" s="741"/>
      <c r="D56" s="732"/>
      <c r="E56" s="733"/>
      <c r="F56" s="734"/>
      <c r="G56" s="735"/>
      <c r="H56" s="735"/>
      <c r="I56" s="733"/>
      <c r="J56" s="542"/>
      <c r="K56" s="542"/>
      <c r="L56" s="733"/>
      <c r="M56" s="733"/>
      <c r="N56" s="733"/>
      <c r="O56" s="736"/>
      <c r="P56" s="733"/>
      <c r="Q56" s="733"/>
      <c r="R56" s="733"/>
      <c r="S56" s="737"/>
      <c r="T56" s="738"/>
      <c r="AD56" s="740"/>
    </row>
    <row r="57" spans="2:30" s="32" customFormat="1" ht="16.5" customHeight="1">
      <c r="B57" s="554"/>
      <c r="C57" s="557"/>
      <c r="D57" s="743" t="s">
        <v>0</v>
      </c>
      <c r="E57" s="639" t="s">
        <v>112</v>
      </c>
      <c r="F57" s="639" t="s">
        <v>43</v>
      </c>
      <c r="G57" s="744" t="s">
        <v>156</v>
      </c>
      <c r="H57" s="640"/>
      <c r="I57" s="639"/>
      <c r="J57"/>
      <c r="K57"/>
      <c r="L57" s="745" t="s">
        <v>157</v>
      </c>
      <c r="M57"/>
      <c r="N57"/>
      <c r="O57"/>
      <c r="P57"/>
      <c r="Q57" s="748"/>
      <c r="R57" s="748"/>
      <c r="S57" s="33"/>
      <c r="T57"/>
      <c r="U57"/>
      <c r="V57"/>
      <c r="W57"/>
      <c r="X57" s="33"/>
      <c r="Y57" s="33"/>
      <c r="Z57" s="33"/>
      <c r="AA57" s="33"/>
      <c r="AB57" s="33"/>
      <c r="AC57" s="749" t="s">
        <v>159</v>
      </c>
      <c r="AD57" s="740"/>
    </row>
    <row r="58" spans="2:30" s="32" customFormat="1" ht="16.5" customHeight="1">
      <c r="B58" s="554"/>
      <c r="C58" s="557"/>
      <c r="D58" s="639" t="s">
        <v>123</v>
      </c>
      <c r="E58" s="750">
        <v>506</v>
      </c>
      <c r="F58" s="750">
        <v>500</v>
      </c>
      <c r="G58" s="751">
        <f>E58*$F$19*$L$20/100</f>
        <v>426906.5328</v>
      </c>
      <c r="H58" s="751"/>
      <c r="I58" s="751"/>
      <c r="J58" s="176"/>
      <c r="K58"/>
      <c r="L58" s="752">
        <v>496004</v>
      </c>
      <c r="M58" s="176"/>
      <c r="N58" s="753" t="str">
        <f>"(DTE "&amp;DATO!$G$14&amp;DATO!$H$14&amp;")"</f>
        <v>(DTE 1108)</v>
      </c>
      <c r="O58"/>
      <c r="P58"/>
      <c r="Q58" s="748"/>
      <c r="R58" s="748"/>
      <c r="S58" s="33"/>
      <c r="T58"/>
      <c r="U58"/>
      <c r="V58"/>
      <c r="W58"/>
      <c r="X58" s="33"/>
      <c r="Y58" s="33"/>
      <c r="Z58" s="33"/>
      <c r="AA58" s="33"/>
      <c r="AB58" s="754"/>
      <c r="AC58" s="565">
        <f>L58+G58</f>
        <v>922910.5327999999</v>
      </c>
      <c r="AD58" s="740"/>
    </row>
    <row r="59" spans="2:30" s="32" customFormat="1" ht="16.5" customHeight="1">
      <c r="B59" s="554"/>
      <c r="C59" s="557"/>
      <c r="D59" s="755" t="s">
        <v>124</v>
      </c>
      <c r="E59" s="750">
        <v>85</v>
      </c>
      <c r="F59" s="750">
        <v>500</v>
      </c>
      <c r="G59" s="751">
        <f>E59*$F$19*$L$20/100</f>
        <v>71713.548</v>
      </c>
      <c r="H59" s="755"/>
      <c r="I59" s="756"/>
      <c r="J59" s="176"/>
      <c r="K59"/>
      <c r="L59" s="751">
        <v>0</v>
      </c>
      <c r="M59" s="176"/>
      <c r="N59" s="753" t="str">
        <f>"(DTE "&amp;DATO!$G$14&amp;DATO!$H$14&amp;")"</f>
        <v>(DTE 1108)</v>
      </c>
      <c r="O59" s="757"/>
      <c r="P59"/>
      <c r="Q59" s="748"/>
      <c r="R59" s="748"/>
      <c r="S59" s="33"/>
      <c r="T59"/>
      <c r="U59"/>
      <c r="V59"/>
      <c r="W59"/>
      <c r="X59" s="33"/>
      <c r="Y59" s="33"/>
      <c r="Z59" s="33"/>
      <c r="AA59" s="33"/>
      <c r="AB59" s="33"/>
      <c r="AC59" s="565">
        <f>L59+G59</f>
        <v>71713.548</v>
      </c>
      <c r="AD59" s="740"/>
    </row>
    <row r="60" spans="2:30" s="32" customFormat="1" ht="16.5" customHeight="1">
      <c r="B60" s="554"/>
      <c r="C60" s="557"/>
      <c r="E60" s="562"/>
      <c r="F60" s="639"/>
      <c r="G60" s="640"/>
      <c r="H60"/>
      <c r="I60" s="639"/>
      <c r="J60" s="639"/>
      <c r="K60"/>
      <c r="L60" s="565"/>
      <c r="M60" s="747"/>
      <c r="N60" s="747"/>
      <c r="O60" s="748"/>
      <c r="P60" s="748"/>
      <c r="Q60" s="748"/>
      <c r="R60" s="748"/>
      <c r="S60" s="33"/>
      <c r="T60"/>
      <c r="U60"/>
      <c r="V60"/>
      <c r="W60"/>
      <c r="X60" s="33"/>
      <c r="Y60" s="33"/>
      <c r="Z60" s="33"/>
      <c r="AA60" s="33"/>
      <c r="AB60" s="33"/>
      <c r="AC60" s="565"/>
      <c r="AD60" s="740"/>
    </row>
    <row r="61" spans="1:30" ht="16.5" customHeight="1">
      <c r="A61" s="32"/>
      <c r="B61" s="554"/>
      <c r="C61" s="557"/>
      <c r="D61" s="743" t="s">
        <v>125</v>
      </c>
      <c r="E61" s="639" t="s">
        <v>126</v>
      </c>
      <c r="F61" s="639" t="s">
        <v>43</v>
      </c>
      <c r="G61" s="744" t="s">
        <v>160</v>
      </c>
      <c r="I61" s="746"/>
      <c r="J61" s="639"/>
      <c r="L61" s="745" t="s">
        <v>158</v>
      </c>
      <c r="M61" s="746"/>
      <c r="N61" s="747"/>
      <c r="O61" s="748"/>
      <c r="P61" s="748"/>
      <c r="Q61" s="748"/>
      <c r="R61" s="748"/>
      <c r="S61" s="748"/>
      <c r="AC61" s="565">
        <f>+L62</f>
        <v>0</v>
      </c>
      <c r="AD61" s="740"/>
    </row>
    <row r="62" spans="1:30" ht="16.5" customHeight="1">
      <c r="A62" s="32"/>
      <c r="B62" s="554"/>
      <c r="C62" s="557"/>
      <c r="D62" s="639" t="s">
        <v>127</v>
      </c>
      <c r="E62" s="750">
        <v>300</v>
      </c>
      <c r="F62" s="750" t="s">
        <v>128</v>
      </c>
      <c r="G62" s="751">
        <f>E62*F20*L20</f>
        <v>68904</v>
      </c>
      <c r="H62" s="176"/>
      <c r="I62" s="176"/>
      <c r="J62" s="752"/>
      <c r="L62" s="752">
        <v>0</v>
      </c>
      <c r="M62" s="176"/>
      <c r="N62" s="753" t="str">
        <f>"(DTE "&amp;DATO!$G$14&amp;DATO!$H$14&amp;")"</f>
        <v>(DTE 1108)</v>
      </c>
      <c r="O62" s="784"/>
      <c r="P62" s="784"/>
      <c r="Q62" s="784"/>
      <c r="R62" s="784"/>
      <c r="S62" s="784"/>
      <c r="AC62" s="785">
        <f>G62</f>
        <v>68904</v>
      </c>
      <c r="AD62" s="740"/>
    </row>
    <row r="63" spans="1:30" ht="16.5" customHeight="1">
      <c r="A63" s="32"/>
      <c r="B63" s="554"/>
      <c r="C63" s="557"/>
      <c r="D63" s="639" t="s">
        <v>129</v>
      </c>
      <c r="E63" s="750">
        <v>150</v>
      </c>
      <c r="F63" s="750" t="s">
        <v>130</v>
      </c>
      <c r="G63" s="751">
        <f>E63*F20*L20</f>
        <v>34452</v>
      </c>
      <c r="H63" s="176"/>
      <c r="I63" s="176"/>
      <c r="J63" s="752"/>
      <c r="L63" s="752">
        <v>0</v>
      </c>
      <c r="M63" s="176"/>
      <c r="N63" s="753" t="str">
        <f>"(DTE "&amp;DATO!$G$14&amp;DATO!$H$14&amp;")"</f>
        <v>(DTE 1108)</v>
      </c>
      <c r="O63" s="784"/>
      <c r="P63" s="784"/>
      <c r="Q63" s="784"/>
      <c r="R63" s="784"/>
      <c r="S63" s="784"/>
      <c r="AC63" s="785">
        <f>G63</f>
        <v>34452</v>
      </c>
      <c r="AD63" s="740"/>
    </row>
    <row r="64" spans="1:30" ht="16.5" customHeight="1">
      <c r="A64" s="32"/>
      <c r="B64" s="554"/>
      <c r="C64" s="557"/>
      <c r="D64" s="639"/>
      <c r="E64" s="750"/>
      <c r="F64" s="750"/>
      <c r="G64" s="751"/>
      <c r="H64" s="176"/>
      <c r="I64" s="176"/>
      <c r="J64" s="752"/>
      <c r="L64" s="752"/>
      <c r="M64" s="176"/>
      <c r="N64" s="753"/>
      <c r="O64" s="784"/>
      <c r="P64" s="784"/>
      <c r="Q64" s="784"/>
      <c r="R64" s="784"/>
      <c r="S64" s="784"/>
      <c r="AC64" s="785"/>
      <c r="AD64" s="740"/>
    </row>
    <row r="65" spans="1:30" ht="16.5" customHeight="1">
      <c r="A65" s="32"/>
      <c r="B65" s="554"/>
      <c r="C65" s="557"/>
      <c r="D65" s="743" t="s">
        <v>61</v>
      </c>
      <c r="E65" s="756" t="s">
        <v>1</v>
      </c>
      <c r="F65" s="756"/>
      <c r="G65" s="639" t="s">
        <v>43</v>
      </c>
      <c r="I65" s="746"/>
      <c r="J65" s="744" t="s">
        <v>161</v>
      </c>
      <c r="L65" s="745"/>
      <c r="M65" s="746"/>
      <c r="N65" s="747"/>
      <c r="O65" s="748"/>
      <c r="P65" s="748"/>
      <c r="Q65" s="748"/>
      <c r="R65" s="748"/>
      <c r="S65" s="748"/>
      <c r="AC65" s="565"/>
      <c r="AD65" s="740"/>
    </row>
    <row r="66" spans="1:30" ht="16.5" customHeight="1">
      <c r="A66" s="32"/>
      <c r="B66" s="554"/>
      <c r="C66" s="557"/>
      <c r="D66" s="639" t="s">
        <v>131</v>
      </c>
      <c r="E66" s="786" t="s">
        <v>132</v>
      </c>
      <c r="F66" s="787"/>
      <c r="G66" s="750">
        <v>132</v>
      </c>
      <c r="H66" s="176"/>
      <c r="I66" s="176"/>
      <c r="J66" s="751">
        <f>0*F21*L20</f>
        <v>0</v>
      </c>
      <c r="L66" s="752"/>
      <c r="M66" s="176"/>
      <c r="N66" s="753"/>
      <c r="O66" s="784"/>
      <c r="P66" s="784"/>
      <c r="Q66" s="784"/>
      <c r="R66" s="784"/>
      <c r="S66" s="784"/>
      <c r="AC66" s="785">
        <f>J66</f>
        <v>0</v>
      </c>
      <c r="AD66" s="740"/>
    </row>
    <row r="67" spans="1:30" ht="16.5" customHeight="1">
      <c r="A67" s="32"/>
      <c r="B67" s="554"/>
      <c r="C67" s="557"/>
      <c r="D67" s="639" t="s">
        <v>133</v>
      </c>
      <c r="E67" s="786" t="s">
        <v>134</v>
      </c>
      <c r="F67" s="787"/>
      <c r="G67" s="750">
        <v>500</v>
      </c>
      <c r="H67" s="176"/>
      <c r="I67" s="176"/>
      <c r="J67" s="751">
        <f>F22*L20</f>
        <v>46010.880000000005</v>
      </c>
      <c r="L67" s="752"/>
      <c r="M67" s="176"/>
      <c r="N67" s="753"/>
      <c r="O67" s="784"/>
      <c r="P67" s="784"/>
      <c r="Q67" s="784"/>
      <c r="R67" s="784"/>
      <c r="S67" s="784"/>
      <c r="AC67" s="788">
        <f>J67</f>
        <v>46010.880000000005</v>
      </c>
      <c r="AD67" s="740"/>
    </row>
    <row r="68" spans="1:30" ht="16.5" customHeight="1">
      <c r="A68" s="32"/>
      <c r="B68" s="554"/>
      <c r="C68" s="557"/>
      <c r="D68" s="542"/>
      <c r="E68" s="562"/>
      <c r="F68" s="639"/>
      <c r="G68" s="639"/>
      <c r="H68" s="640"/>
      <c r="J68" s="639"/>
      <c r="L68" s="758"/>
      <c r="M68" s="747"/>
      <c r="N68" s="747"/>
      <c r="O68" s="748"/>
      <c r="P68" s="748"/>
      <c r="Q68" s="748"/>
      <c r="R68" s="748"/>
      <c r="S68" s="748"/>
      <c r="AC68" s="556">
        <f>SUM(AC58:AC66)</f>
        <v>1097980.0807999999</v>
      </c>
      <c r="AD68" s="740"/>
    </row>
    <row r="69" spans="2:30" ht="16.5" customHeight="1">
      <c r="B69" s="554"/>
      <c r="C69" s="741" t="s">
        <v>113</v>
      </c>
      <c r="D69" s="759" t="s">
        <v>114</v>
      </c>
      <c r="E69" s="639"/>
      <c r="F69" s="760"/>
      <c r="G69" s="638"/>
      <c r="H69" s="542"/>
      <c r="I69" s="542"/>
      <c r="J69" s="542"/>
      <c r="K69" s="639"/>
      <c r="L69" s="639"/>
      <c r="M69" s="542"/>
      <c r="N69" s="639"/>
      <c r="O69" s="542"/>
      <c r="P69" s="542"/>
      <c r="Q69" s="542"/>
      <c r="R69" s="542"/>
      <c r="S69" s="542"/>
      <c r="T69" s="542"/>
      <c r="U69" s="542"/>
      <c r="AC69" s="542"/>
      <c r="AD69" s="740"/>
    </row>
    <row r="70" spans="2:30" s="32" customFormat="1" ht="16.5" customHeight="1">
      <c r="B70" s="554"/>
      <c r="C70" s="557"/>
      <c r="D70" s="743" t="s">
        <v>115</v>
      </c>
      <c r="E70" s="761">
        <f>10*K53*K26/AC68</f>
        <v>96.56768</v>
      </c>
      <c r="G70" s="638"/>
      <c r="L70" s="639"/>
      <c r="N70" s="639"/>
      <c r="O70" s="640"/>
      <c r="V70"/>
      <c r="W70"/>
      <c r="AD70" s="740"/>
    </row>
    <row r="71" spans="2:30" s="32" customFormat="1" ht="16.5" customHeight="1">
      <c r="B71" s="554"/>
      <c r="C71" s="557"/>
      <c r="E71" s="762"/>
      <c r="F71" s="566"/>
      <c r="G71" s="638"/>
      <c r="J71" s="638"/>
      <c r="K71" s="653"/>
      <c r="L71" s="639"/>
      <c r="M71" s="639"/>
      <c r="N71" s="639"/>
      <c r="O71" s="640"/>
      <c r="P71" s="639"/>
      <c r="Q71" s="639"/>
      <c r="R71" s="652"/>
      <c r="S71" s="652"/>
      <c r="T71" s="652"/>
      <c r="U71" s="763"/>
      <c r="V71"/>
      <c r="W71"/>
      <c r="AC71" s="763"/>
      <c r="AD71" s="740"/>
    </row>
    <row r="72" spans="2:30" ht="16.5" customHeight="1">
      <c r="B72" s="554"/>
      <c r="C72" s="557"/>
      <c r="D72" s="764" t="s">
        <v>135</v>
      </c>
      <c r="E72" s="765"/>
      <c r="F72" s="566"/>
      <c r="G72" s="638"/>
      <c r="H72" s="542"/>
      <c r="I72" s="542"/>
      <c r="N72" s="639"/>
      <c r="O72" s="640"/>
      <c r="P72" s="639"/>
      <c r="Q72" s="639"/>
      <c r="R72" s="746"/>
      <c r="S72" s="746"/>
      <c r="T72" s="746"/>
      <c r="U72" s="747"/>
      <c r="AC72" s="747"/>
      <c r="AD72" s="740"/>
    </row>
    <row r="73" spans="2:30" ht="16.5" customHeight="1" thickBot="1">
      <c r="B73" s="554"/>
      <c r="C73" s="557"/>
      <c r="D73" s="764"/>
      <c r="E73" s="765"/>
      <c r="F73" s="566"/>
      <c r="G73" s="638"/>
      <c r="H73" s="542"/>
      <c r="I73" s="542"/>
      <c r="N73" s="639"/>
      <c r="O73" s="640"/>
      <c r="P73" s="639"/>
      <c r="Q73" s="639"/>
      <c r="R73" s="746"/>
      <c r="S73" s="746"/>
      <c r="T73" s="746"/>
      <c r="U73" s="747"/>
      <c r="AC73" s="747"/>
      <c r="AD73" s="740"/>
    </row>
    <row r="74" spans="2:30" s="766" customFormat="1" ht="21" thickBot="1" thickTop="1">
      <c r="B74" s="767"/>
      <c r="C74" s="768"/>
      <c r="D74" s="769"/>
      <c r="E74" s="770"/>
      <c r="F74" s="771"/>
      <c r="G74" s="772"/>
      <c r="I74"/>
      <c r="J74" s="773" t="s">
        <v>116</v>
      </c>
      <c r="K74" s="774">
        <f>IF(E70&gt;3*K26,K26*3,E70)</f>
        <v>96.56768</v>
      </c>
      <c r="M74" s="775"/>
      <c r="N74" s="775"/>
      <c r="O74" s="776"/>
      <c r="P74" s="775"/>
      <c r="Q74" s="775"/>
      <c r="R74" s="777"/>
      <c r="S74" s="777"/>
      <c r="T74" s="777"/>
      <c r="U74" s="778"/>
      <c r="V74"/>
      <c r="W74"/>
      <c r="AC74" s="778"/>
      <c r="AD74" s="779"/>
    </row>
    <row r="75" spans="2:30" ht="16.5" customHeight="1" thickBot="1" thickTop="1">
      <c r="B75" s="57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200"/>
      <c r="W75" s="200"/>
      <c r="X75" s="200"/>
      <c r="Y75" s="200"/>
      <c r="Z75" s="200"/>
      <c r="AA75" s="200"/>
      <c r="AB75" s="200"/>
      <c r="AC75" s="59"/>
      <c r="AD75" s="780"/>
    </row>
    <row r="76" spans="2:23" ht="16.5" customHeight="1" thickTop="1">
      <c r="B76" s="1"/>
      <c r="C76" s="73"/>
      <c r="W76" s="1"/>
    </row>
  </sheetData>
  <sheetProtection password="CC12"/>
  <mergeCells count="9">
    <mergeCell ref="F44:G44"/>
    <mergeCell ref="F45:G45"/>
    <mergeCell ref="F47:G47"/>
    <mergeCell ref="F46:G46"/>
    <mergeCell ref="P46:Q46"/>
    <mergeCell ref="F51:G51"/>
    <mergeCell ref="F48:G48"/>
    <mergeCell ref="F49:G49"/>
    <mergeCell ref="F50:G50"/>
  </mergeCells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37" r:id="rId4"/>
  <headerFooter alignWithMargins="0">
    <oddFooter>&amp;L&amp;"Times New Roman,Normal"&amp;5&amp;F  - TRANSPORTE de ENERGÍA ELÉCTRICA - PJL - JI -JM - &amp;P/&amp;N</oddFooter>
  </headerFooter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21">
    <pageSetUpPr fitToPage="1"/>
  </sheetPr>
  <dimension ref="A1:AD76"/>
  <sheetViews>
    <sheetView zoomScale="50" zoomScaleNormal="50" workbookViewId="0" topLeftCell="B43">
      <selection activeCell="E79" sqref="E79"/>
    </sheetView>
  </sheetViews>
  <sheetFormatPr defaultColWidth="11.421875" defaultRowHeight="12.75"/>
  <cols>
    <col min="1" max="1" width="33.7109375" style="0" customWidth="1"/>
    <col min="2" max="2" width="25.7109375" style="0" customWidth="1"/>
    <col min="3" max="3" width="6.57421875" style="0" bestFit="1" customWidth="1"/>
    <col min="4" max="4" width="32.28125" style="0" customWidth="1"/>
    <col min="5" max="5" width="24.140625" style="0" customWidth="1"/>
    <col min="6" max="6" width="16.57421875" style="0" customWidth="1"/>
    <col min="7" max="7" width="14.421875" style="0" customWidth="1"/>
    <col min="8" max="8" width="6.421875" style="0" hidden="1" customWidth="1"/>
    <col min="9" max="9" width="18.7109375" style="0" customWidth="1"/>
    <col min="10" max="10" width="20.7109375" style="0" bestFit="1" customWidth="1"/>
    <col min="11" max="11" width="18.7109375" style="0" customWidth="1"/>
    <col min="12" max="13" width="10.7109375" style="0" customWidth="1"/>
    <col min="14" max="14" width="9.7109375" style="0" customWidth="1"/>
    <col min="15" max="15" width="10.57421875" style="0" customWidth="1"/>
    <col min="16" max="16" width="10.7109375" style="0" hidden="1" customWidth="1"/>
    <col min="17" max="17" width="13.00390625" style="0" hidden="1" customWidth="1"/>
    <col min="18" max="19" width="4.7109375" style="0" hidden="1" customWidth="1"/>
    <col min="20" max="20" width="11.7109375" style="0" hidden="1" customWidth="1"/>
    <col min="21" max="21" width="14.8515625" style="0" customWidth="1"/>
    <col min="22" max="22" width="20.7109375" style="0" customWidth="1"/>
    <col min="23" max="23" width="25.7109375" style="0" customWidth="1"/>
    <col min="24" max="24" width="17.7109375" style="0" customWidth="1"/>
    <col min="25" max="25" width="12.8515625" style="0" customWidth="1"/>
    <col min="26" max="26" width="14.28125" style="0" customWidth="1"/>
    <col min="27" max="27" width="24.28125" style="0" customWidth="1"/>
    <col min="28" max="28" width="9.7109375" style="0" customWidth="1"/>
    <col min="29" max="29" width="17.28125" style="0" customWidth="1"/>
    <col min="30" max="30" width="25.7109375" style="0" customWidth="1"/>
    <col min="31" max="31" width="4.140625" style="0" customWidth="1"/>
    <col min="32" max="32" width="7.140625" style="0" customWidth="1"/>
    <col min="33" max="33" width="5.28125" style="0" customWidth="1"/>
    <col min="34" max="34" width="5.421875" style="0" customWidth="1"/>
    <col min="35" max="35" width="4.7109375" style="0" customWidth="1"/>
    <col min="36" max="36" width="5.28125" style="0" customWidth="1"/>
    <col min="37" max="38" width="13.28125" style="0" customWidth="1"/>
    <col min="39" max="39" width="6.57421875" style="0" customWidth="1"/>
    <col min="40" max="40" width="6.421875" style="0" customWidth="1"/>
    <col min="45" max="45" width="12.7109375" style="0" customWidth="1"/>
    <col min="49" max="49" width="21.00390625" style="0" customWidth="1"/>
  </cols>
  <sheetData>
    <row r="1" spans="1:30" ht="13.5">
      <c r="A1" s="90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146"/>
      <c r="AD1" s="789"/>
    </row>
    <row r="2" spans="1:23" ht="27" customHeight="1">
      <c r="A2" s="90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30" s="551" customFormat="1" ht="30.75">
      <c r="A3" s="548"/>
      <c r="B3" s="549" t="str">
        <f>+'TOT-1108'!B2</f>
        <v>ANEXO VI al Memoràndum D.T.E.E. N°  366 / 2010          </v>
      </c>
      <c r="C3" s="550"/>
      <c r="D3" s="550"/>
      <c r="E3" s="550"/>
      <c r="F3" s="550"/>
      <c r="G3" s="550"/>
      <c r="H3" s="550"/>
      <c r="I3" s="550"/>
      <c r="J3" s="550"/>
      <c r="K3" s="550"/>
      <c r="L3" s="550"/>
      <c r="M3" s="550"/>
      <c r="N3" s="550"/>
      <c r="O3" s="550"/>
      <c r="P3" s="550"/>
      <c r="Q3" s="550"/>
      <c r="R3" s="550"/>
      <c r="S3" s="550"/>
      <c r="T3" s="550"/>
      <c r="U3" s="550"/>
      <c r="V3" s="550"/>
      <c r="W3" s="550"/>
      <c r="AB3" s="550"/>
      <c r="AC3" s="550"/>
      <c r="AD3" s="550"/>
    </row>
    <row r="4" spans="1:2" s="25" customFormat="1" ht="11.25">
      <c r="A4" s="781" t="s">
        <v>2</v>
      </c>
      <c r="B4" s="782"/>
    </row>
    <row r="5" spans="1:2" s="25" customFormat="1" ht="12" thickBot="1">
      <c r="A5" s="781" t="s">
        <v>3</v>
      </c>
      <c r="B5" s="781"/>
    </row>
    <row r="6" spans="1:23" ht="16.5" customHeight="1" thickTop="1">
      <c r="A6" s="5"/>
      <c r="B6" s="69"/>
      <c r="C6" s="70"/>
      <c r="D6" s="70"/>
      <c r="E6" s="201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94"/>
    </row>
    <row r="7" spans="1:23" ht="20.25">
      <c r="A7" s="5"/>
      <c r="B7" s="50"/>
      <c r="C7" s="4"/>
      <c r="D7" s="178" t="s">
        <v>99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77"/>
      <c r="Q7" s="77"/>
      <c r="R7" s="4"/>
      <c r="S7" s="4"/>
      <c r="T7" s="4"/>
      <c r="U7" s="4"/>
      <c r="V7" s="4"/>
      <c r="W7" s="17"/>
    </row>
    <row r="8" spans="1:23" ht="16.5" customHeight="1">
      <c r="A8" s="5"/>
      <c r="B8" s="50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17"/>
    </row>
    <row r="9" spans="2:23" s="36" customFormat="1" ht="20.25">
      <c r="B9" s="44"/>
      <c r="C9" s="43"/>
      <c r="D9" s="178" t="s">
        <v>100</v>
      </c>
      <c r="E9" s="43"/>
      <c r="F9" s="43"/>
      <c r="G9" s="43"/>
      <c r="H9" s="43"/>
      <c r="N9" s="43"/>
      <c r="O9" s="43"/>
      <c r="P9" s="202"/>
      <c r="Q9" s="202"/>
      <c r="R9" s="43"/>
      <c r="S9" s="43"/>
      <c r="T9" s="43"/>
      <c r="U9" s="43"/>
      <c r="V9" s="43"/>
      <c r="W9" s="203"/>
    </row>
    <row r="10" spans="1:23" ht="16.5" customHeight="1">
      <c r="A10" s="5"/>
      <c r="B10" s="50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17"/>
    </row>
    <row r="11" spans="2:23" s="36" customFormat="1" ht="20.25">
      <c r="B11" s="44"/>
      <c r="C11" s="43"/>
      <c r="D11" s="178" t="s">
        <v>268</v>
      </c>
      <c r="E11" s="43"/>
      <c r="F11" s="43"/>
      <c r="G11" s="43"/>
      <c r="H11" s="43"/>
      <c r="N11" s="43"/>
      <c r="O11" s="43"/>
      <c r="P11" s="202"/>
      <c r="Q11" s="202"/>
      <c r="R11" s="43"/>
      <c r="S11" s="43"/>
      <c r="T11" s="43"/>
      <c r="U11" s="43"/>
      <c r="V11" s="43"/>
      <c r="W11" s="203"/>
    </row>
    <row r="12" spans="1:23" ht="16.5" customHeight="1">
      <c r="A12" s="5"/>
      <c r="B12" s="50"/>
      <c r="C12" s="4"/>
      <c r="D12" s="4"/>
      <c r="E12" s="5"/>
      <c r="F12" s="5"/>
      <c r="G12" s="5"/>
      <c r="H12" s="5"/>
      <c r="I12" s="72"/>
      <c r="J12" s="72"/>
      <c r="K12" s="72"/>
      <c r="L12" s="72"/>
      <c r="M12" s="72"/>
      <c r="N12" s="72"/>
      <c r="O12" s="72"/>
      <c r="P12" s="72"/>
      <c r="Q12" s="72"/>
      <c r="R12" s="4"/>
      <c r="S12" s="4"/>
      <c r="T12" s="4"/>
      <c r="U12" s="4"/>
      <c r="V12" s="4"/>
      <c r="W12" s="17"/>
    </row>
    <row r="13" spans="2:23" s="36" customFormat="1" ht="19.5">
      <c r="B13" s="37" t="str">
        <f>'TOT-1108'!B14</f>
        <v>Desde el 01 al 30 de noviembre de 2008</v>
      </c>
      <c r="C13" s="38"/>
      <c r="D13" s="40"/>
      <c r="E13" s="40"/>
      <c r="F13" s="40"/>
      <c r="G13" s="40"/>
      <c r="H13" s="40"/>
      <c r="I13" s="41"/>
      <c r="J13" s="176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127"/>
      <c r="V13" s="127"/>
      <c r="W13" s="42"/>
    </row>
    <row r="14" spans="1:23" ht="16.5" customHeight="1">
      <c r="A14" s="5"/>
      <c r="B14" s="50"/>
      <c r="C14" s="4"/>
      <c r="D14" s="4"/>
      <c r="E14" s="66"/>
      <c r="F14" s="66"/>
      <c r="G14" s="4"/>
      <c r="H14" s="4"/>
      <c r="I14" s="4"/>
      <c r="J14" s="553"/>
      <c r="K14" s="4"/>
      <c r="L14" s="4"/>
      <c r="M14" s="4"/>
      <c r="N14" s="5"/>
      <c r="O14" s="5"/>
      <c r="P14" s="4"/>
      <c r="Q14" s="4"/>
      <c r="R14" s="4"/>
      <c r="S14" s="4"/>
      <c r="T14" s="4"/>
      <c r="U14" s="4"/>
      <c r="V14" s="4"/>
      <c r="W14" s="17"/>
    </row>
    <row r="15" spans="1:23" ht="16.5" customHeight="1">
      <c r="A15" s="5"/>
      <c r="B15" s="50"/>
      <c r="C15" s="4"/>
      <c r="D15" s="4"/>
      <c r="E15" s="66"/>
      <c r="F15" s="66"/>
      <c r="G15" s="4"/>
      <c r="H15" s="4"/>
      <c r="I15" s="141"/>
      <c r="J15" s="4"/>
      <c r="K15" s="1"/>
      <c r="M15" s="4"/>
      <c r="N15" s="5"/>
      <c r="O15" s="5"/>
      <c r="P15" s="4"/>
      <c r="Q15" s="4"/>
      <c r="R15" s="4"/>
      <c r="S15" s="4"/>
      <c r="T15" s="4"/>
      <c r="U15" s="4"/>
      <c r="V15" s="4"/>
      <c r="W15" s="17"/>
    </row>
    <row r="16" spans="1:23" ht="16.5" customHeight="1">
      <c r="A16" s="5"/>
      <c r="B16" s="50"/>
      <c r="C16" s="4"/>
      <c r="D16" s="4"/>
      <c r="E16" s="66"/>
      <c r="F16" s="66"/>
      <c r="G16" s="4"/>
      <c r="H16" s="4"/>
      <c r="I16" s="141"/>
      <c r="J16" s="4"/>
      <c r="K16" s="1"/>
      <c r="M16" s="4"/>
      <c r="N16" s="5"/>
      <c r="O16" s="5"/>
      <c r="P16" s="4"/>
      <c r="Q16" s="4"/>
      <c r="R16" s="4"/>
      <c r="S16" s="4"/>
      <c r="T16" s="4"/>
      <c r="U16" s="4"/>
      <c r="V16" s="4"/>
      <c r="W16" s="17"/>
    </row>
    <row r="17" spans="1:23" ht="16.5" customHeight="1" thickBot="1">
      <c r="A17" s="5"/>
      <c r="B17" s="50"/>
      <c r="C17" s="166" t="s">
        <v>101</v>
      </c>
      <c r="D17" s="54" t="s">
        <v>102</v>
      </c>
      <c r="E17" s="66"/>
      <c r="F17" s="66"/>
      <c r="G17" s="4"/>
      <c r="H17" s="4"/>
      <c r="I17" s="4"/>
      <c r="J17" s="553"/>
      <c r="K17" s="4"/>
      <c r="L17" s="4"/>
      <c r="M17" s="4"/>
      <c r="N17" s="5"/>
      <c r="O17" s="5"/>
      <c r="P17" s="4"/>
      <c r="Q17" s="4"/>
      <c r="R17" s="4"/>
      <c r="S17" s="4"/>
      <c r="T17" s="4"/>
      <c r="U17" s="4"/>
      <c r="V17" s="4"/>
      <c r="W17" s="17"/>
    </row>
    <row r="18" spans="2:23" s="32" customFormat="1" ht="16.5" customHeight="1" thickBot="1">
      <c r="B18" s="554"/>
      <c r="C18" s="33"/>
      <c r="D18" s="555"/>
      <c r="E18" s="563" t="s">
        <v>272</v>
      </c>
      <c r="F18" s="751">
        <v>483649</v>
      </c>
      <c r="G18" s="753" t="str">
        <f>"(DTE "&amp;DATO!$G$14&amp;DATO!$H$14&amp;")"</f>
        <v>(DTE 1108)</v>
      </c>
      <c r="H18" s="33"/>
      <c r="I18" s="33"/>
      <c r="J18" s="558"/>
      <c r="K18" s="33"/>
      <c r="L18" s="33"/>
      <c r="M18" s="33"/>
      <c r="N18" s="790" t="s">
        <v>37</v>
      </c>
      <c r="P18" s="33"/>
      <c r="Q18" s="33"/>
      <c r="R18" s="33"/>
      <c r="S18" s="33"/>
      <c r="T18" s="33"/>
      <c r="U18" s="33"/>
      <c r="V18" s="33"/>
      <c r="W18" s="559"/>
    </row>
    <row r="19" spans="2:23" s="32" customFormat="1" ht="16.5" customHeight="1">
      <c r="B19" s="554"/>
      <c r="C19" s="33"/>
      <c r="D19" s="983"/>
      <c r="E19" s="563" t="s">
        <v>40</v>
      </c>
      <c r="F19" s="564">
        <v>0.025</v>
      </c>
      <c r="G19" s="561"/>
      <c r="H19" s="33"/>
      <c r="I19" s="214"/>
      <c r="J19" s="215"/>
      <c r="K19" s="791" t="s">
        <v>136</v>
      </c>
      <c r="L19" s="792"/>
      <c r="M19" s="793">
        <v>63.904</v>
      </c>
      <c r="N19" s="794">
        <v>200</v>
      </c>
      <c r="R19" s="33"/>
      <c r="S19" s="33"/>
      <c r="T19" s="33"/>
      <c r="U19" s="33"/>
      <c r="V19" s="33"/>
      <c r="W19" s="559"/>
    </row>
    <row r="20" spans="2:23" s="32" customFormat="1" ht="16.5" customHeight="1">
      <c r="B20" s="554"/>
      <c r="C20" s="33"/>
      <c r="D20" s="983"/>
      <c r="E20" s="555" t="s">
        <v>38</v>
      </c>
      <c r="F20" s="33">
        <f>MID(B13,16,2)*24</f>
        <v>720</v>
      </c>
      <c r="G20" s="33" t="s">
        <v>39</v>
      </c>
      <c r="H20" s="33"/>
      <c r="I20" s="33"/>
      <c r="J20" s="33"/>
      <c r="K20" s="795" t="s">
        <v>89</v>
      </c>
      <c r="L20" s="796"/>
      <c r="M20" s="797">
        <v>57.511</v>
      </c>
      <c r="N20" s="798">
        <v>100</v>
      </c>
      <c r="O20" s="33"/>
      <c r="P20" s="783"/>
      <c r="Q20" s="33"/>
      <c r="R20" s="33"/>
      <c r="S20" s="33"/>
      <c r="T20" s="33"/>
      <c r="U20" s="33"/>
      <c r="V20" s="33"/>
      <c r="W20" s="559"/>
    </row>
    <row r="21" spans="2:23" s="32" customFormat="1" ht="16.5" customHeight="1" thickBot="1">
      <c r="B21" s="554"/>
      <c r="C21" s="33"/>
      <c r="D21" s="983"/>
      <c r="E21" s="555" t="s">
        <v>41</v>
      </c>
      <c r="F21" s="33">
        <v>0.319</v>
      </c>
      <c r="G21" s="32" t="s">
        <v>119</v>
      </c>
      <c r="H21" s="33"/>
      <c r="I21" s="33"/>
      <c r="J21" s="33"/>
      <c r="K21" s="799" t="s">
        <v>137</v>
      </c>
      <c r="L21" s="800"/>
      <c r="M21" s="801">
        <v>51.126</v>
      </c>
      <c r="N21" s="802">
        <v>40</v>
      </c>
      <c r="O21" s="33"/>
      <c r="P21" s="783"/>
      <c r="Q21" s="33"/>
      <c r="R21" s="33"/>
      <c r="S21" s="33"/>
      <c r="T21" s="33"/>
      <c r="U21" s="33"/>
      <c r="V21" s="33"/>
      <c r="W21" s="559"/>
    </row>
    <row r="22" spans="2:23" s="32" customFormat="1" ht="16.5" customHeight="1">
      <c r="B22" s="554"/>
      <c r="C22" s="33"/>
      <c r="D22" s="33"/>
      <c r="E22" s="566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559"/>
    </row>
    <row r="23" spans="1:23" ht="16.5" customHeight="1">
      <c r="A23" s="5"/>
      <c r="B23" s="50"/>
      <c r="C23" s="166" t="s">
        <v>105</v>
      </c>
      <c r="D23" s="3" t="s">
        <v>153</v>
      </c>
      <c r="I23" s="4"/>
      <c r="J23" s="32"/>
      <c r="O23" s="4"/>
      <c r="P23" s="4"/>
      <c r="Q23" s="4"/>
      <c r="R23" s="4"/>
      <c r="S23" s="4"/>
      <c r="T23" s="4"/>
      <c r="V23" s="4"/>
      <c r="W23" s="17"/>
    </row>
    <row r="24" spans="1:23" ht="10.5" customHeight="1" thickBot="1">
      <c r="A24" s="5"/>
      <c r="B24" s="50"/>
      <c r="C24" s="66"/>
      <c r="D24" s="3"/>
      <c r="I24" s="4"/>
      <c r="J24" s="32"/>
      <c r="O24" s="4"/>
      <c r="P24" s="4"/>
      <c r="Q24" s="4"/>
      <c r="R24" s="4"/>
      <c r="S24" s="4"/>
      <c r="T24" s="4"/>
      <c r="V24" s="4"/>
      <c r="W24" s="17"/>
    </row>
    <row r="25" spans="2:23" s="32" customFormat="1" ht="16.5" customHeight="1" thickBot="1" thickTop="1">
      <c r="B25" s="554"/>
      <c r="C25" s="557"/>
      <c r="D25"/>
      <c r="E25"/>
      <c r="F25"/>
      <c r="G25"/>
      <c r="H25"/>
      <c r="I25" s="567" t="s">
        <v>45</v>
      </c>
      <c r="J25" s="803">
        <f>+F18*F19</f>
        <v>12091.225</v>
      </c>
      <c r="L25"/>
      <c r="S25"/>
      <c r="T25"/>
      <c r="U25"/>
      <c r="W25" s="559"/>
    </row>
    <row r="26" spans="2:23" s="32" customFormat="1" ht="11.25" customHeight="1" thickTop="1">
      <c r="B26" s="554"/>
      <c r="C26" s="557"/>
      <c r="D26" s="33"/>
      <c r="E26" s="566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/>
      <c r="W26" s="559"/>
    </row>
    <row r="27" spans="1:23" ht="16.5" customHeight="1">
      <c r="A27" s="5"/>
      <c r="B27" s="50"/>
      <c r="C27" s="166" t="s">
        <v>106</v>
      </c>
      <c r="D27" s="3" t="s">
        <v>154</v>
      </c>
      <c r="E27" s="217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17"/>
    </row>
    <row r="28" spans="1:23" ht="13.5" customHeight="1" thickBot="1">
      <c r="A28" s="32"/>
      <c r="B28" s="50"/>
      <c r="C28" s="557"/>
      <c r="D28" s="557"/>
      <c r="E28" s="637"/>
      <c r="F28" s="566"/>
      <c r="G28" s="638"/>
      <c r="H28" s="638"/>
      <c r="I28" s="639"/>
      <c r="J28" s="639"/>
      <c r="K28" s="639"/>
      <c r="L28" s="639"/>
      <c r="M28" s="639"/>
      <c r="N28" s="639"/>
      <c r="O28" s="640"/>
      <c r="P28" s="639"/>
      <c r="Q28" s="639"/>
      <c r="R28" s="804"/>
      <c r="S28" s="805"/>
      <c r="T28" s="806"/>
      <c r="U28" s="806"/>
      <c r="V28" s="806"/>
      <c r="W28" s="242"/>
    </row>
    <row r="29" spans="1:26" s="5" customFormat="1" ht="33.75" customHeight="1" thickBot="1" thickTop="1">
      <c r="A29" s="90"/>
      <c r="B29" s="95"/>
      <c r="C29" s="124" t="s">
        <v>13</v>
      </c>
      <c r="D29" s="120" t="s">
        <v>27</v>
      </c>
      <c r="E29" s="119" t="s">
        <v>28</v>
      </c>
      <c r="F29" s="121" t="s">
        <v>29</v>
      </c>
      <c r="G29" s="122" t="s">
        <v>14</v>
      </c>
      <c r="H29" s="130" t="s">
        <v>16</v>
      </c>
      <c r="I29" s="119" t="s">
        <v>17</v>
      </c>
      <c r="J29" s="119" t="s">
        <v>18</v>
      </c>
      <c r="K29" s="120" t="s">
        <v>30</v>
      </c>
      <c r="L29" s="120" t="s">
        <v>31</v>
      </c>
      <c r="M29" s="88" t="s">
        <v>109</v>
      </c>
      <c r="N29" s="119" t="s">
        <v>32</v>
      </c>
      <c r="O29" s="655" t="s">
        <v>33</v>
      </c>
      <c r="P29" s="130" t="s">
        <v>34</v>
      </c>
      <c r="Q29" s="657" t="s">
        <v>20</v>
      </c>
      <c r="R29" s="658" t="s">
        <v>110</v>
      </c>
      <c r="S29" s="659"/>
      <c r="T29" s="660" t="s">
        <v>22</v>
      </c>
      <c r="U29" s="133" t="s">
        <v>80</v>
      </c>
      <c r="V29" s="122" t="s">
        <v>24</v>
      </c>
      <c r="W29" s="17"/>
      <c r="Y29"/>
      <c r="Z29"/>
    </row>
    <row r="30" spans="1:23" ht="16.5" customHeight="1" thickTop="1">
      <c r="A30" s="5"/>
      <c r="B30" s="50"/>
      <c r="C30" s="10"/>
      <c r="D30" s="10"/>
      <c r="E30" s="10"/>
      <c r="F30" s="10"/>
      <c r="G30" s="664"/>
      <c r="H30" s="665"/>
      <c r="I30" s="10"/>
      <c r="J30" s="10"/>
      <c r="K30" s="10"/>
      <c r="L30" s="10"/>
      <c r="M30" s="10"/>
      <c r="N30" s="667"/>
      <c r="O30" s="807"/>
      <c r="P30" s="134"/>
      <c r="Q30" s="670"/>
      <c r="R30" s="671"/>
      <c r="S30" s="672"/>
      <c r="T30" s="673"/>
      <c r="U30" s="667"/>
      <c r="V30" s="677"/>
      <c r="W30" s="17"/>
    </row>
    <row r="31" spans="1:23" ht="16.5" customHeight="1">
      <c r="A31" s="5"/>
      <c r="B31" s="50"/>
      <c r="C31" s="920" t="s">
        <v>231</v>
      </c>
      <c r="D31" s="678"/>
      <c r="E31" s="679"/>
      <c r="F31" s="680"/>
      <c r="G31" s="681"/>
      <c r="H31" s="682">
        <f>F31*$F$21</f>
        <v>0</v>
      </c>
      <c r="I31" s="684"/>
      <c r="J31" s="684"/>
      <c r="K31" s="307">
        <f>IF(D31="","",(J31-I31)*24)</f>
      </c>
      <c r="L31" s="14">
        <f>IF(D31="","",(J31-I31)*24*60)</f>
      </c>
      <c r="M31" s="13"/>
      <c r="N31" s="8">
        <f>IF(D31="","",IF(OR(M31="P",M31="RP"),"--","NO"))</f>
      </c>
      <c r="O31" s="808">
        <f>IF(D31="","","NO")</f>
      </c>
      <c r="P31" s="687">
        <f>200*IF(O31="SI",1,0.1)*IF(M31="P",0.1,1)</f>
        <v>20</v>
      </c>
      <c r="Q31" s="688" t="str">
        <f>IF(M31="P",H31*P31*ROUND(L31/60,2),"--")</f>
        <v>--</v>
      </c>
      <c r="R31" s="689" t="str">
        <f>IF(AND(M31="F",N31="NO"),H31*P31,"--")</f>
        <v>--</v>
      </c>
      <c r="S31" s="690" t="str">
        <f>IF(M31="F",H31*P31*ROUND(L31/60,2),"--")</f>
        <v>--</v>
      </c>
      <c r="T31" s="410" t="str">
        <f>IF(M31="RF",H31*P31*ROUND(L31/60,2),"--")</f>
        <v>--</v>
      </c>
      <c r="U31" s="317">
        <f>IF(D31="","","SI")</f>
      </c>
      <c r="V31" s="318">
        <f>IF(D31="","",SUM(Q31:T31)*IF(U31="SI",1,2))</f>
      </c>
      <c r="W31" s="242"/>
    </row>
    <row r="32" spans="1:23" ht="16.5" customHeight="1">
      <c r="A32" s="5"/>
      <c r="B32" s="50"/>
      <c r="C32" s="920" t="s">
        <v>232</v>
      </c>
      <c r="D32" s="678"/>
      <c r="E32" s="679"/>
      <c r="F32" s="680"/>
      <c r="G32" s="681"/>
      <c r="H32" s="682">
        <f>F32*$F$21</f>
        <v>0</v>
      </c>
      <c r="I32" s="684"/>
      <c r="J32" s="684"/>
      <c r="K32" s="307">
        <f>IF(D32="","",(J32-I32)*24)</f>
      </c>
      <c r="L32" s="14">
        <f>IF(D32="","",(J32-I32)*24*60)</f>
      </c>
      <c r="M32" s="13"/>
      <c r="N32" s="8">
        <f>IF(D32="","",IF(OR(M32="P",M32="RP"),"--","NO"))</f>
      </c>
      <c r="O32" s="808">
        <f>IF(D32="","","NO")</f>
      </c>
      <c r="P32" s="687">
        <f>200*IF(O32="SI",1,0.1)*IF(M32="P",0.1,1)</f>
        <v>20</v>
      </c>
      <c r="Q32" s="688" t="str">
        <f>IF(M32="P",H32*P32*ROUND(L32/60,2),"--")</f>
        <v>--</v>
      </c>
      <c r="R32" s="689" t="str">
        <f>IF(AND(M32="F",N32="NO"),H32*P32,"--")</f>
        <v>--</v>
      </c>
      <c r="S32" s="690" t="str">
        <f>IF(M32="F",H32*P32*ROUND(L32/60,2),"--")</f>
        <v>--</v>
      </c>
      <c r="T32" s="410" t="str">
        <f>IF(M32="RF",H32*P32*ROUND(L32/60,2),"--")</f>
        <v>--</v>
      </c>
      <c r="U32" s="317">
        <f>IF(D32="","","SI")</f>
      </c>
      <c r="V32" s="318">
        <f>IF(D32="","",SUM(Q32:T32)*IF(U32="SI",1,2))</f>
      </c>
      <c r="W32" s="242"/>
    </row>
    <row r="33" spans="1:23" ht="16.5" customHeight="1" thickBot="1">
      <c r="A33" s="32"/>
      <c r="B33" s="50"/>
      <c r="C33" s="694"/>
      <c r="D33" s="695"/>
      <c r="E33" s="696"/>
      <c r="F33" s="697"/>
      <c r="G33" s="698"/>
      <c r="H33" s="699"/>
      <c r="I33" s="701"/>
      <c r="J33" s="702"/>
      <c r="K33" s="703"/>
      <c r="L33" s="704"/>
      <c r="M33" s="705"/>
      <c r="N33" s="9"/>
      <c r="O33" s="809"/>
      <c r="P33" s="708"/>
      <c r="Q33" s="709"/>
      <c r="R33" s="710"/>
      <c r="S33" s="711"/>
      <c r="T33" s="712"/>
      <c r="U33" s="716"/>
      <c r="V33" s="717"/>
      <c r="W33" s="242"/>
    </row>
    <row r="34" spans="1:23" ht="16.5" customHeight="1" thickBot="1" thickTop="1">
      <c r="A34" s="32"/>
      <c r="B34" s="50"/>
      <c r="C34" s="98"/>
      <c r="D34" s="217"/>
      <c r="E34" s="217"/>
      <c r="F34" s="447"/>
      <c r="G34" s="718"/>
      <c r="H34" s="719"/>
      <c r="I34" s="720"/>
      <c r="J34" s="721"/>
      <c r="K34" s="722"/>
      <c r="L34" s="723"/>
      <c r="M34" s="719"/>
      <c r="N34" s="724"/>
      <c r="O34" s="198"/>
      <c r="P34" s="725"/>
      <c r="Q34" s="726"/>
      <c r="R34" s="727"/>
      <c r="S34" s="727"/>
      <c r="T34" s="727"/>
      <c r="U34" s="199"/>
      <c r="V34" s="728">
        <f>SUM(V30:V33)</f>
        <v>0</v>
      </c>
      <c r="W34" s="242"/>
    </row>
    <row r="35" spans="1:23" ht="16.5" customHeight="1" thickBot="1" thickTop="1">
      <c r="A35" s="32"/>
      <c r="B35" s="50"/>
      <c r="C35" s="98"/>
      <c r="D35" s="217"/>
      <c r="E35" s="217"/>
      <c r="F35" s="447"/>
      <c r="G35" s="718"/>
      <c r="H35" s="719"/>
      <c r="I35" s="720"/>
      <c r="L35" s="723"/>
      <c r="M35" s="719"/>
      <c r="N35" s="729"/>
      <c r="O35" s="730"/>
      <c r="P35" s="725"/>
      <c r="Q35" s="726"/>
      <c r="R35" s="727"/>
      <c r="S35" s="727"/>
      <c r="T35" s="727"/>
      <c r="U35" s="199"/>
      <c r="V35" s="199"/>
      <c r="W35" s="242"/>
    </row>
    <row r="36" spans="2:23" s="5" customFormat="1" ht="33.75" customHeight="1" thickBot="1" thickTop="1">
      <c r="B36" s="50"/>
      <c r="C36" s="84" t="s">
        <v>13</v>
      </c>
      <c r="D36" s="86" t="s">
        <v>27</v>
      </c>
      <c r="E36" s="1094" t="s">
        <v>28</v>
      </c>
      <c r="F36" s="1096"/>
      <c r="G36" s="133" t="s">
        <v>14</v>
      </c>
      <c r="H36" s="130" t="s">
        <v>16</v>
      </c>
      <c r="I36" s="85" t="s">
        <v>17</v>
      </c>
      <c r="J36" s="393" t="s">
        <v>18</v>
      </c>
      <c r="K36" s="395" t="s">
        <v>36</v>
      </c>
      <c r="L36" s="395" t="s">
        <v>31</v>
      </c>
      <c r="M36" s="88" t="s">
        <v>19</v>
      </c>
      <c r="N36" s="1094" t="s">
        <v>32</v>
      </c>
      <c r="O36" s="1095"/>
      <c r="P36" s="136" t="s">
        <v>37</v>
      </c>
      <c r="Q36" s="396" t="s">
        <v>71</v>
      </c>
      <c r="R36" s="184" t="s">
        <v>35</v>
      </c>
      <c r="S36" s="397"/>
      <c r="T36" s="135" t="s">
        <v>22</v>
      </c>
      <c r="U36" s="133" t="s">
        <v>80</v>
      </c>
      <c r="V36" s="122" t="s">
        <v>24</v>
      </c>
      <c r="W36" s="6"/>
    </row>
    <row r="37" spans="2:23" s="5" customFormat="1" ht="16.5" customHeight="1" thickTop="1">
      <c r="B37" s="50"/>
      <c r="C37" s="7"/>
      <c r="D37" s="405"/>
      <c r="E37" s="1088"/>
      <c r="F37" s="1089"/>
      <c r="G37" s="405"/>
      <c r="H37" s="406"/>
      <c r="I37" s="405"/>
      <c r="J37" s="405"/>
      <c r="K37" s="405"/>
      <c r="L37" s="405"/>
      <c r="M37" s="405"/>
      <c r="N37" s="405"/>
      <c r="O37" s="810"/>
      <c r="P37" s="407"/>
      <c r="Q37" s="408"/>
      <c r="R37" s="196"/>
      <c r="S37" s="409"/>
      <c r="T37" s="410"/>
      <c r="U37" s="405"/>
      <c r="V37" s="411"/>
      <c r="W37" s="6"/>
    </row>
    <row r="38" spans="2:23" s="5" customFormat="1" ht="16.5" customHeight="1">
      <c r="B38" s="50"/>
      <c r="C38" s="920" t="s">
        <v>231</v>
      </c>
      <c r="D38" s="405" t="s">
        <v>350</v>
      </c>
      <c r="E38" s="1088" t="s">
        <v>351</v>
      </c>
      <c r="F38" s="1089"/>
      <c r="G38" s="811">
        <v>132</v>
      </c>
      <c r="H38" s="131">
        <f>IF(G38=500,$M$19,IF(G38=220,$M$20,$M$21))</f>
        <v>51.126</v>
      </c>
      <c r="I38" s="812">
        <v>39754.34375</v>
      </c>
      <c r="J38" s="813">
        <v>39754.79305555556</v>
      </c>
      <c r="K38" s="415">
        <f>IF(D38="","",(J38-I38)*24)</f>
        <v>10.78333333338378</v>
      </c>
      <c r="L38" s="416">
        <f>IF(D38="","",ROUND((J38-I38)*24*60,0))</f>
        <v>647</v>
      </c>
      <c r="M38" s="604" t="s">
        <v>251</v>
      </c>
      <c r="N38" s="521" t="str">
        <f>IF(D38="","",IF(OR(M38="P",M38="RP"),"--","NO"))</f>
        <v>--</v>
      </c>
      <c r="O38" s="476"/>
      <c r="P38" s="814">
        <f>IF(G38=500,$N$19,IF(G38=220,$N$20,$N$21))</f>
        <v>40</v>
      </c>
      <c r="Q38" s="815">
        <f>IF(M38="P",H38*P38*ROUND(L38/60,2)*0.1,"--")</f>
        <v>2204.55312</v>
      </c>
      <c r="R38" s="196" t="str">
        <f>IF(AND(M38="F",N38="NO"),H38*P38,"--")</f>
        <v>--</v>
      </c>
      <c r="S38" s="409" t="str">
        <f>IF(M38="F",H38*P38*ROUND(L38/60,2),"--")</f>
        <v>--</v>
      </c>
      <c r="T38" s="410" t="str">
        <f>IF(M38="RF",H38*P38*ROUND(L38/60,2),"--")</f>
        <v>--</v>
      </c>
      <c r="U38" s="816" t="str">
        <f>IF(D38="","","SI")</f>
        <v>SI</v>
      </c>
      <c r="V38" s="421">
        <f>IF(D38="","",SUM(Q38:T38)*IF(U38="SI",1,2))</f>
        <v>2204.55312</v>
      </c>
      <c r="W38" s="6"/>
    </row>
    <row r="39" spans="2:23" s="5" customFormat="1" ht="16.5" customHeight="1">
      <c r="B39" s="50"/>
      <c r="C39" s="920" t="s">
        <v>232</v>
      </c>
      <c r="D39" s="405" t="s">
        <v>352</v>
      </c>
      <c r="E39" s="1088" t="s">
        <v>353</v>
      </c>
      <c r="F39" s="1089"/>
      <c r="G39" s="811">
        <v>132</v>
      </c>
      <c r="H39" s="131">
        <f aca="true" t="shared" si="0" ref="H39:H49">IF(G39=500,$M$19,IF(G39=220,$M$20,$M$21))</f>
        <v>51.126</v>
      </c>
      <c r="I39" s="812">
        <v>39755.4125</v>
      </c>
      <c r="J39" s="813">
        <v>39755.728472222225</v>
      </c>
      <c r="K39" s="415">
        <f aca="true" t="shared" si="1" ref="K39:K49">IF(D39="","",(J39-I39)*24)</f>
        <v>7.583333333430346</v>
      </c>
      <c r="L39" s="416">
        <f aca="true" t="shared" si="2" ref="L39:L49">IF(D39="","",ROUND((J39-I39)*24*60,0))</f>
        <v>455</v>
      </c>
      <c r="M39" s="604" t="s">
        <v>251</v>
      </c>
      <c r="N39" s="521" t="str">
        <f aca="true" t="shared" si="3" ref="N39:N49">IF(D39="","",IF(OR(M39="P",M39="RP"),"--","NO"))</f>
        <v>--</v>
      </c>
      <c r="O39" s="476"/>
      <c r="P39" s="814">
        <f aca="true" t="shared" si="4" ref="P39:P49">IF(G39=500,$N$19,IF(G39=220,$N$20,$N$21))</f>
        <v>40</v>
      </c>
      <c r="Q39" s="815">
        <f aca="true" t="shared" si="5" ref="Q39:Q49">IF(M39="P",H39*P39*ROUND(L39/60,2)*0.1,"--")</f>
        <v>1550.1403200000002</v>
      </c>
      <c r="R39" s="196" t="str">
        <f aca="true" t="shared" si="6" ref="R39:R49">IF(AND(M39="F",N39="NO"),H39*P39,"--")</f>
        <v>--</v>
      </c>
      <c r="S39" s="409" t="str">
        <f aca="true" t="shared" si="7" ref="S39:S49">IF(M39="F",H39*P39*ROUND(L39/60,2),"--")</f>
        <v>--</v>
      </c>
      <c r="T39" s="410" t="str">
        <f aca="true" t="shared" si="8" ref="T39:T49">IF(M39="RF",H39*P39*ROUND(L39/60,2),"--")</f>
        <v>--</v>
      </c>
      <c r="U39" s="816" t="str">
        <f aca="true" t="shared" si="9" ref="U39:U49">IF(D39="","","SI")</f>
        <v>SI</v>
      </c>
      <c r="V39" s="421">
        <f aca="true" t="shared" si="10" ref="V39:V49">IF(D39="","",SUM(Q39:T39)*IF(U39="SI",1,2))</f>
        <v>1550.1403200000002</v>
      </c>
      <c r="W39" s="6"/>
    </row>
    <row r="40" spans="2:23" s="5" customFormat="1" ht="16.5" customHeight="1">
      <c r="B40" s="50"/>
      <c r="C40" s="920" t="s">
        <v>233</v>
      </c>
      <c r="D40" s="405" t="s">
        <v>352</v>
      </c>
      <c r="E40" s="1088" t="s">
        <v>354</v>
      </c>
      <c r="F40" s="1089"/>
      <c r="G40" s="811">
        <v>132</v>
      </c>
      <c r="H40" s="131">
        <f t="shared" si="0"/>
        <v>51.126</v>
      </c>
      <c r="I40" s="812">
        <v>39759.254166666666</v>
      </c>
      <c r="J40" s="813">
        <v>39759.32361111111</v>
      </c>
      <c r="K40" s="415">
        <f t="shared" si="1"/>
        <v>1.6666666666860692</v>
      </c>
      <c r="L40" s="416">
        <f t="shared" si="2"/>
        <v>100</v>
      </c>
      <c r="M40" s="604" t="s">
        <v>251</v>
      </c>
      <c r="N40" s="521" t="str">
        <f t="shared" si="3"/>
        <v>--</v>
      </c>
      <c r="O40" s="476"/>
      <c r="P40" s="814">
        <f t="shared" si="4"/>
        <v>40</v>
      </c>
      <c r="Q40" s="815">
        <f t="shared" si="5"/>
        <v>341.52168</v>
      </c>
      <c r="R40" s="196" t="str">
        <f t="shared" si="6"/>
        <v>--</v>
      </c>
      <c r="S40" s="409" t="str">
        <f t="shared" si="7"/>
        <v>--</v>
      </c>
      <c r="T40" s="410" t="str">
        <f t="shared" si="8"/>
        <v>--</v>
      </c>
      <c r="U40" s="816" t="str">
        <f t="shared" si="9"/>
        <v>SI</v>
      </c>
      <c r="V40" s="421">
        <f t="shared" si="10"/>
        <v>341.52168</v>
      </c>
      <c r="W40" s="6"/>
    </row>
    <row r="41" spans="2:23" s="5" customFormat="1" ht="16.5" customHeight="1">
      <c r="B41" s="50"/>
      <c r="C41" s="920" t="s">
        <v>234</v>
      </c>
      <c r="D41" s="405" t="s">
        <v>342</v>
      </c>
      <c r="E41" s="1088" t="s">
        <v>355</v>
      </c>
      <c r="F41" s="1089"/>
      <c r="G41" s="811">
        <v>132</v>
      </c>
      <c r="H41" s="131">
        <f t="shared" si="0"/>
        <v>51.126</v>
      </c>
      <c r="I41" s="812">
        <v>39763.38055555556</v>
      </c>
      <c r="J41" s="813">
        <v>39763.57638888889</v>
      </c>
      <c r="K41" s="415">
        <f t="shared" si="1"/>
        <v>4.699999999953434</v>
      </c>
      <c r="L41" s="416">
        <f t="shared" si="2"/>
        <v>282</v>
      </c>
      <c r="M41" s="604" t="s">
        <v>251</v>
      </c>
      <c r="N41" s="521" t="str">
        <f t="shared" si="3"/>
        <v>--</v>
      </c>
      <c r="O41" s="476"/>
      <c r="P41" s="814">
        <f t="shared" si="4"/>
        <v>40</v>
      </c>
      <c r="Q41" s="815">
        <f t="shared" si="5"/>
        <v>961.1688</v>
      </c>
      <c r="R41" s="196" t="str">
        <f t="shared" si="6"/>
        <v>--</v>
      </c>
      <c r="S41" s="409" t="str">
        <f t="shared" si="7"/>
        <v>--</v>
      </c>
      <c r="T41" s="410" t="str">
        <f t="shared" si="8"/>
        <v>--</v>
      </c>
      <c r="U41" s="816" t="str">
        <f t="shared" si="9"/>
        <v>SI</v>
      </c>
      <c r="V41" s="421">
        <f t="shared" si="10"/>
        <v>961.1688</v>
      </c>
      <c r="W41" s="6"/>
    </row>
    <row r="42" spans="2:23" s="5" customFormat="1" ht="16.5" customHeight="1">
      <c r="B42" s="50"/>
      <c r="C42" s="920" t="s">
        <v>235</v>
      </c>
      <c r="D42" s="405" t="s">
        <v>342</v>
      </c>
      <c r="E42" s="1088" t="s">
        <v>356</v>
      </c>
      <c r="F42" s="1089"/>
      <c r="G42" s="811">
        <v>132</v>
      </c>
      <c r="H42" s="131">
        <f t="shared" si="0"/>
        <v>51.126</v>
      </c>
      <c r="I42" s="812">
        <v>39767.43958333333</v>
      </c>
      <c r="J42" s="813">
        <v>39767.75625</v>
      </c>
      <c r="K42" s="415">
        <f t="shared" si="1"/>
        <v>7.599999999976717</v>
      </c>
      <c r="L42" s="416">
        <f t="shared" si="2"/>
        <v>456</v>
      </c>
      <c r="M42" s="604" t="s">
        <v>251</v>
      </c>
      <c r="N42" s="521" t="str">
        <f t="shared" si="3"/>
        <v>--</v>
      </c>
      <c r="O42" s="476"/>
      <c r="P42" s="814">
        <f t="shared" si="4"/>
        <v>40</v>
      </c>
      <c r="Q42" s="815">
        <f t="shared" si="5"/>
        <v>1554.2304</v>
      </c>
      <c r="R42" s="196" t="str">
        <f t="shared" si="6"/>
        <v>--</v>
      </c>
      <c r="S42" s="409" t="str">
        <f t="shared" si="7"/>
        <v>--</v>
      </c>
      <c r="T42" s="410" t="str">
        <f t="shared" si="8"/>
        <v>--</v>
      </c>
      <c r="U42" s="816" t="str">
        <f t="shared" si="9"/>
        <v>SI</v>
      </c>
      <c r="V42" s="421">
        <f t="shared" si="10"/>
        <v>1554.2304</v>
      </c>
      <c r="W42" s="6"/>
    </row>
    <row r="43" spans="2:23" s="5" customFormat="1" ht="16.5" customHeight="1">
      <c r="B43" s="50"/>
      <c r="C43" s="920" t="s">
        <v>236</v>
      </c>
      <c r="D43" s="405" t="s">
        <v>342</v>
      </c>
      <c r="E43" s="1088" t="s">
        <v>357</v>
      </c>
      <c r="F43" s="1089"/>
      <c r="G43" s="811">
        <v>132</v>
      </c>
      <c r="H43" s="131">
        <f t="shared" si="0"/>
        <v>51.126</v>
      </c>
      <c r="I43" s="812">
        <v>39769.34722222222</v>
      </c>
      <c r="J43" s="813">
        <v>39769.77847222222</v>
      </c>
      <c r="K43" s="415">
        <f t="shared" si="1"/>
        <v>10.350000000034925</v>
      </c>
      <c r="L43" s="416">
        <f t="shared" si="2"/>
        <v>621</v>
      </c>
      <c r="M43" s="604" t="s">
        <v>251</v>
      </c>
      <c r="N43" s="521" t="str">
        <f t="shared" si="3"/>
        <v>--</v>
      </c>
      <c r="O43" s="476"/>
      <c r="P43" s="814">
        <f t="shared" si="4"/>
        <v>40</v>
      </c>
      <c r="Q43" s="815">
        <f t="shared" si="5"/>
        <v>2116.6164000000003</v>
      </c>
      <c r="R43" s="196" t="str">
        <f t="shared" si="6"/>
        <v>--</v>
      </c>
      <c r="S43" s="409" t="str">
        <f t="shared" si="7"/>
        <v>--</v>
      </c>
      <c r="T43" s="410" t="str">
        <f t="shared" si="8"/>
        <v>--</v>
      </c>
      <c r="U43" s="816" t="str">
        <f t="shared" si="9"/>
        <v>SI</v>
      </c>
      <c r="V43" s="421">
        <f t="shared" si="10"/>
        <v>2116.6164000000003</v>
      </c>
      <c r="W43" s="6"/>
    </row>
    <row r="44" spans="2:23" s="5" customFormat="1" ht="16.5" customHeight="1">
      <c r="B44" s="50"/>
      <c r="C44" s="920" t="s">
        <v>237</v>
      </c>
      <c r="D44" s="405" t="s">
        <v>352</v>
      </c>
      <c r="E44" s="1088" t="s">
        <v>358</v>
      </c>
      <c r="F44" s="1089"/>
      <c r="G44" s="811">
        <v>132</v>
      </c>
      <c r="H44" s="131">
        <f t="shared" si="0"/>
        <v>51.126</v>
      </c>
      <c r="I44" s="812">
        <v>39770.38125</v>
      </c>
      <c r="J44" s="813">
        <v>39770.64444444444</v>
      </c>
      <c r="K44" s="415">
        <f t="shared" si="1"/>
        <v>6.316666666651145</v>
      </c>
      <c r="L44" s="416">
        <f t="shared" si="2"/>
        <v>379</v>
      </c>
      <c r="M44" s="604" t="s">
        <v>251</v>
      </c>
      <c r="N44" s="521" t="str">
        <f t="shared" si="3"/>
        <v>--</v>
      </c>
      <c r="O44" s="476"/>
      <c r="P44" s="814">
        <f t="shared" si="4"/>
        <v>40</v>
      </c>
      <c r="Q44" s="815">
        <f t="shared" si="5"/>
        <v>1292.4652800000001</v>
      </c>
      <c r="R44" s="196" t="str">
        <f t="shared" si="6"/>
        <v>--</v>
      </c>
      <c r="S44" s="409" t="str">
        <f t="shared" si="7"/>
        <v>--</v>
      </c>
      <c r="T44" s="410" t="str">
        <f t="shared" si="8"/>
        <v>--</v>
      </c>
      <c r="U44" s="816" t="str">
        <f t="shared" si="9"/>
        <v>SI</v>
      </c>
      <c r="V44" s="421">
        <f t="shared" si="10"/>
        <v>1292.4652800000001</v>
      </c>
      <c r="W44" s="6"/>
    </row>
    <row r="45" spans="2:23" s="5" customFormat="1" ht="16.5" customHeight="1">
      <c r="B45" s="50"/>
      <c r="C45" s="920" t="s">
        <v>238</v>
      </c>
      <c r="D45" s="405" t="s">
        <v>352</v>
      </c>
      <c r="E45" s="1088" t="s">
        <v>359</v>
      </c>
      <c r="F45" s="1089"/>
      <c r="G45" s="811">
        <v>132</v>
      </c>
      <c r="H45" s="131">
        <f t="shared" si="0"/>
        <v>51.126</v>
      </c>
      <c r="I45" s="812">
        <v>39776.00208333333</v>
      </c>
      <c r="J45" s="813">
        <v>39776.15902777778</v>
      </c>
      <c r="K45" s="415">
        <f t="shared" si="1"/>
        <v>3.766666666720994</v>
      </c>
      <c r="L45" s="416">
        <f t="shared" si="2"/>
        <v>226</v>
      </c>
      <c r="M45" s="604" t="s">
        <v>279</v>
      </c>
      <c r="N45" s="521" t="s">
        <v>248</v>
      </c>
      <c r="O45" s="476"/>
      <c r="P45" s="814">
        <f t="shared" si="4"/>
        <v>40</v>
      </c>
      <c r="Q45" s="815" t="str">
        <f t="shared" si="5"/>
        <v>--</v>
      </c>
      <c r="R45" s="196" t="str">
        <f t="shared" si="6"/>
        <v>--</v>
      </c>
      <c r="S45" s="409">
        <f t="shared" si="7"/>
        <v>7709.8008</v>
      </c>
      <c r="T45" s="410" t="str">
        <f t="shared" si="8"/>
        <v>--</v>
      </c>
      <c r="U45" s="816" t="str">
        <f t="shared" si="9"/>
        <v>SI</v>
      </c>
      <c r="V45" s="421">
        <f t="shared" si="10"/>
        <v>7709.8008</v>
      </c>
      <c r="W45" s="6"/>
    </row>
    <row r="46" spans="2:23" s="5" customFormat="1" ht="16.5" customHeight="1">
      <c r="B46" s="50"/>
      <c r="C46" s="920" t="s">
        <v>239</v>
      </c>
      <c r="D46" s="405" t="s">
        <v>352</v>
      </c>
      <c r="E46" s="1088" t="s">
        <v>360</v>
      </c>
      <c r="F46" s="1089"/>
      <c r="G46" s="811">
        <v>132</v>
      </c>
      <c r="H46" s="131">
        <f t="shared" si="0"/>
        <v>51.126</v>
      </c>
      <c r="I46" s="812">
        <v>39776.459027777775</v>
      </c>
      <c r="J46" s="813">
        <v>39776.65277777778</v>
      </c>
      <c r="K46" s="415">
        <f t="shared" si="1"/>
        <v>4.650000000139698</v>
      </c>
      <c r="L46" s="416">
        <f t="shared" si="2"/>
        <v>279</v>
      </c>
      <c r="M46" s="604" t="s">
        <v>251</v>
      </c>
      <c r="N46" s="521" t="str">
        <f t="shared" si="3"/>
        <v>--</v>
      </c>
      <c r="O46" s="476"/>
      <c r="P46" s="814">
        <f t="shared" si="4"/>
        <v>40</v>
      </c>
      <c r="Q46" s="815">
        <f t="shared" si="5"/>
        <v>950.9436000000001</v>
      </c>
      <c r="R46" s="196" t="str">
        <f t="shared" si="6"/>
        <v>--</v>
      </c>
      <c r="S46" s="409" t="str">
        <f t="shared" si="7"/>
        <v>--</v>
      </c>
      <c r="T46" s="410" t="str">
        <f t="shared" si="8"/>
        <v>--</v>
      </c>
      <c r="U46" s="816" t="str">
        <f t="shared" si="9"/>
        <v>SI</v>
      </c>
      <c r="V46" s="421">
        <f t="shared" si="10"/>
        <v>950.9436000000001</v>
      </c>
      <c r="W46" s="6"/>
    </row>
    <row r="47" spans="2:23" s="5" customFormat="1" ht="16.5" customHeight="1">
      <c r="B47" s="50"/>
      <c r="C47" s="920" t="s">
        <v>240</v>
      </c>
      <c r="D47" s="405" t="s">
        <v>342</v>
      </c>
      <c r="E47" s="1088" t="s">
        <v>361</v>
      </c>
      <c r="F47" s="1089"/>
      <c r="G47" s="811">
        <v>132</v>
      </c>
      <c r="H47" s="131">
        <f t="shared" si="0"/>
        <v>51.126</v>
      </c>
      <c r="I47" s="812">
        <v>39778.37569444445</v>
      </c>
      <c r="J47" s="813">
        <v>39778.75347222222</v>
      </c>
      <c r="K47" s="415">
        <f t="shared" si="1"/>
        <v>9.06666666653473</v>
      </c>
      <c r="L47" s="416">
        <f t="shared" si="2"/>
        <v>544</v>
      </c>
      <c r="M47" s="604" t="s">
        <v>251</v>
      </c>
      <c r="N47" s="521" t="str">
        <f t="shared" si="3"/>
        <v>--</v>
      </c>
      <c r="O47" s="476"/>
      <c r="P47" s="814">
        <f t="shared" si="4"/>
        <v>40</v>
      </c>
      <c r="Q47" s="815">
        <f t="shared" si="5"/>
        <v>1854.85128</v>
      </c>
      <c r="R47" s="196" t="str">
        <f t="shared" si="6"/>
        <v>--</v>
      </c>
      <c r="S47" s="409" t="str">
        <f t="shared" si="7"/>
        <v>--</v>
      </c>
      <c r="T47" s="410" t="str">
        <f t="shared" si="8"/>
        <v>--</v>
      </c>
      <c r="U47" s="816" t="str">
        <f t="shared" si="9"/>
        <v>SI</v>
      </c>
      <c r="V47" s="421">
        <f t="shared" si="10"/>
        <v>1854.85128</v>
      </c>
      <c r="W47" s="6"/>
    </row>
    <row r="48" spans="2:23" s="5" customFormat="1" ht="16.5" customHeight="1">
      <c r="B48" s="50"/>
      <c r="C48" s="920" t="s">
        <v>241</v>
      </c>
      <c r="D48" s="405"/>
      <c r="E48" s="1088"/>
      <c r="F48" s="1089"/>
      <c r="G48" s="811"/>
      <c r="H48" s="131">
        <f t="shared" si="0"/>
        <v>51.126</v>
      </c>
      <c r="I48" s="812"/>
      <c r="J48" s="813"/>
      <c r="K48" s="415">
        <f t="shared" si="1"/>
      </c>
      <c r="L48" s="416">
        <f t="shared" si="2"/>
      </c>
      <c r="M48" s="604"/>
      <c r="N48" s="521">
        <f t="shared" si="3"/>
      </c>
      <c r="O48" s="476"/>
      <c r="P48" s="814">
        <f t="shared" si="4"/>
        <v>40</v>
      </c>
      <c r="Q48" s="815" t="str">
        <f t="shared" si="5"/>
        <v>--</v>
      </c>
      <c r="R48" s="196" t="str">
        <f t="shared" si="6"/>
        <v>--</v>
      </c>
      <c r="S48" s="409" t="str">
        <f t="shared" si="7"/>
        <v>--</v>
      </c>
      <c r="T48" s="410" t="str">
        <f t="shared" si="8"/>
        <v>--</v>
      </c>
      <c r="U48" s="816">
        <f t="shared" si="9"/>
      </c>
      <c r="V48" s="421">
        <f t="shared" si="10"/>
      </c>
      <c r="W48" s="6"/>
    </row>
    <row r="49" spans="2:23" s="5" customFormat="1" ht="16.5" customHeight="1">
      <c r="B49" s="50"/>
      <c r="C49" s="920" t="s">
        <v>242</v>
      </c>
      <c r="D49" s="405"/>
      <c r="E49" s="1088"/>
      <c r="F49" s="1089"/>
      <c r="G49" s="811"/>
      <c r="H49" s="131">
        <f t="shared" si="0"/>
        <v>51.126</v>
      </c>
      <c r="I49" s="812"/>
      <c r="J49" s="813"/>
      <c r="K49" s="415">
        <f t="shared" si="1"/>
      </c>
      <c r="L49" s="416">
        <f t="shared" si="2"/>
      </c>
      <c r="M49" s="604"/>
      <c r="N49" s="521">
        <f t="shared" si="3"/>
      </c>
      <c r="O49" s="476"/>
      <c r="P49" s="814">
        <f t="shared" si="4"/>
        <v>40</v>
      </c>
      <c r="Q49" s="815" t="str">
        <f t="shared" si="5"/>
        <v>--</v>
      </c>
      <c r="R49" s="196" t="str">
        <f t="shared" si="6"/>
        <v>--</v>
      </c>
      <c r="S49" s="409" t="str">
        <f t="shared" si="7"/>
        <v>--</v>
      </c>
      <c r="T49" s="410" t="str">
        <f t="shared" si="8"/>
        <v>--</v>
      </c>
      <c r="U49" s="816">
        <f t="shared" si="9"/>
      </c>
      <c r="V49" s="421">
        <f t="shared" si="10"/>
      </c>
      <c r="W49" s="6"/>
    </row>
    <row r="50" spans="2:28" s="5" customFormat="1" ht="16.5" customHeight="1" thickBot="1">
      <c r="B50" s="50"/>
      <c r="C50" s="694"/>
      <c r="D50" s="818"/>
      <c r="E50" s="1092"/>
      <c r="F50" s="1093"/>
      <c r="G50" s="819"/>
      <c r="H50" s="820"/>
      <c r="I50" s="821"/>
      <c r="J50" s="822"/>
      <c r="K50" s="823"/>
      <c r="L50" s="824"/>
      <c r="M50" s="825"/>
      <c r="N50" s="826"/>
      <c r="O50" s="825"/>
      <c r="P50" s="827"/>
      <c r="Q50" s="828"/>
      <c r="R50" s="829"/>
      <c r="S50" s="830"/>
      <c r="T50" s="831"/>
      <c r="U50" s="832"/>
      <c r="V50" s="833"/>
      <c r="W50" s="6"/>
      <c r="X50"/>
      <c r="Y50"/>
      <c r="Z50"/>
      <c r="AA50"/>
      <c r="AB50"/>
    </row>
    <row r="51" spans="1:23" ht="17.25" thickBot="1" thickTop="1">
      <c r="A51" s="32"/>
      <c r="B51" s="554"/>
      <c r="C51" s="557"/>
      <c r="D51" s="732"/>
      <c r="E51" s="733"/>
      <c r="F51" s="734"/>
      <c r="G51" s="735"/>
      <c r="H51" s="735"/>
      <c r="I51" s="733"/>
      <c r="J51" s="542"/>
      <c r="K51" s="542"/>
      <c r="L51" s="733"/>
      <c r="M51" s="733"/>
      <c r="N51" s="733"/>
      <c r="O51" s="736"/>
      <c r="P51" s="733"/>
      <c r="Q51" s="733"/>
      <c r="R51" s="737"/>
      <c r="S51" s="738"/>
      <c r="T51" s="738"/>
      <c r="U51" s="739"/>
      <c r="V51" s="728">
        <f>SUM(V38:V50)</f>
        <v>20536.29168</v>
      </c>
      <c r="W51" s="740"/>
    </row>
    <row r="52" spans="1:23" ht="17.25" thickBot="1" thickTop="1">
      <c r="A52" s="32"/>
      <c r="B52" s="554"/>
      <c r="C52" s="557"/>
      <c r="D52" s="732"/>
      <c r="E52" s="733"/>
      <c r="F52" s="734"/>
      <c r="G52" s="735"/>
      <c r="H52" s="735"/>
      <c r="I52" s="567" t="s">
        <v>42</v>
      </c>
      <c r="J52" s="803">
        <f>+V51+V34</f>
        <v>20536.29168</v>
      </c>
      <c r="L52" s="733"/>
      <c r="M52" s="733"/>
      <c r="N52" s="733"/>
      <c r="O52" s="736"/>
      <c r="P52" s="733"/>
      <c r="Q52" s="733"/>
      <c r="R52" s="737"/>
      <c r="S52" s="738"/>
      <c r="T52" s="738"/>
      <c r="U52" s="739"/>
      <c r="W52" s="740"/>
    </row>
    <row r="53" spans="1:23" ht="13.5" customHeight="1" thickTop="1">
      <c r="A53" s="32"/>
      <c r="B53" s="554"/>
      <c r="C53" s="557"/>
      <c r="D53" s="732"/>
      <c r="E53" s="733"/>
      <c r="F53" s="734"/>
      <c r="G53" s="735"/>
      <c r="H53" s="735"/>
      <c r="I53" s="733"/>
      <c r="J53" s="542"/>
      <c r="K53" s="542"/>
      <c r="L53" s="733"/>
      <c r="M53" s="733"/>
      <c r="N53" s="733"/>
      <c r="O53" s="736"/>
      <c r="P53" s="733"/>
      <c r="Q53" s="733"/>
      <c r="R53" s="737"/>
      <c r="S53" s="738"/>
      <c r="T53" s="738"/>
      <c r="U53" s="739"/>
      <c r="W53" s="740"/>
    </row>
    <row r="54" spans="1:23" ht="16.5" customHeight="1">
      <c r="A54" s="32"/>
      <c r="B54" s="554"/>
      <c r="C54" s="741" t="s">
        <v>111</v>
      </c>
      <c r="D54" s="742" t="s">
        <v>155</v>
      </c>
      <c r="E54" s="733"/>
      <c r="F54" s="734"/>
      <c r="G54" s="735"/>
      <c r="H54" s="735"/>
      <c r="I54" s="733"/>
      <c r="J54" s="542"/>
      <c r="K54" s="542"/>
      <c r="L54" s="733"/>
      <c r="M54" s="733"/>
      <c r="N54" s="733"/>
      <c r="O54" s="736"/>
      <c r="P54" s="733"/>
      <c r="Q54" s="733"/>
      <c r="R54" s="737"/>
      <c r="S54" s="738"/>
      <c r="T54" s="738"/>
      <c r="U54" s="739"/>
      <c r="W54" s="740"/>
    </row>
    <row r="55" spans="1:23" ht="16.5" customHeight="1">
      <c r="A55" s="32"/>
      <c r="B55" s="554"/>
      <c r="C55" s="741"/>
      <c r="D55" s="732"/>
      <c r="E55" s="733"/>
      <c r="F55" s="734"/>
      <c r="G55" s="735"/>
      <c r="H55" s="735"/>
      <c r="I55" s="733"/>
      <c r="J55" s="542"/>
      <c r="K55" s="542"/>
      <c r="L55" s="733"/>
      <c r="M55" s="733"/>
      <c r="N55" s="733"/>
      <c r="O55" s="736"/>
      <c r="P55" s="733"/>
      <c r="Q55" s="733"/>
      <c r="R55" s="733"/>
      <c r="S55" s="737"/>
      <c r="T55" s="738"/>
      <c r="W55" s="740"/>
    </row>
    <row r="56" spans="2:23" s="32" customFormat="1" ht="16.5" customHeight="1">
      <c r="B56" s="554"/>
      <c r="C56" s="557"/>
      <c r="D56" s="743" t="s">
        <v>125</v>
      </c>
      <c r="E56" s="639" t="s">
        <v>126</v>
      </c>
      <c r="F56" s="639" t="s">
        <v>43</v>
      </c>
      <c r="G56" s="744" t="s">
        <v>160</v>
      </c>
      <c r="H56"/>
      <c r="I56" s="140"/>
      <c r="J56" s="755" t="s">
        <v>61</v>
      </c>
      <c r="K56" s="755"/>
      <c r="L56" s="639" t="s">
        <v>43</v>
      </c>
      <c r="M56" t="s">
        <v>138</v>
      </c>
      <c r="O56" s="744" t="s">
        <v>162</v>
      </c>
      <c r="P56"/>
      <c r="Q56" s="748"/>
      <c r="R56" s="748"/>
      <c r="S56" s="33"/>
      <c r="T56"/>
      <c r="U56"/>
      <c r="V56"/>
      <c r="W56" s="740"/>
    </row>
    <row r="57" spans="2:23" s="32" customFormat="1" ht="16.5" customHeight="1">
      <c r="B57" s="554"/>
      <c r="C57" s="557"/>
      <c r="D57" s="145" t="s">
        <v>139</v>
      </c>
      <c r="E57" s="145">
        <v>300</v>
      </c>
      <c r="F57" s="834">
        <v>500</v>
      </c>
      <c r="G57" s="1091">
        <f>+E57*$F$20*$F$21</f>
        <v>68904</v>
      </c>
      <c r="H57" s="1091"/>
      <c r="I57" s="1091"/>
      <c r="J57" s="835" t="s">
        <v>140</v>
      </c>
      <c r="K57" s="835"/>
      <c r="L57" s="145">
        <v>500</v>
      </c>
      <c r="M57" s="145">
        <v>2</v>
      </c>
      <c r="O57" s="1091">
        <f>+M57*$F$20*$M$19</f>
        <v>92021.76000000001</v>
      </c>
      <c r="P57" s="1091"/>
      <c r="Q57" s="1091"/>
      <c r="R57" s="1091"/>
      <c r="S57" s="1091"/>
      <c r="T57" s="1091"/>
      <c r="U57" s="1091"/>
      <c r="V57"/>
      <c r="W57" s="740"/>
    </row>
    <row r="58" spans="2:23" s="32" customFormat="1" ht="16.5" customHeight="1">
      <c r="B58" s="554"/>
      <c r="C58" s="557"/>
      <c r="D58" s="145" t="s">
        <v>141</v>
      </c>
      <c r="E58" s="144">
        <v>300</v>
      </c>
      <c r="F58" s="834">
        <v>500</v>
      </c>
      <c r="G58" s="1091">
        <f>+E58*$F$20*$F$21</f>
        <v>68904</v>
      </c>
      <c r="H58" s="1091"/>
      <c r="I58" s="1091"/>
      <c r="J58" s="835" t="s">
        <v>140</v>
      </c>
      <c r="K58" s="835"/>
      <c r="L58" s="145">
        <v>132</v>
      </c>
      <c r="M58" s="145">
        <v>9</v>
      </c>
      <c r="O58" s="1091">
        <f>+M58*$F$20*$M$21</f>
        <v>331296.48</v>
      </c>
      <c r="P58" s="1091"/>
      <c r="Q58" s="1091"/>
      <c r="R58" s="1091"/>
      <c r="S58" s="1091"/>
      <c r="T58" s="1091"/>
      <c r="U58" s="1091"/>
      <c r="V58"/>
      <c r="W58" s="740"/>
    </row>
    <row r="59" spans="2:23" s="32" customFormat="1" ht="16.5" customHeight="1">
      <c r="B59" s="554"/>
      <c r="C59" s="557"/>
      <c r="D59" s="143" t="s">
        <v>142</v>
      </c>
      <c r="E59" s="144">
        <v>300</v>
      </c>
      <c r="F59" s="834">
        <v>500</v>
      </c>
      <c r="G59" s="1091">
        <f>+E59*$F$20*$F$21</f>
        <v>68904</v>
      </c>
      <c r="H59" s="1091"/>
      <c r="I59" s="1091"/>
      <c r="J59" s="835" t="s">
        <v>143</v>
      </c>
      <c r="K59" s="835"/>
      <c r="L59" s="145">
        <v>132</v>
      </c>
      <c r="M59" s="145">
        <v>8</v>
      </c>
      <c r="O59" s="1091">
        <f>+M59*$F$20*$M$21</f>
        <v>294485.76</v>
      </c>
      <c r="P59" s="1091"/>
      <c r="Q59" s="1091"/>
      <c r="R59" s="1091"/>
      <c r="S59" s="1091"/>
      <c r="T59" s="1091"/>
      <c r="U59" s="1091"/>
      <c r="V59"/>
      <c r="W59" s="740"/>
    </row>
    <row r="60" spans="1:23" ht="16.5" customHeight="1">
      <c r="A60" s="32"/>
      <c r="B60" s="554"/>
      <c r="C60" s="557"/>
      <c r="D60" s="143" t="s">
        <v>144</v>
      </c>
      <c r="E60" s="144">
        <v>300</v>
      </c>
      <c r="F60" s="834">
        <v>500</v>
      </c>
      <c r="G60" s="1091">
        <f>+E60*$F$20*$F$21</f>
        <v>68904</v>
      </c>
      <c r="H60" s="1091"/>
      <c r="I60" s="1091"/>
      <c r="J60" s="835" t="s">
        <v>145</v>
      </c>
      <c r="K60" s="835"/>
      <c r="L60" s="145">
        <v>132</v>
      </c>
      <c r="M60" s="145">
        <v>5</v>
      </c>
      <c r="O60" s="1090">
        <f>+M60*$F$20*$M$21</f>
        <v>184053.6</v>
      </c>
      <c r="P60" s="1090"/>
      <c r="Q60" s="1090"/>
      <c r="R60" s="1090"/>
      <c r="S60" s="1090"/>
      <c r="T60" s="1090"/>
      <c r="U60" s="1090"/>
      <c r="W60" s="740"/>
    </row>
    <row r="61" spans="1:23" ht="16.5" customHeight="1">
      <c r="A61" s="32"/>
      <c r="B61" s="554"/>
      <c r="C61" s="557"/>
      <c r="D61" s="143" t="s">
        <v>273</v>
      </c>
      <c r="E61" s="144">
        <v>600</v>
      </c>
      <c r="F61" s="834">
        <v>500</v>
      </c>
      <c r="G61" s="1090">
        <f>+E61*$F$20*$F$21</f>
        <v>137808</v>
      </c>
      <c r="H61" s="1090"/>
      <c r="I61" s="1090"/>
      <c r="M61" s="145"/>
      <c r="O61" s="1091">
        <f>SUM(O57:P60)</f>
        <v>901857.6</v>
      </c>
      <c r="P61" s="1091"/>
      <c r="Q61" s="1091"/>
      <c r="R61" s="1091"/>
      <c r="S61" s="1091"/>
      <c r="T61" s="1091"/>
      <c r="U61" s="1091"/>
      <c r="W61" s="740"/>
    </row>
    <row r="62" spans="1:23" ht="16.5" customHeight="1">
      <c r="A62" s="32"/>
      <c r="B62" s="554"/>
      <c r="C62" s="557"/>
      <c r="D62" s="143"/>
      <c r="E62" s="144"/>
      <c r="F62" s="834"/>
      <c r="G62" s="1091">
        <f>SUM(G57:G61)</f>
        <v>413424</v>
      </c>
      <c r="H62" s="1091"/>
      <c r="I62" s="1091"/>
      <c r="M62" s="145"/>
      <c r="N62" s="140"/>
      <c r="O62" s="140"/>
      <c r="P62" s="784"/>
      <c r="Q62" s="784"/>
      <c r="R62" s="784"/>
      <c r="S62" s="784"/>
      <c r="W62" s="740"/>
    </row>
    <row r="63" spans="1:23" ht="16.5" customHeight="1">
      <c r="A63" s="32"/>
      <c r="B63" s="554"/>
      <c r="C63" s="557"/>
      <c r="D63" s="143"/>
      <c r="E63" s="144"/>
      <c r="F63" s="834"/>
      <c r="G63" s="1067"/>
      <c r="H63" s="1067"/>
      <c r="I63" s="1067"/>
      <c r="M63" s="145"/>
      <c r="N63" s="140"/>
      <c r="O63" s="140"/>
      <c r="P63" s="784"/>
      <c r="Q63" s="784"/>
      <c r="R63" s="784"/>
      <c r="S63" s="784"/>
      <c r="W63" s="740"/>
    </row>
    <row r="64" spans="1:23" ht="16.5" customHeight="1">
      <c r="A64" s="32"/>
      <c r="B64" s="554"/>
      <c r="C64" s="557"/>
      <c r="D64" s="1068" t="s">
        <v>395</v>
      </c>
      <c r="E64" s="1069" t="s">
        <v>396</v>
      </c>
      <c r="F64" s="1070">
        <v>5176</v>
      </c>
      <c r="G64" s="1071" t="s">
        <v>393</v>
      </c>
      <c r="H64" s="1067"/>
      <c r="I64" s="1067"/>
      <c r="M64" s="145"/>
      <c r="N64" s="140"/>
      <c r="O64" s="140"/>
      <c r="P64" s="784"/>
      <c r="Q64" s="784"/>
      <c r="R64" s="784"/>
      <c r="S64" s="784"/>
      <c r="W64" s="740"/>
    </row>
    <row r="65" spans="1:23" ht="16.5" customHeight="1">
      <c r="A65" s="32"/>
      <c r="B65" s="554"/>
      <c r="C65" s="557"/>
      <c r="D65" s="743"/>
      <c r="E65" s="756"/>
      <c r="F65" s="756"/>
      <c r="G65" s="639"/>
      <c r="H65" s="1067"/>
      <c r="I65" s="1067"/>
      <c r="M65" s="145"/>
      <c r="N65" s="140"/>
      <c r="O65" s="140"/>
      <c r="P65" s="784"/>
      <c r="Q65" s="784"/>
      <c r="R65" s="784"/>
      <c r="S65" s="784"/>
      <c r="W65" s="740"/>
    </row>
    <row r="66" spans="1:23" ht="16.5" customHeight="1" thickBot="1">
      <c r="A66" s="32"/>
      <c r="B66" s="554"/>
      <c r="C66" s="1072" t="s">
        <v>397</v>
      </c>
      <c r="D66" s="1074" t="s">
        <v>398</v>
      </c>
      <c r="E66" s="787"/>
      <c r="F66" s="787"/>
      <c r="G66" s="750"/>
      <c r="I66" s="746"/>
      <c r="J66" s="744"/>
      <c r="L66" s="745"/>
      <c r="M66" s="746"/>
      <c r="N66" s="747"/>
      <c r="O66" s="748"/>
      <c r="P66" s="748"/>
      <c r="Q66" s="748"/>
      <c r="R66" s="748"/>
      <c r="S66" s="748"/>
      <c r="W66" s="740"/>
    </row>
    <row r="67" spans="1:23" ht="16.5" customHeight="1" thickBot="1" thickTop="1">
      <c r="A67" s="32"/>
      <c r="B67" s="554"/>
      <c r="C67" s="557"/>
      <c r="D67" s="639"/>
      <c r="E67" s="787"/>
      <c r="F67" s="787"/>
      <c r="G67" s="750"/>
      <c r="H67" s="176"/>
      <c r="I67" s="567" t="s">
        <v>44</v>
      </c>
      <c r="J67" s="803">
        <f>+G62+O61+F64</f>
        <v>1320457.6</v>
      </c>
      <c r="L67" s="752"/>
      <c r="M67" s="176"/>
      <c r="N67" s="753"/>
      <c r="O67" s="784"/>
      <c r="P67" s="784"/>
      <c r="Q67" s="784"/>
      <c r="R67" s="784"/>
      <c r="S67" s="784"/>
      <c r="W67" s="740"/>
    </row>
    <row r="68" spans="1:23" ht="16.5" customHeight="1" thickTop="1">
      <c r="A68" s="32"/>
      <c r="B68" s="554"/>
      <c r="C68" s="557"/>
      <c r="D68" s="542"/>
      <c r="E68" s="562"/>
      <c r="F68" s="639"/>
      <c r="G68" s="639"/>
      <c r="H68" s="640"/>
      <c r="J68" s="639"/>
      <c r="L68" s="758"/>
      <c r="M68" s="747"/>
      <c r="N68" s="747"/>
      <c r="O68" s="748"/>
      <c r="P68" s="748"/>
      <c r="Q68" s="748"/>
      <c r="R68" s="748"/>
      <c r="S68" s="748"/>
      <c r="W68" s="740"/>
    </row>
    <row r="69" spans="2:23" ht="16.5" customHeight="1">
      <c r="B69" s="554"/>
      <c r="C69" s="741" t="s">
        <v>113</v>
      </c>
      <c r="D69" s="759" t="s">
        <v>114</v>
      </c>
      <c r="E69" s="639"/>
      <c r="F69" s="760"/>
      <c r="G69" s="638"/>
      <c r="H69" s="542"/>
      <c r="I69" s="542"/>
      <c r="J69" s="542"/>
      <c r="K69" s="639"/>
      <c r="L69" s="639"/>
      <c r="M69" s="542"/>
      <c r="N69" s="639"/>
      <c r="O69" s="542"/>
      <c r="P69" s="542"/>
      <c r="Q69" s="542"/>
      <c r="R69" s="542"/>
      <c r="S69" s="542"/>
      <c r="T69" s="542"/>
      <c r="U69" s="542"/>
      <c r="W69" s="740"/>
    </row>
    <row r="70" spans="2:23" s="32" customFormat="1" ht="16.5" customHeight="1">
      <c r="B70" s="554"/>
      <c r="C70" s="557"/>
      <c r="D70" s="743" t="s">
        <v>115</v>
      </c>
      <c r="E70" s="761">
        <f>10*J52*J25/J67</f>
        <v>1880.4763088834352</v>
      </c>
      <c r="G70" s="638"/>
      <c r="L70" s="639"/>
      <c r="N70" s="639"/>
      <c r="O70" s="640"/>
      <c r="V70"/>
      <c r="W70" s="740"/>
    </row>
    <row r="71" spans="2:23" s="32" customFormat="1" ht="12.75" customHeight="1">
      <c r="B71" s="554"/>
      <c r="C71" s="557"/>
      <c r="E71" s="762"/>
      <c r="F71" s="566"/>
      <c r="G71" s="638"/>
      <c r="J71" s="638"/>
      <c r="K71" s="653"/>
      <c r="L71" s="639"/>
      <c r="M71" s="639"/>
      <c r="N71" s="639"/>
      <c r="O71" s="640"/>
      <c r="P71" s="639"/>
      <c r="Q71" s="639"/>
      <c r="R71" s="652"/>
      <c r="S71" s="652"/>
      <c r="T71" s="652"/>
      <c r="U71" s="763"/>
      <c r="V71"/>
      <c r="W71" s="740"/>
    </row>
    <row r="72" spans="2:23" ht="16.5" customHeight="1">
      <c r="B72" s="554"/>
      <c r="C72" s="557"/>
      <c r="D72" s="764" t="s">
        <v>146</v>
      </c>
      <c r="E72" s="765"/>
      <c r="F72" s="566"/>
      <c r="G72" s="638"/>
      <c r="H72" s="542"/>
      <c r="I72" s="542"/>
      <c r="N72" s="639"/>
      <c r="O72" s="640"/>
      <c r="P72" s="639"/>
      <c r="Q72" s="639"/>
      <c r="R72" s="746"/>
      <c r="S72" s="746"/>
      <c r="T72" s="746"/>
      <c r="U72" s="747"/>
      <c r="W72" s="740"/>
    </row>
    <row r="73" spans="2:23" ht="13.5" customHeight="1" thickBot="1">
      <c r="B73" s="554"/>
      <c r="C73" s="557"/>
      <c r="D73" s="764"/>
      <c r="E73" s="765"/>
      <c r="F73" s="566"/>
      <c r="G73" s="638"/>
      <c r="H73" s="542"/>
      <c r="I73" s="542"/>
      <c r="N73" s="639"/>
      <c r="O73" s="640"/>
      <c r="P73" s="639"/>
      <c r="Q73" s="639"/>
      <c r="R73" s="746"/>
      <c r="S73" s="746"/>
      <c r="T73" s="746"/>
      <c r="U73" s="747"/>
      <c r="W73" s="740"/>
    </row>
    <row r="74" spans="2:23" s="766" customFormat="1" ht="21" thickBot="1" thickTop="1">
      <c r="B74" s="767"/>
      <c r="C74" s="768"/>
      <c r="D74" s="769"/>
      <c r="E74" s="770"/>
      <c r="F74" s="771"/>
      <c r="G74" s="772"/>
      <c r="I74" s="773" t="s">
        <v>116</v>
      </c>
      <c r="J74" s="774">
        <f>IF(E70&gt;3*J25,J25*3,E70)</f>
        <v>1880.4763088834352</v>
      </c>
      <c r="M74" s="775"/>
      <c r="N74" s="775"/>
      <c r="O74" s="776"/>
      <c r="P74" s="775"/>
      <c r="Q74" s="775"/>
      <c r="R74" s="777"/>
      <c r="S74" s="777"/>
      <c r="T74" s="777"/>
      <c r="U74" s="778"/>
      <c r="V74"/>
      <c r="W74" s="779"/>
    </row>
    <row r="75" spans="2:23" ht="16.5" customHeight="1" thickBot="1" thickTop="1">
      <c r="B75" s="57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200"/>
      <c r="W75" s="780"/>
    </row>
    <row r="76" spans="2:23" ht="16.5" customHeight="1" thickTop="1">
      <c r="B76" s="1"/>
      <c r="C76" s="73"/>
      <c r="W76" s="1"/>
    </row>
  </sheetData>
  <sheetProtection password="CC12"/>
  <mergeCells count="27">
    <mergeCell ref="O57:U57"/>
    <mergeCell ref="E50:F50"/>
    <mergeCell ref="N36:O36"/>
    <mergeCell ref="E36:F36"/>
    <mergeCell ref="E37:F37"/>
    <mergeCell ref="E38:F38"/>
    <mergeCell ref="E39:F39"/>
    <mergeCell ref="E40:F40"/>
    <mergeCell ref="E41:F41"/>
    <mergeCell ref="E42:F42"/>
    <mergeCell ref="O60:U60"/>
    <mergeCell ref="O61:U61"/>
    <mergeCell ref="O58:U58"/>
    <mergeCell ref="O59:U59"/>
    <mergeCell ref="G61:I61"/>
    <mergeCell ref="G62:I62"/>
    <mergeCell ref="G57:I57"/>
    <mergeCell ref="G58:I58"/>
    <mergeCell ref="G59:I59"/>
    <mergeCell ref="G60:I60"/>
    <mergeCell ref="E47:F47"/>
    <mergeCell ref="E48:F48"/>
    <mergeCell ref="E49:F49"/>
    <mergeCell ref="E43:F43"/>
    <mergeCell ref="E44:F44"/>
    <mergeCell ref="E45:F45"/>
    <mergeCell ref="E46:F46"/>
  </mergeCells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39" r:id="rId2"/>
  <headerFooter alignWithMargins="0">
    <oddFooter>&amp;L&amp;"Times New Roman,Normal"&amp;5&amp;F  - TRANSPORTE de ENERGÍA ELÉCTRICA - PJL - JI -JM - &amp;P/&amp;N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211">
    <pageSetUpPr fitToPage="1"/>
  </sheetPr>
  <dimension ref="A1:AD64"/>
  <sheetViews>
    <sheetView zoomScale="50" zoomScaleNormal="50" workbookViewId="0" topLeftCell="A1">
      <selection activeCell="L59" sqref="L59"/>
    </sheetView>
  </sheetViews>
  <sheetFormatPr defaultColWidth="11.421875" defaultRowHeight="12.75"/>
  <cols>
    <col min="1" max="1" width="33.7109375" style="0" customWidth="1"/>
    <col min="2" max="2" width="25.7109375" style="0" customWidth="1"/>
    <col min="3" max="3" width="4.7109375" style="0" customWidth="1"/>
    <col min="4" max="4" width="32.28125" style="0" customWidth="1"/>
    <col min="5" max="5" width="24.140625" style="0" customWidth="1"/>
    <col min="6" max="6" width="16.57421875" style="0" customWidth="1"/>
    <col min="7" max="7" width="14.7109375" style="0" customWidth="1"/>
    <col min="8" max="8" width="13.8515625" style="0" hidden="1" customWidth="1"/>
    <col min="9" max="11" width="18.7109375" style="0" customWidth="1"/>
    <col min="12" max="13" width="10.7109375" style="0" customWidth="1"/>
    <col min="14" max="14" width="9.7109375" style="0" customWidth="1"/>
    <col min="15" max="15" width="10.57421875" style="0" customWidth="1"/>
    <col min="16" max="16" width="10.421875" style="0" hidden="1" customWidth="1"/>
    <col min="17" max="17" width="13.140625" style="0" hidden="1" customWidth="1"/>
    <col min="18" max="18" width="17.140625" style="0" hidden="1" customWidth="1"/>
    <col min="19" max="19" width="16.00390625" style="0" hidden="1" customWidth="1"/>
    <col min="20" max="20" width="12.28125" style="0" hidden="1" customWidth="1"/>
    <col min="21" max="21" width="14.8515625" style="0" customWidth="1"/>
    <col min="22" max="22" width="20.7109375" style="0" customWidth="1"/>
    <col min="23" max="23" width="25.7109375" style="0" customWidth="1"/>
    <col min="24" max="24" width="17.7109375" style="0" customWidth="1"/>
    <col min="25" max="25" width="12.8515625" style="0" customWidth="1"/>
    <col min="26" max="26" width="14.28125" style="0" customWidth="1"/>
    <col min="27" max="27" width="24.28125" style="0" customWidth="1"/>
    <col min="28" max="28" width="9.7109375" style="0" customWidth="1"/>
    <col min="29" max="29" width="17.28125" style="0" customWidth="1"/>
    <col min="30" max="30" width="25.7109375" style="0" customWidth="1"/>
    <col min="31" max="31" width="4.140625" style="0" customWidth="1"/>
    <col min="32" max="32" width="7.140625" style="0" customWidth="1"/>
    <col min="33" max="33" width="5.28125" style="0" customWidth="1"/>
    <col min="34" max="34" width="5.421875" style="0" customWidth="1"/>
    <col min="35" max="35" width="4.7109375" style="0" customWidth="1"/>
    <col min="36" max="36" width="5.28125" style="0" customWidth="1"/>
    <col min="37" max="38" width="13.28125" style="0" customWidth="1"/>
    <col min="39" max="39" width="6.57421875" style="0" customWidth="1"/>
    <col min="40" max="40" width="6.421875" style="0" customWidth="1"/>
    <col min="45" max="45" width="12.7109375" style="0" customWidth="1"/>
    <col min="49" max="49" width="21.00390625" style="0" customWidth="1"/>
  </cols>
  <sheetData>
    <row r="1" spans="1:30" ht="13.5">
      <c r="A1" s="90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146"/>
      <c r="AD1" s="789"/>
    </row>
    <row r="2" spans="1:23" ht="27" customHeight="1">
      <c r="A2" s="90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30" s="551" customFormat="1" ht="30.75">
      <c r="A3" s="548"/>
      <c r="B3" s="549" t="str">
        <f>+'TOT-1108'!B2</f>
        <v>ANEXO VI al Memoràndum D.T.E.E. N°  366 / 2010          </v>
      </c>
      <c r="C3" s="550"/>
      <c r="D3" s="550"/>
      <c r="E3" s="550"/>
      <c r="F3" s="550"/>
      <c r="G3" s="550"/>
      <c r="H3" s="550"/>
      <c r="I3" s="550"/>
      <c r="J3" s="550"/>
      <c r="K3" s="550"/>
      <c r="L3" s="550"/>
      <c r="M3" s="550"/>
      <c r="N3" s="550"/>
      <c r="O3" s="550"/>
      <c r="P3" s="550"/>
      <c r="Q3" s="550"/>
      <c r="R3" s="550"/>
      <c r="S3" s="550"/>
      <c r="T3" s="550"/>
      <c r="U3" s="550"/>
      <c r="V3" s="550"/>
      <c r="W3" s="550"/>
      <c r="AB3" s="550"/>
      <c r="AC3" s="550"/>
      <c r="AD3" s="550"/>
    </row>
    <row r="4" spans="1:2" s="25" customFormat="1" ht="11.25">
      <c r="A4" s="781" t="s">
        <v>2</v>
      </c>
      <c r="B4" s="782"/>
    </row>
    <row r="5" spans="1:2" s="25" customFormat="1" ht="12" thickBot="1">
      <c r="A5" s="781" t="s">
        <v>3</v>
      </c>
      <c r="B5" s="781"/>
    </row>
    <row r="6" spans="1:23" ht="16.5" customHeight="1" thickTop="1">
      <c r="A6" s="5"/>
      <c r="B6" s="69"/>
      <c r="C6" s="70"/>
      <c r="D6" s="70"/>
      <c r="E6" s="201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94"/>
    </row>
    <row r="7" spans="1:23" ht="20.25">
      <c r="A7" s="5"/>
      <c r="B7" s="50"/>
      <c r="C7" s="4"/>
      <c r="D7" s="178" t="s">
        <v>99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77"/>
      <c r="Q7" s="77"/>
      <c r="R7" s="4"/>
      <c r="S7" s="4"/>
      <c r="T7" s="4"/>
      <c r="U7" s="4"/>
      <c r="V7" s="4"/>
      <c r="W7" s="17"/>
    </row>
    <row r="8" spans="1:23" ht="16.5" customHeight="1">
      <c r="A8" s="5"/>
      <c r="B8" s="50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17"/>
    </row>
    <row r="9" spans="2:23" s="36" customFormat="1" ht="20.25">
      <c r="B9" s="44"/>
      <c r="C9" s="43"/>
      <c r="D9" s="178" t="s">
        <v>100</v>
      </c>
      <c r="E9" s="43"/>
      <c r="F9" s="43"/>
      <c r="G9" s="43"/>
      <c r="H9" s="43"/>
      <c r="N9" s="43"/>
      <c r="O9" s="43"/>
      <c r="P9" s="202"/>
      <c r="Q9" s="202"/>
      <c r="R9" s="43"/>
      <c r="S9" s="43"/>
      <c r="T9" s="43"/>
      <c r="U9" s="43"/>
      <c r="V9" s="43"/>
      <c r="W9" s="203"/>
    </row>
    <row r="10" spans="1:23" ht="16.5" customHeight="1">
      <c r="A10" s="5"/>
      <c r="B10" s="50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17"/>
    </row>
    <row r="11" spans="2:23" s="36" customFormat="1" ht="20.25">
      <c r="B11" s="44"/>
      <c r="C11" s="43"/>
      <c r="D11" s="178" t="s">
        <v>147</v>
      </c>
      <c r="E11" s="43"/>
      <c r="F11" s="43"/>
      <c r="G11" s="43"/>
      <c r="H11" s="43"/>
      <c r="N11" s="43"/>
      <c r="O11" s="43"/>
      <c r="P11" s="202"/>
      <c r="Q11" s="202"/>
      <c r="R11" s="43"/>
      <c r="S11" s="43"/>
      <c r="T11" s="43"/>
      <c r="U11" s="43"/>
      <c r="V11" s="43"/>
      <c r="W11" s="203"/>
    </row>
    <row r="12" spans="1:23" ht="16.5" customHeight="1">
      <c r="A12" s="5"/>
      <c r="B12" s="50"/>
      <c r="C12" s="4"/>
      <c r="D12" s="4"/>
      <c r="E12" s="5"/>
      <c r="F12" s="5"/>
      <c r="G12" s="5"/>
      <c r="H12" s="5"/>
      <c r="I12" s="72"/>
      <c r="J12" s="72"/>
      <c r="K12" s="72"/>
      <c r="L12" s="72"/>
      <c r="M12" s="72"/>
      <c r="N12" s="72"/>
      <c r="O12" s="72"/>
      <c r="P12" s="72"/>
      <c r="Q12" s="72"/>
      <c r="R12" s="4"/>
      <c r="S12" s="4"/>
      <c r="T12" s="4"/>
      <c r="U12" s="4"/>
      <c r="V12" s="4"/>
      <c r="W12" s="17"/>
    </row>
    <row r="13" spans="2:23" s="36" customFormat="1" ht="19.5">
      <c r="B13" s="37" t="str">
        <f>'TOT-1108'!B14</f>
        <v>Desde el 01 al 30 de noviembre de 2008</v>
      </c>
      <c r="C13" s="38"/>
      <c r="D13" s="40"/>
      <c r="E13" s="40"/>
      <c r="F13" s="40"/>
      <c r="G13" s="40"/>
      <c r="H13" s="40"/>
      <c r="I13" s="41"/>
      <c r="J13" s="176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127"/>
      <c r="V13" s="127"/>
      <c r="W13" s="42"/>
    </row>
    <row r="14" spans="1:23" ht="16.5" customHeight="1">
      <c r="A14" s="5"/>
      <c r="B14" s="50"/>
      <c r="C14" s="4"/>
      <c r="D14" s="4"/>
      <c r="E14" s="66"/>
      <c r="F14" s="66"/>
      <c r="G14" s="4"/>
      <c r="H14" s="4"/>
      <c r="I14" s="4"/>
      <c r="J14" s="553"/>
      <c r="K14" s="4"/>
      <c r="L14" s="4"/>
      <c r="M14" s="4"/>
      <c r="N14" s="5"/>
      <c r="O14" s="5"/>
      <c r="P14" s="4"/>
      <c r="Q14" s="4"/>
      <c r="R14" s="4"/>
      <c r="S14" s="4"/>
      <c r="T14" s="4"/>
      <c r="U14" s="4"/>
      <c r="V14" s="4"/>
      <c r="W14" s="17"/>
    </row>
    <row r="15" spans="1:23" ht="16.5" customHeight="1">
      <c r="A15" s="5"/>
      <c r="B15" s="50"/>
      <c r="C15" s="4"/>
      <c r="D15" s="4"/>
      <c r="E15" s="66"/>
      <c r="F15" s="66"/>
      <c r="G15" s="4"/>
      <c r="H15" s="4"/>
      <c r="I15" s="141"/>
      <c r="J15" s="4"/>
      <c r="K15" s="1"/>
      <c r="M15" s="4"/>
      <c r="N15" s="5"/>
      <c r="O15" s="5"/>
      <c r="P15" s="4"/>
      <c r="Q15" s="4"/>
      <c r="R15" s="4"/>
      <c r="S15" s="4"/>
      <c r="T15" s="4"/>
      <c r="U15" s="4"/>
      <c r="V15" s="4"/>
      <c r="W15" s="17"/>
    </row>
    <row r="16" spans="1:23" ht="16.5" customHeight="1">
      <c r="A16" s="5"/>
      <c r="B16" s="50"/>
      <c r="C16" s="4"/>
      <c r="D16" s="4"/>
      <c r="E16" s="66"/>
      <c r="F16" s="66"/>
      <c r="G16" s="4"/>
      <c r="H16" s="4"/>
      <c r="I16" s="141"/>
      <c r="J16" s="4"/>
      <c r="K16" s="1"/>
      <c r="M16" s="4"/>
      <c r="N16" s="5"/>
      <c r="O16" s="5"/>
      <c r="P16" s="4"/>
      <c r="Q16" s="4"/>
      <c r="R16" s="4"/>
      <c r="S16" s="4"/>
      <c r="T16" s="4"/>
      <c r="U16" s="4"/>
      <c r="V16" s="4"/>
      <c r="W16" s="17"/>
    </row>
    <row r="17" spans="1:23" ht="16.5" customHeight="1" thickBot="1">
      <c r="A17" s="5"/>
      <c r="B17" s="50"/>
      <c r="C17" s="166" t="s">
        <v>101</v>
      </c>
      <c r="D17" s="54" t="s">
        <v>102</v>
      </c>
      <c r="E17" s="66"/>
      <c r="F17" s="66"/>
      <c r="G17" s="4"/>
      <c r="H17" s="4"/>
      <c r="I17" s="4"/>
      <c r="J17" s="553"/>
      <c r="K17" s="4"/>
      <c r="L17" s="4"/>
      <c r="M17" s="4"/>
      <c r="N17" s="5"/>
      <c r="O17" s="5"/>
      <c r="P17" s="4"/>
      <c r="Q17" s="4"/>
      <c r="R17" s="4"/>
      <c r="S17" s="4"/>
      <c r="T17" s="4"/>
      <c r="U17" s="4"/>
      <c r="V17" s="4"/>
      <c r="W17" s="17"/>
    </row>
    <row r="18" spans="2:23" s="32" customFormat="1" ht="16.5" customHeight="1" thickBot="1">
      <c r="B18" s="554"/>
      <c r="C18" s="33"/>
      <c r="D18" s="555"/>
      <c r="E18" s="556"/>
      <c r="F18" s="557"/>
      <c r="G18" s="33"/>
      <c r="H18" s="33"/>
      <c r="I18" s="33"/>
      <c r="J18" s="558"/>
      <c r="K18" s="33"/>
      <c r="L18" s="33"/>
      <c r="M18" s="33"/>
      <c r="N18" s="790" t="s">
        <v>37</v>
      </c>
      <c r="P18" s="33"/>
      <c r="Q18" s="33"/>
      <c r="R18" s="33"/>
      <c r="S18" s="33"/>
      <c r="T18" s="33"/>
      <c r="U18" s="33"/>
      <c r="V18" s="33"/>
      <c r="W18" s="559"/>
    </row>
    <row r="19" spans="2:23" s="32" customFormat="1" ht="16.5" customHeight="1">
      <c r="B19" s="554"/>
      <c r="C19" s="33"/>
      <c r="E19" s="563" t="s">
        <v>40</v>
      </c>
      <c r="F19" s="564">
        <v>0.025</v>
      </c>
      <c r="G19" s="561"/>
      <c r="H19" s="33"/>
      <c r="I19" s="214" t="s">
        <v>148</v>
      </c>
      <c r="J19" s="215"/>
      <c r="K19" s="791" t="s">
        <v>136</v>
      </c>
      <c r="L19" s="792"/>
      <c r="M19" s="793">
        <v>63.904</v>
      </c>
      <c r="N19" s="794">
        <v>200</v>
      </c>
      <c r="R19" s="33"/>
      <c r="S19" s="33"/>
      <c r="T19" s="33"/>
      <c r="U19" s="33"/>
      <c r="V19" s="33"/>
      <c r="W19" s="559"/>
    </row>
    <row r="20" spans="2:23" s="32" customFormat="1" ht="16.5" customHeight="1">
      <c r="B20" s="554"/>
      <c r="C20" s="33"/>
      <c r="E20" s="555" t="s">
        <v>38</v>
      </c>
      <c r="F20" s="33">
        <f>MID(B13,16,2)*24</f>
        <v>720</v>
      </c>
      <c r="G20" s="33" t="s">
        <v>39</v>
      </c>
      <c r="H20" s="33"/>
      <c r="I20" s="33"/>
      <c r="J20" s="33"/>
      <c r="K20" s="795" t="s">
        <v>89</v>
      </c>
      <c r="L20" s="796"/>
      <c r="M20" s="797">
        <v>57.511</v>
      </c>
      <c r="N20" s="798">
        <v>100</v>
      </c>
      <c r="O20" s="33"/>
      <c r="P20" s="783"/>
      <c r="Q20" s="33"/>
      <c r="R20" s="33"/>
      <c r="S20" s="33"/>
      <c r="T20" s="33"/>
      <c r="U20" s="33"/>
      <c r="V20" s="33"/>
      <c r="W20" s="559"/>
    </row>
    <row r="21" spans="2:23" s="32" customFormat="1" ht="16.5" customHeight="1" thickBot="1">
      <c r="B21" s="554"/>
      <c r="C21" s="33"/>
      <c r="E21" s="555" t="s">
        <v>41</v>
      </c>
      <c r="F21" s="33">
        <v>0.319</v>
      </c>
      <c r="G21" s="32" t="s">
        <v>119</v>
      </c>
      <c r="H21" s="33"/>
      <c r="I21" s="33"/>
      <c r="J21" s="33"/>
      <c r="K21" s="799" t="s">
        <v>137</v>
      </c>
      <c r="L21" s="800"/>
      <c r="M21" s="801">
        <v>51.126</v>
      </c>
      <c r="N21" s="802">
        <v>40</v>
      </c>
      <c r="O21" s="33"/>
      <c r="P21" s="783"/>
      <c r="Q21" s="33"/>
      <c r="R21" s="33"/>
      <c r="S21" s="33"/>
      <c r="T21" s="33"/>
      <c r="U21" s="33"/>
      <c r="V21" s="33"/>
      <c r="W21" s="559"/>
    </row>
    <row r="22" spans="2:23" s="32" customFormat="1" ht="16.5" customHeight="1">
      <c r="B22" s="554"/>
      <c r="C22" s="33"/>
      <c r="D22" s="33"/>
      <c r="E22" s="566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559"/>
    </row>
    <row r="23" spans="1:23" ht="16.5" customHeight="1">
      <c r="A23" s="5"/>
      <c r="B23" s="50"/>
      <c r="C23" s="166" t="s">
        <v>105</v>
      </c>
      <c r="D23" s="3" t="s">
        <v>153</v>
      </c>
      <c r="I23" s="4"/>
      <c r="J23" s="32"/>
      <c r="O23" s="4"/>
      <c r="P23" s="4"/>
      <c r="Q23" s="4"/>
      <c r="R23" s="4"/>
      <c r="S23" s="4"/>
      <c r="T23" s="4"/>
      <c r="V23" s="4"/>
      <c r="W23" s="17"/>
    </row>
    <row r="24" spans="1:23" ht="10.5" customHeight="1" thickBot="1">
      <c r="A24" s="5"/>
      <c r="B24" s="50"/>
      <c r="C24" s="66"/>
      <c r="D24" s="3"/>
      <c r="I24" s="4"/>
      <c r="J24" s="32"/>
      <c r="O24" s="4"/>
      <c r="P24" s="4"/>
      <c r="Q24" s="4"/>
      <c r="R24" s="4"/>
      <c r="S24" s="4"/>
      <c r="T24" s="4"/>
      <c r="V24" s="4"/>
      <c r="W24" s="17"/>
    </row>
    <row r="25" spans="2:23" s="32" customFormat="1" ht="16.5" customHeight="1" thickBot="1" thickTop="1">
      <c r="B25" s="554"/>
      <c r="C25" s="557"/>
      <c r="D25"/>
      <c r="E25"/>
      <c r="F25"/>
      <c r="G25"/>
      <c r="H25"/>
      <c r="I25" s="567" t="s">
        <v>45</v>
      </c>
      <c r="J25" s="803">
        <f>+J55*F19</f>
        <v>3703.7610000000004</v>
      </c>
      <c r="L25"/>
      <c r="S25"/>
      <c r="T25"/>
      <c r="U25"/>
      <c r="W25" s="559"/>
    </row>
    <row r="26" spans="2:23" s="32" customFormat="1" ht="11.25" customHeight="1" thickTop="1">
      <c r="B26" s="554"/>
      <c r="C26" s="557"/>
      <c r="D26" s="33"/>
      <c r="E26" s="566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/>
      <c r="W26" s="559"/>
    </row>
    <row r="27" spans="1:23" ht="16.5" customHeight="1">
      <c r="A27" s="5"/>
      <c r="B27" s="50"/>
      <c r="C27" s="166" t="s">
        <v>106</v>
      </c>
      <c r="D27" s="3" t="s">
        <v>154</v>
      </c>
      <c r="E27" s="217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17"/>
    </row>
    <row r="28" spans="1:23" ht="13.5" customHeight="1" thickBot="1">
      <c r="A28" s="32"/>
      <c r="B28" s="50"/>
      <c r="C28" s="557"/>
      <c r="D28" s="557"/>
      <c r="E28" s="637"/>
      <c r="F28" s="566"/>
      <c r="G28" s="638"/>
      <c r="H28" s="638"/>
      <c r="I28" s="639"/>
      <c r="J28" s="639"/>
      <c r="K28" s="639"/>
      <c r="L28" s="639"/>
      <c r="M28" s="639"/>
      <c r="N28" s="639"/>
      <c r="O28" s="640"/>
      <c r="P28" s="639"/>
      <c r="Q28" s="639"/>
      <c r="R28" s="804"/>
      <c r="S28" s="805"/>
      <c r="T28" s="806"/>
      <c r="U28" s="806"/>
      <c r="V28" s="806"/>
      <c r="W28" s="242"/>
    </row>
    <row r="29" spans="1:26" s="5" customFormat="1" ht="33.75" customHeight="1" thickBot="1" thickTop="1">
      <c r="A29" s="90"/>
      <c r="B29" s="95"/>
      <c r="C29" s="124" t="s">
        <v>13</v>
      </c>
      <c r="D29" s="120" t="s">
        <v>27</v>
      </c>
      <c r="E29" s="119" t="s">
        <v>28</v>
      </c>
      <c r="F29" s="121" t="s">
        <v>29</v>
      </c>
      <c r="G29" s="122" t="s">
        <v>14</v>
      </c>
      <c r="H29" s="130" t="s">
        <v>16</v>
      </c>
      <c r="I29" s="119" t="s">
        <v>17</v>
      </c>
      <c r="J29" s="119" t="s">
        <v>18</v>
      </c>
      <c r="K29" s="120" t="s">
        <v>30</v>
      </c>
      <c r="L29" s="120" t="s">
        <v>31</v>
      </c>
      <c r="M29" s="88" t="s">
        <v>109</v>
      </c>
      <c r="N29" s="119" t="s">
        <v>32</v>
      </c>
      <c r="O29" s="655" t="s">
        <v>33</v>
      </c>
      <c r="P29" s="130" t="s">
        <v>34</v>
      </c>
      <c r="Q29" s="657" t="s">
        <v>20</v>
      </c>
      <c r="R29" s="658" t="s">
        <v>110</v>
      </c>
      <c r="S29" s="659"/>
      <c r="T29" s="660" t="s">
        <v>22</v>
      </c>
      <c r="U29" s="133" t="s">
        <v>80</v>
      </c>
      <c r="V29" s="122" t="s">
        <v>24</v>
      </c>
      <c r="W29" s="17"/>
      <c r="Y29"/>
      <c r="Z29"/>
    </row>
    <row r="30" spans="1:23" ht="16.5" customHeight="1" thickTop="1">
      <c r="A30" s="5"/>
      <c r="B30" s="50"/>
      <c r="C30" s="10"/>
      <c r="D30" s="10"/>
      <c r="E30" s="10"/>
      <c r="F30" s="10"/>
      <c r="G30" s="664"/>
      <c r="H30" s="665"/>
      <c r="I30" s="10"/>
      <c r="J30" s="10"/>
      <c r="K30" s="10"/>
      <c r="L30" s="10"/>
      <c r="M30" s="10"/>
      <c r="N30" s="667"/>
      <c r="O30" s="807"/>
      <c r="P30" s="134"/>
      <c r="Q30" s="670"/>
      <c r="R30" s="671"/>
      <c r="S30" s="672"/>
      <c r="T30" s="673"/>
      <c r="U30" s="667"/>
      <c r="V30" s="677"/>
      <c r="W30" s="17"/>
    </row>
    <row r="31" spans="1:23" ht="16.5" customHeight="1">
      <c r="A31" s="5"/>
      <c r="B31" s="50"/>
      <c r="C31" s="920" t="s">
        <v>231</v>
      </c>
      <c r="D31" s="678" t="s">
        <v>362</v>
      </c>
      <c r="E31" s="679" t="s">
        <v>363</v>
      </c>
      <c r="F31" s="680">
        <v>300</v>
      </c>
      <c r="G31" s="681" t="s">
        <v>150</v>
      </c>
      <c r="H31" s="682">
        <f>F31*$F$21</f>
        <v>95.7</v>
      </c>
      <c r="I31" s="684">
        <v>39753.21875</v>
      </c>
      <c r="J31" s="684">
        <v>39753.48819444444</v>
      </c>
      <c r="K31" s="307">
        <f>IF(D31="","",(J31-I31)*24)</f>
        <v>6.46666666661622</v>
      </c>
      <c r="L31" s="14">
        <f>IF(D31="","",(J31-I31)*24*60)</f>
        <v>387.9999999969732</v>
      </c>
      <c r="M31" s="13" t="s">
        <v>251</v>
      </c>
      <c r="N31" s="8" t="str">
        <f>IF(D31="","",IF(OR(M31="P",M31="RP"),"--","NO"))</f>
        <v>--</v>
      </c>
      <c r="O31" s="808" t="str">
        <f>IF(D31="","","NO")</f>
        <v>NO</v>
      </c>
      <c r="P31" s="687">
        <f>200*IF(O31="SI",1,0.1)*IF(M31="P",0.1,1)</f>
        <v>2</v>
      </c>
      <c r="Q31" s="688">
        <f>IF(M31="P",H31*P31*ROUND(L31/60,2),"--")</f>
        <v>1238.358</v>
      </c>
      <c r="R31" s="689" t="str">
        <f>IF(AND(M31="F",N31="NO"),H31*P31,"--")</f>
        <v>--</v>
      </c>
      <c r="S31" s="690" t="str">
        <f>IF(M31="F",H31*P31*ROUND(L31/60,2),"--")</f>
        <v>--</v>
      </c>
      <c r="T31" s="410" t="str">
        <f>IF(M31="RF",H31*P31*ROUND(L31/60,2),"--")</f>
        <v>--</v>
      </c>
      <c r="U31" s="317" t="str">
        <f>IF(D31="","","SI")</f>
        <v>SI</v>
      </c>
      <c r="V31" s="318">
        <f>IF(D31="","",SUM(Q31:T31)*IF(U31="SI",1,2))</f>
        <v>1238.358</v>
      </c>
      <c r="W31" s="242"/>
    </row>
    <row r="32" spans="1:23" ht="16.5" customHeight="1">
      <c r="A32" s="5"/>
      <c r="B32" s="50"/>
      <c r="C32" s="920" t="s">
        <v>232</v>
      </c>
      <c r="D32" s="678" t="s">
        <v>362</v>
      </c>
      <c r="E32" s="679" t="s">
        <v>363</v>
      </c>
      <c r="F32" s="680">
        <v>300</v>
      </c>
      <c r="G32" s="681" t="s">
        <v>150</v>
      </c>
      <c r="H32" s="682">
        <f>F32*$F$21</f>
        <v>95.7</v>
      </c>
      <c r="I32" s="684">
        <v>39754.22152777778</v>
      </c>
      <c r="J32" s="684">
        <v>39754.49791666667</v>
      </c>
      <c r="K32" s="307">
        <f>IF(D32="","",(J32-I32)*24)</f>
        <v>6.633333333302289</v>
      </c>
      <c r="L32" s="14">
        <f>IF(D32="","",(J32-I32)*24*60)</f>
        <v>397.99999999813735</v>
      </c>
      <c r="M32" s="13" t="s">
        <v>251</v>
      </c>
      <c r="N32" s="8" t="str">
        <f>IF(D32="","",IF(OR(M32="P",M32="RP"),"--","NO"))</f>
        <v>--</v>
      </c>
      <c r="O32" s="808" t="str">
        <f>IF(D32="","","NO")</f>
        <v>NO</v>
      </c>
      <c r="P32" s="687">
        <f>200*IF(O32="SI",1,0.1)*IF(M32="P",0.1,1)</f>
        <v>2</v>
      </c>
      <c r="Q32" s="688">
        <f>IF(M32="P",H32*P32*ROUND(L32/60,2),"--")</f>
        <v>1268.982</v>
      </c>
      <c r="R32" s="689" t="str">
        <f>IF(AND(M32="F",N32="NO"),H32*P32,"--")</f>
        <v>--</v>
      </c>
      <c r="S32" s="690" t="str">
        <f>IF(M32="F",H32*P32*ROUND(L32/60,2),"--")</f>
        <v>--</v>
      </c>
      <c r="T32" s="410" t="str">
        <f>IF(M32="RF",H32*P32*ROUND(L32/60,2),"--")</f>
        <v>--</v>
      </c>
      <c r="U32" s="317" t="str">
        <f>IF(D32="","","SI")</f>
        <v>SI</v>
      </c>
      <c r="V32" s="318">
        <f>IF(D32="","",SUM(Q32:T32)*IF(U32="SI",1,2))</f>
        <v>1268.982</v>
      </c>
      <c r="W32" s="242"/>
    </row>
    <row r="33" spans="1:23" ht="16.5" customHeight="1">
      <c r="A33" s="5"/>
      <c r="B33" s="50"/>
      <c r="C33" s="920" t="s">
        <v>233</v>
      </c>
      <c r="D33" s="678"/>
      <c r="E33" s="679"/>
      <c r="F33" s="680"/>
      <c r="G33" s="681"/>
      <c r="H33" s="682">
        <f>F33*$F$21</f>
        <v>0</v>
      </c>
      <c r="I33" s="684"/>
      <c r="J33" s="684"/>
      <c r="K33" s="307">
        <f>IF(D33="","",(J33-I33)*24)</f>
      </c>
      <c r="L33" s="14">
        <f>IF(D33="","",(J33-I33)*24*60)</f>
      </c>
      <c r="M33" s="13"/>
      <c r="N33" s="8">
        <f>IF(D33="","",IF(OR(M33="P",M33="RP"),"--","NO"))</f>
      </c>
      <c r="O33" s="808">
        <f>IF(D33="","","NO")</f>
      </c>
      <c r="P33" s="687">
        <f>200*IF(O33="SI",1,0.1)*IF(M33="P",0.1,1)</f>
        <v>20</v>
      </c>
      <c r="Q33" s="688" t="str">
        <f>IF(M33="P",H33*P33*ROUND(L33/60,2),"--")</f>
        <v>--</v>
      </c>
      <c r="R33" s="689" t="str">
        <f>IF(AND(M33="F",N33="NO"),H33*P33,"--")</f>
        <v>--</v>
      </c>
      <c r="S33" s="690" t="str">
        <f>IF(M33="F",H33*P33*ROUND(L33/60,2),"--")</f>
        <v>--</v>
      </c>
      <c r="T33" s="410" t="str">
        <f>IF(M33="RF",H33*P33*ROUND(L33/60,2),"--")</f>
        <v>--</v>
      </c>
      <c r="U33" s="317">
        <f>IF(D33="","","SI")</f>
      </c>
      <c r="V33" s="318">
        <f>IF(D33="","",SUM(Q33:T33)*IF(U33="SI",1,2))</f>
      </c>
      <c r="W33" s="242"/>
    </row>
    <row r="34" spans="1:23" ht="16.5" customHeight="1">
      <c r="A34" s="5"/>
      <c r="B34" s="50"/>
      <c r="C34" s="920" t="s">
        <v>234</v>
      </c>
      <c r="D34" s="678"/>
      <c r="E34" s="679"/>
      <c r="F34" s="680"/>
      <c r="G34" s="681"/>
      <c r="H34" s="682">
        <f>F34*$F$21</f>
        <v>0</v>
      </c>
      <c r="I34" s="684"/>
      <c r="J34" s="684"/>
      <c r="K34" s="307">
        <f>IF(D34="","",(J34-I34)*24)</f>
      </c>
      <c r="L34" s="14">
        <f>IF(D34="","",(J34-I34)*24*60)</f>
      </c>
      <c r="M34" s="13"/>
      <c r="N34" s="8">
        <f>IF(D34="","",IF(OR(M34="P",M34="RP"),"--","NO"))</f>
      </c>
      <c r="O34" s="808">
        <f>IF(D34="","","NO")</f>
      </c>
      <c r="P34" s="687">
        <f>200*IF(O34="SI",1,0.1)*IF(M34="P",0.1,1)</f>
        <v>20</v>
      </c>
      <c r="Q34" s="688" t="str">
        <f>IF(M34="P",H34*P34*ROUND(L34/60,2),"--")</f>
        <v>--</v>
      </c>
      <c r="R34" s="689" t="str">
        <f>IF(AND(M34="F",N34="NO"),H34*P34,"--")</f>
        <v>--</v>
      </c>
      <c r="S34" s="690" t="str">
        <f>IF(M34="F",H34*P34*ROUND(L34/60,2),"--")</f>
        <v>--</v>
      </c>
      <c r="T34" s="410" t="str">
        <f>IF(M34="RF",H34*P34*ROUND(L34/60,2),"--")</f>
        <v>--</v>
      </c>
      <c r="U34" s="317">
        <f>IF(D34="","","SI")</f>
      </c>
      <c r="V34" s="318">
        <f>IF(D34="","",SUM(Q34:T34)*IF(U34="SI",1,2))</f>
      </c>
      <c r="W34" s="242"/>
    </row>
    <row r="35" spans="1:23" ht="16.5" customHeight="1" thickBot="1">
      <c r="A35" s="32"/>
      <c r="B35" s="50"/>
      <c r="C35" s="694"/>
      <c r="D35" s="695"/>
      <c r="E35" s="696"/>
      <c r="F35" s="697"/>
      <c r="G35" s="698"/>
      <c r="H35" s="699"/>
      <c r="I35" s="701"/>
      <c r="J35" s="702"/>
      <c r="K35" s="703"/>
      <c r="L35" s="704"/>
      <c r="M35" s="705"/>
      <c r="N35" s="9"/>
      <c r="O35" s="809"/>
      <c r="P35" s="708"/>
      <c r="Q35" s="709"/>
      <c r="R35" s="710"/>
      <c r="S35" s="711"/>
      <c r="T35" s="712"/>
      <c r="U35" s="716"/>
      <c r="V35" s="717"/>
      <c r="W35" s="242"/>
    </row>
    <row r="36" spans="1:23" ht="16.5" customHeight="1" thickBot="1" thickTop="1">
      <c r="A36" s="32"/>
      <c r="B36" s="50"/>
      <c r="C36" s="98"/>
      <c r="D36" s="217"/>
      <c r="E36" s="217"/>
      <c r="F36" s="447"/>
      <c r="G36" s="718"/>
      <c r="H36" s="719"/>
      <c r="I36" s="720"/>
      <c r="J36" s="721"/>
      <c r="K36" s="722"/>
      <c r="L36" s="723"/>
      <c r="M36" s="719"/>
      <c r="N36" s="724"/>
      <c r="O36" s="198"/>
      <c r="P36" s="725"/>
      <c r="Q36" s="726"/>
      <c r="R36" s="727"/>
      <c r="S36" s="727"/>
      <c r="T36" s="727"/>
      <c r="U36" s="199"/>
      <c r="V36" s="728">
        <f>SUM(V30:V35)</f>
        <v>2507.34</v>
      </c>
      <c r="W36" s="242"/>
    </row>
    <row r="37" spans="1:23" ht="16.5" customHeight="1" thickBot="1" thickTop="1">
      <c r="A37" s="32"/>
      <c r="B37" s="50"/>
      <c r="C37" s="98"/>
      <c r="D37" s="217"/>
      <c r="E37" s="217"/>
      <c r="F37" s="447"/>
      <c r="G37" s="718"/>
      <c r="H37" s="719"/>
      <c r="I37" s="720"/>
      <c r="L37" s="723"/>
      <c r="M37" s="719"/>
      <c r="N37" s="729"/>
      <c r="O37" s="730"/>
      <c r="P37" s="725"/>
      <c r="Q37" s="726"/>
      <c r="R37" s="727"/>
      <c r="S37" s="727"/>
      <c r="T37" s="727"/>
      <c r="U37" s="199"/>
      <c r="V37" s="199"/>
      <c r="W37" s="242"/>
    </row>
    <row r="38" spans="2:23" s="5" customFormat="1" ht="33.75" customHeight="1" thickBot="1" thickTop="1">
      <c r="B38" s="50"/>
      <c r="C38" s="84" t="s">
        <v>13</v>
      </c>
      <c r="D38" s="86" t="s">
        <v>27</v>
      </c>
      <c r="E38" s="1094" t="s">
        <v>28</v>
      </c>
      <c r="F38" s="1096"/>
      <c r="G38" s="133" t="s">
        <v>14</v>
      </c>
      <c r="H38" s="130" t="s">
        <v>16</v>
      </c>
      <c r="I38" s="85" t="s">
        <v>17</v>
      </c>
      <c r="J38" s="393" t="s">
        <v>18</v>
      </c>
      <c r="K38" s="395" t="s">
        <v>36</v>
      </c>
      <c r="L38" s="395" t="s">
        <v>31</v>
      </c>
      <c r="M38" s="88" t="s">
        <v>19</v>
      </c>
      <c r="N38" s="1094" t="s">
        <v>32</v>
      </c>
      <c r="O38" s="1095"/>
      <c r="P38" s="136" t="s">
        <v>37</v>
      </c>
      <c r="Q38" s="396" t="s">
        <v>71</v>
      </c>
      <c r="R38" s="184" t="s">
        <v>35</v>
      </c>
      <c r="S38" s="397"/>
      <c r="T38" s="135" t="s">
        <v>22</v>
      </c>
      <c r="U38" s="133" t="s">
        <v>80</v>
      </c>
      <c r="V38" s="122" t="s">
        <v>24</v>
      </c>
      <c r="W38" s="6"/>
    </row>
    <row r="39" spans="2:23" s="5" customFormat="1" ht="16.5" customHeight="1" thickTop="1">
      <c r="B39" s="50"/>
      <c r="C39" s="7"/>
      <c r="D39" s="405"/>
      <c r="E39" s="1088"/>
      <c r="F39" s="1089"/>
      <c r="G39" s="405"/>
      <c r="H39" s="406"/>
      <c r="I39" s="405"/>
      <c r="J39" s="405"/>
      <c r="K39" s="405"/>
      <c r="L39" s="405"/>
      <c r="M39" s="405"/>
      <c r="N39" s="405"/>
      <c r="O39" s="810"/>
      <c r="P39" s="407"/>
      <c r="Q39" s="408"/>
      <c r="R39" s="196"/>
      <c r="S39" s="409"/>
      <c r="T39" s="410"/>
      <c r="U39" s="405"/>
      <c r="V39" s="411"/>
      <c r="W39" s="6"/>
    </row>
    <row r="40" spans="2:23" s="5" customFormat="1" ht="16.5" customHeight="1">
      <c r="B40" s="50"/>
      <c r="C40" s="920" t="s">
        <v>231</v>
      </c>
      <c r="D40" s="405"/>
      <c r="E40" s="469"/>
      <c r="F40" s="921"/>
      <c r="G40" s="811"/>
      <c r="H40" s="131">
        <f>IF(G40=500,$M$19,IF(G40=220,$M$20,$M$21))</f>
        <v>51.126</v>
      </c>
      <c r="I40" s="812"/>
      <c r="J40" s="813"/>
      <c r="K40" s="415">
        <f>IF(D40="","",(J40-I40)*24)</f>
      </c>
      <c r="L40" s="416">
        <f>IF(D40="","",ROUND((J40-I40)*24*60,0))</f>
      </c>
      <c r="M40" s="604"/>
      <c r="N40" s="521">
        <f>IF(D40="","",IF(OR(M40="P",M40="RP"),"--","NO"))</f>
      </c>
      <c r="O40" s="476"/>
      <c r="P40" s="814">
        <f>IF(G40=500,$N$19,IF(G40=220,$N$20,$N$21))</f>
        <v>40</v>
      </c>
      <c r="Q40" s="815" t="str">
        <f>IF(M40="P",H40*P40*ROUND(L40/60,2)*0.1,"--")</f>
        <v>--</v>
      </c>
      <c r="R40" s="196" t="str">
        <f>IF(AND(M40="F",N40="NO"),H40*P40,"--")</f>
        <v>--</v>
      </c>
      <c r="S40" s="409" t="str">
        <f>IF(M40="F",H40*P40*ROUND(L40/60,2),"--")</f>
        <v>--</v>
      </c>
      <c r="T40" s="410" t="str">
        <f>IF(M40="RF",H40*P40*ROUND(L40/60,2),"--")</f>
        <v>--</v>
      </c>
      <c r="U40" s="816">
        <f>IF(D40="","","SI")</f>
      </c>
      <c r="V40" s="421">
        <f>IF(D40="","",SUM(Q40:T40)*IF(U40="SI",1,2))</f>
      </c>
      <c r="W40" s="6"/>
    </row>
    <row r="41" spans="2:23" s="5" customFormat="1" ht="16.5" customHeight="1">
      <c r="B41" s="50"/>
      <c r="C41" s="920" t="s">
        <v>232</v>
      </c>
      <c r="D41" s="405"/>
      <c r="E41" s="469"/>
      <c r="F41" s="921"/>
      <c r="G41" s="811"/>
      <c r="H41" s="131">
        <f>IF(G41=500,$M$19,IF(G41=220,$M$20,$M$21))</f>
        <v>51.126</v>
      </c>
      <c r="I41" s="812"/>
      <c r="J41" s="813"/>
      <c r="K41" s="415">
        <f>IF(D41="","",(J41-I41)*24)</f>
      </c>
      <c r="L41" s="416">
        <f>IF(D41="","",ROUND((J41-I41)*24*60,0))</f>
      </c>
      <c r="M41" s="604"/>
      <c r="N41" s="521">
        <f>IF(D41="","",IF(OR(M41="P",M41="RP"),"--","NO"))</f>
      </c>
      <c r="O41" s="476"/>
      <c r="P41" s="814">
        <f>IF(G41=500,$N$19,IF(G41=220,$N$20,$N$21))</f>
        <v>40</v>
      </c>
      <c r="Q41" s="815" t="str">
        <f>IF(M41="P",H41*P41*ROUND(L41/60,2)*0.1,"--")</f>
        <v>--</v>
      </c>
      <c r="R41" s="196" t="str">
        <f>IF(AND(M41="F",N41="NO"),H41*P41,"--")</f>
        <v>--</v>
      </c>
      <c r="S41" s="409" t="str">
        <f>IF(M41="F",H41*P41*ROUND(L41/60,2),"--")</f>
        <v>--</v>
      </c>
      <c r="T41" s="410" t="str">
        <f>IF(M41="RF",H41*P41*ROUND(L41/60,2),"--")</f>
        <v>--</v>
      </c>
      <c r="U41" s="816">
        <f>IF(D41="","","SI")</f>
      </c>
      <c r="V41" s="421">
        <f>IF(D41="","",SUM(Q41:T41)*IF(U41="SI",1,2))</f>
      </c>
      <c r="W41" s="6"/>
    </row>
    <row r="42" spans="2:28" s="5" customFormat="1" ht="16.5" customHeight="1" thickBot="1">
      <c r="B42" s="50"/>
      <c r="C42" s="817"/>
      <c r="D42" s="818"/>
      <c r="E42" s="1092"/>
      <c r="F42" s="1093"/>
      <c r="G42" s="819"/>
      <c r="H42" s="820"/>
      <c r="I42" s="821"/>
      <c r="J42" s="822"/>
      <c r="K42" s="823"/>
      <c r="L42" s="824"/>
      <c r="M42" s="825"/>
      <c r="N42" s="826"/>
      <c r="O42" s="825"/>
      <c r="P42" s="827"/>
      <c r="Q42" s="828"/>
      <c r="R42" s="829"/>
      <c r="S42" s="830"/>
      <c r="T42" s="831"/>
      <c r="U42" s="832"/>
      <c r="V42" s="833"/>
      <c r="W42" s="6"/>
      <c r="X42"/>
      <c r="Y42"/>
      <c r="Z42"/>
      <c r="AA42"/>
      <c r="AB42"/>
    </row>
    <row r="43" spans="1:23" ht="17.25" thickBot="1" thickTop="1">
      <c r="A43" s="32"/>
      <c r="B43" s="554"/>
      <c r="C43" s="557"/>
      <c r="D43" s="732"/>
      <c r="E43" s="733"/>
      <c r="F43" s="734"/>
      <c r="G43" s="735"/>
      <c r="H43" s="735"/>
      <c r="I43" s="733"/>
      <c r="J43" s="542"/>
      <c r="K43" s="542"/>
      <c r="L43" s="733"/>
      <c r="M43" s="733"/>
      <c r="N43" s="733"/>
      <c r="O43" s="736"/>
      <c r="P43" s="733"/>
      <c r="Q43" s="733"/>
      <c r="R43" s="737"/>
      <c r="S43" s="738"/>
      <c r="T43" s="738"/>
      <c r="U43" s="739"/>
      <c r="V43" s="728">
        <f>SUM(V40:V42)</f>
        <v>0</v>
      </c>
      <c r="W43" s="740"/>
    </row>
    <row r="44" spans="1:23" ht="17.25" thickBot="1" thickTop="1">
      <c r="A44" s="32"/>
      <c r="B44" s="554"/>
      <c r="C44" s="557"/>
      <c r="D44" s="732"/>
      <c r="E44" s="733"/>
      <c r="F44" s="734"/>
      <c r="G44" s="735"/>
      <c r="H44" s="735"/>
      <c r="I44" s="567" t="s">
        <v>42</v>
      </c>
      <c r="J44" s="803">
        <f>+V43+V36</f>
        <v>2507.34</v>
      </c>
      <c r="L44" s="733"/>
      <c r="M44" s="733"/>
      <c r="N44" s="733"/>
      <c r="O44" s="736"/>
      <c r="P44" s="733"/>
      <c r="Q44" s="733"/>
      <c r="R44" s="737"/>
      <c r="S44" s="738"/>
      <c r="T44" s="738"/>
      <c r="U44" s="739"/>
      <c r="W44" s="740"/>
    </row>
    <row r="45" spans="1:23" ht="13.5" customHeight="1" thickTop="1">
      <c r="A45" s="32"/>
      <c r="B45" s="554"/>
      <c r="C45" s="557"/>
      <c r="D45" s="732"/>
      <c r="E45" s="733"/>
      <c r="F45" s="734"/>
      <c r="G45" s="735"/>
      <c r="H45" s="735"/>
      <c r="I45" s="733"/>
      <c r="J45" s="542"/>
      <c r="K45" s="542"/>
      <c r="L45" s="733"/>
      <c r="M45" s="733"/>
      <c r="N45" s="733"/>
      <c r="O45" s="736"/>
      <c r="P45" s="733"/>
      <c r="Q45" s="733"/>
      <c r="R45" s="737"/>
      <c r="S45" s="738"/>
      <c r="T45" s="738"/>
      <c r="U45" s="739"/>
      <c r="W45" s="740"/>
    </row>
    <row r="46" spans="1:23" ht="16.5" customHeight="1">
      <c r="A46" s="32"/>
      <c r="B46" s="554"/>
      <c r="C46" s="741" t="s">
        <v>111</v>
      </c>
      <c r="D46" s="742" t="s">
        <v>155</v>
      </c>
      <c r="E46" s="733"/>
      <c r="F46" s="734"/>
      <c r="G46" s="735"/>
      <c r="H46" s="735"/>
      <c r="I46" s="733"/>
      <c r="J46" s="542"/>
      <c r="K46" s="542"/>
      <c r="L46" s="733"/>
      <c r="M46" s="733"/>
      <c r="N46" s="733"/>
      <c r="O46" s="736"/>
      <c r="P46" s="733"/>
      <c r="Q46" s="733"/>
      <c r="R46" s="737"/>
      <c r="S46" s="738"/>
      <c r="T46" s="738"/>
      <c r="U46" s="739"/>
      <c r="W46" s="740"/>
    </row>
    <row r="47" spans="1:23" ht="16.5" customHeight="1">
      <c r="A47" s="32"/>
      <c r="B47" s="554"/>
      <c r="C47" s="741"/>
      <c r="D47" s="732"/>
      <c r="E47" s="733"/>
      <c r="F47" s="734"/>
      <c r="G47" s="735"/>
      <c r="H47" s="735"/>
      <c r="I47" s="733"/>
      <c r="J47" s="542"/>
      <c r="K47" s="542"/>
      <c r="L47" s="733"/>
      <c r="M47" s="733"/>
      <c r="N47" s="733"/>
      <c r="O47" s="736"/>
      <c r="P47" s="733"/>
      <c r="Q47" s="733"/>
      <c r="R47" s="733"/>
      <c r="S47" s="737"/>
      <c r="T47" s="738"/>
      <c r="W47" s="740"/>
    </row>
    <row r="48" spans="2:23" s="32" customFormat="1" ht="16.5" customHeight="1">
      <c r="B48" s="554"/>
      <c r="C48" s="557"/>
      <c r="D48" s="743" t="s">
        <v>125</v>
      </c>
      <c r="E48" s="639" t="s">
        <v>126</v>
      </c>
      <c r="F48" s="639" t="s">
        <v>43</v>
      </c>
      <c r="G48" s="744" t="s">
        <v>160</v>
      </c>
      <c r="H48"/>
      <c r="I48" s="140"/>
      <c r="J48" s="755" t="s">
        <v>61</v>
      </c>
      <c r="K48" s="755"/>
      <c r="L48" s="639" t="s">
        <v>43</v>
      </c>
      <c r="M48" t="s">
        <v>138</v>
      </c>
      <c r="O48" s="744" t="s">
        <v>162</v>
      </c>
      <c r="P48"/>
      <c r="Q48" s="748"/>
      <c r="R48" s="748"/>
      <c r="S48" s="33"/>
      <c r="T48"/>
      <c r="U48"/>
      <c r="V48"/>
      <c r="W48" s="740"/>
    </row>
    <row r="49" spans="2:23" s="32" customFormat="1" ht="16.5" customHeight="1">
      <c r="B49" s="554"/>
      <c r="C49" s="557"/>
      <c r="D49" s="145" t="s">
        <v>149</v>
      </c>
      <c r="E49" s="145">
        <v>300</v>
      </c>
      <c r="F49" s="836" t="s">
        <v>150</v>
      </c>
      <c r="G49" s="1090">
        <f>+E49*$F$20*$F$21</f>
        <v>68904</v>
      </c>
      <c r="H49" s="1090"/>
      <c r="I49" s="1090"/>
      <c r="J49" s="835" t="s">
        <v>151</v>
      </c>
      <c r="K49" s="835"/>
      <c r="L49" s="145">
        <v>132</v>
      </c>
      <c r="M49" s="145">
        <v>2</v>
      </c>
      <c r="O49" s="1090">
        <f>+M49*$F$20*$M$21</f>
        <v>73621.44</v>
      </c>
      <c r="P49" s="1090"/>
      <c r="Q49" s="1090"/>
      <c r="R49" s="1090"/>
      <c r="S49" s="1090"/>
      <c r="T49" s="1090"/>
      <c r="U49" s="1090"/>
      <c r="V49"/>
      <c r="W49" s="740"/>
    </row>
    <row r="50" spans="1:23" ht="16.5" customHeight="1">
      <c r="A50" s="32"/>
      <c r="B50" s="554"/>
      <c r="C50" s="557"/>
      <c r="D50" s="143"/>
      <c r="E50" s="144"/>
      <c r="F50" s="834"/>
      <c r="G50" s="1091">
        <f>+G49</f>
        <v>68904</v>
      </c>
      <c r="H50" s="1091"/>
      <c r="I50" s="1091"/>
      <c r="M50" s="145"/>
      <c r="O50" s="1091">
        <f>SUM(O49:P49)</f>
        <v>73621.44</v>
      </c>
      <c r="P50" s="1091"/>
      <c r="Q50" s="1091"/>
      <c r="R50" s="1091"/>
      <c r="S50" s="1091"/>
      <c r="T50" s="1091"/>
      <c r="U50" s="1091"/>
      <c r="W50" s="740"/>
    </row>
    <row r="51" spans="1:23" ht="16.5" customHeight="1">
      <c r="A51" s="32"/>
      <c r="B51" s="554"/>
      <c r="C51" s="557"/>
      <c r="D51" s="143"/>
      <c r="E51" s="144"/>
      <c r="F51" s="834"/>
      <c r="M51" s="145"/>
      <c r="N51" s="140"/>
      <c r="O51" s="140"/>
      <c r="P51" s="784"/>
      <c r="Q51" s="784"/>
      <c r="R51" s="784"/>
      <c r="S51" s="784"/>
      <c r="W51" s="740"/>
    </row>
    <row r="52" spans="1:23" ht="16.5" customHeight="1">
      <c r="A52" s="32"/>
      <c r="B52" s="554"/>
      <c r="C52" s="557"/>
      <c r="D52" s="1068" t="s">
        <v>399</v>
      </c>
      <c r="E52" s="1069" t="s">
        <v>400</v>
      </c>
      <c r="F52" s="1070">
        <v>5625</v>
      </c>
      <c r="G52" s="1071" t="s">
        <v>393</v>
      </c>
      <c r="M52" s="145"/>
      <c r="N52" s="140"/>
      <c r="O52" s="140"/>
      <c r="P52" s="784"/>
      <c r="Q52" s="784"/>
      <c r="R52" s="784"/>
      <c r="S52" s="784"/>
      <c r="W52" s="740"/>
    </row>
    <row r="53" spans="1:23" ht="16.5" customHeight="1">
      <c r="A53" s="32"/>
      <c r="B53" s="554"/>
      <c r="C53" s="557"/>
      <c r="D53" s="743"/>
      <c r="E53" s="756"/>
      <c r="F53" s="756"/>
      <c r="G53" s="639"/>
      <c r="M53" s="145"/>
      <c r="N53" s="140"/>
      <c r="O53" s="140"/>
      <c r="P53" s="784"/>
      <c r="Q53" s="784"/>
      <c r="R53" s="784"/>
      <c r="S53" s="784"/>
      <c r="W53" s="740"/>
    </row>
    <row r="54" spans="1:23" ht="16.5" customHeight="1" thickBot="1">
      <c r="A54" s="32"/>
      <c r="B54" s="554"/>
      <c r="C54" s="1072" t="s">
        <v>397</v>
      </c>
      <c r="D54" s="1073" t="s">
        <v>401</v>
      </c>
      <c r="E54" s="787"/>
      <c r="F54" s="787"/>
      <c r="G54" s="750"/>
      <c r="I54" s="746"/>
      <c r="J54" s="744"/>
      <c r="L54" s="745"/>
      <c r="M54" s="746"/>
      <c r="N54" s="747"/>
      <c r="O54" s="748"/>
      <c r="P54" s="748"/>
      <c r="Q54" s="748"/>
      <c r="R54" s="748"/>
      <c r="S54" s="748"/>
      <c r="W54" s="740"/>
    </row>
    <row r="55" spans="1:23" ht="16.5" customHeight="1" thickBot="1" thickTop="1">
      <c r="A55" s="32"/>
      <c r="B55" s="554"/>
      <c r="C55" s="557"/>
      <c r="D55" s="639"/>
      <c r="E55" s="787"/>
      <c r="F55" s="787"/>
      <c r="G55" s="750"/>
      <c r="H55" s="176"/>
      <c r="I55" s="567" t="s">
        <v>44</v>
      </c>
      <c r="J55" s="803">
        <f>+G50+O50+F52</f>
        <v>148150.44</v>
      </c>
      <c r="L55" s="752"/>
      <c r="M55" s="176"/>
      <c r="N55" s="753"/>
      <c r="O55" s="784"/>
      <c r="P55" s="784"/>
      <c r="Q55" s="784"/>
      <c r="R55" s="784"/>
      <c r="S55" s="784"/>
      <c r="W55" s="740"/>
    </row>
    <row r="56" spans="1:23" ht="16.5" customHeight="1" thickTop="1">
      <c r="A56" s="32"/>
      <c r="B56" s="554"/>
      <c r="C56" s="557"/>
      <c r="D56" s="542"/>
      <c r="E56" s="562"/>
      <c r="F56" s="639"/>
      <c r="G56" s="639"/>
      <c r="H56" s="640"/>
      <c r="J56" s="639"/>
      <c r="L56" s="758"/>
      <c r="M56" s="747"/>
      <c r="N56" s="747"/>
      <c r="O56" s="748"/>
      <c r="P56" s="748"/>
      <c r="Q56" s="748"/>
      <c r="R56" s="748"/>
      <c r="S56" s="748"/>
      <c r="W56" s="740"/>
    </row>
    <row r="57" spans="2:23" ht="16.5" customHeight="1">
      <c r="B57" s="554"/>
      <c r="C57" s="741" t="s">
        <v>113</v>
      </c>
      <c r="D57" s="759" t="s">
        <v>114</v>
      </c>
      <c r="E57" s="639"/>
      <c r="F57" s="760"/>
      <c r="G57" s="638"/>
      <c r="H57" s="542"/>
      <c r="I57" s="542"/>
      <c r="J57" s="542"/>
      <c r="K57" s="639"/>
      <c r="L57" s="639"/>
      <c r="M57" s="542"/>
      <c r="N57" s="639"/>
      <c r="O57" s="542"/>
      <c r="P57" s="542"/>
      <c r="Q57" s="542"/>
      <c r="R57" s="542"/>
      <c r="S57" s="542"/>
      <c r="T57" s="542"/>
      <c r="U57" s="542"/>
      <c r="W57" s="740"/>
    </row>
    <row r="58" spans="2:23" s="32" customFormat="1" ht="16.5" customHeight="1">
      <c r="B58" s="554"/>
      <c r="C58" s="557"/>
      <c r="D58" s="743" t="s">
        <v>115</v>
      </c>
      <c r="E58" s="761">
        <f>10*J44*J25/J55</f>
        <v>626.8350000000002</v>
      </c>
      <c r="G58" s="638"/>
      <c r="L58" s="639"/>
      <c r="N58" s="639"/>
      <c r="O58" s="640"/>
      <c r="V58"/>
      <c r="W58" s="740"/>
    </row>
    <row r="59" spans="2:23" s="32" customFormat="1" ht="12.75" customHeight="1">
      <c r="B59" s="554"/>
      <c r="C59" s="557"/>
      <c r="E59" s="762"/>
      <c r="F59" s="566"/>
      <c r="G59" s="638"/>
      <c r="J59" s="638"/>
      <c r="K59" s="653"/>
      <c r="L59" s="639"/>
      <c r="M59" s="639"/>
      <c r="N59" s="639"/>
      <c r="O59" s="640"/>
      <c r="P59" s="639"/>
      <c r="Q59" s="639"/>
      <c r="R59" s="652"/>
      <c r="S59" s="652"/>
      <c r="T59" s="652"/>
      <c r="U59" s="763"/>
      <c r="V59"/>
      <c r="W59" s="740"/>
    </row>
    <row r="60" spans="2:23" ht="16.5" customHeight="1">
      <c r="B60" s="554"/>
      <c r="C60" s="557"/>
      <c r="D60" s="764" t="s">
        <v>152</v>
      </c>
      <c r="E60" s="765"/>
      <c r="F60" s="566"/>
      <c r="G60" s="638"/>
      <c r="H60" s="542"/>
      <c r="I60" s="542"/>
      <c r="N60" s="639"/>
      <c r="O60" s="640"/>
      <c r="P60" s="639"/>
      <c r="Q60" s="639"/>
      <c r="R60" s="746"/>
      <c r="S60" s="746"/>
      <c r="T60" s="746"/>
      <c r="U60" s="747"/>
      <c r="W60" s="740"/>
    </row>
    <row r="61" spans="2:23" ht="13.5" customHeight="1" thickBot="1">
      <c r="B61" s="554"/>
      <c r="C61" s="557"/>
      <c r="D61" s="764"/>
      <c r="E61" s="765"/>
      <c r="F61" s="566"/>
      <c r="G61" s="638"/>
      <c r="H61" s="542"/>
      <c r="I61" s="542"/>
      <c r="N61" s="639"/>
      <c r="O61" s="640"/>
      <c r="P61" s="639"/>
      <c r="Q61" s="639"/>
      <c r="R61" s="746"/>
      <c r="S61" s="746"/>
      <c r="T61" s="746"/>
      <c r="U61" s="747"/>
      <c r="W61" s="740"/>
    </row>
    <row r="62" spans="2:23" s="766" customFormat="1" ht="21" thickBot="1" thickTop="1">
      <c r="B62" s="767"/>
      <c r="C62" s="768"/>
      <c r="D62" s="769"/>
      <c r="E62" s="770"/>
      <c r="F62" s="771"/>
      <c r="G62" s="772"/>
      <c r="I62" s="773" t="s">
        <v>116</v>
      </c>
      <c r="J62" s="774">
        <f>IF(E58&gt;3*J25,J25*3,E58)</f>
        <v>626.8350000000002</v>
      </c>
      <c r="M62" s="775"/>
      <c r="N62" s="775"/>
      <c r="O62" s="776"/>
      <c r="P62" s="775"/>
      <c r="Q62" s="775"/>
      <c r="R62" s="777"/>
      <c r="S62" s="777"/>
      <c r="T62" s="777"/>
      <c r="U62" s="778"/>
      <c r="V62"/>
      <c r="W62" s="779"/>
    </row>
    <row r="63" spans="2:23" ht="16.5" customHeight="1" thickBot="1" thickTop="1">
      <c r="B63" s="57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200"/>
      <c r="W63" s="780"/>
    </row>
    <row r="64" spans="2:23" ht="16.5" customHeight="1" thickTop="1">
      <c r="B64" s="1"/>
      <c r="C64" s="73"/>
      <c r="W64" s="1"/>
    </row>
  </sheetData>
  <sheetProtection password="CC12"/>
  <mergeCells count="8">
    <mergeCell ref="E38:F38"/>
    <mergeCell ref="E39:F39"/>
    <mergeCell ref="O50:U50"/>
    <mergeCell ref="G50:I50"/>
    <mergeCell ref="G49:I49"/>
    <mergeCell ref="O49:U49"/>
    <mergeCell ref="N38:O38"/>
    <mergeCell ref="E42:F42"/>
  </mergeCells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46" r:id="rId2"/>
  <headerFooter alignWithMargins="0">
    <oddFooter>&amp;L&amp;"Times New Roman,Normal"&amp;5&amp;F  - TRANSPORTE de ENERGÍA ELÉCTRICA - PJL - JI -JM -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AD39"/>
  <sheetViews>
    <sheetView zoomScale="75" zoomScaleNormal="75" workbookViewId="0" topLeftCell="C1">
      <selection activeCell="N34" sqref="N34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4" width="45.7109375" style="0" customWidth="1"/>
    <col min="5" max="6" width="9.7109375" style="0" customWidth="1"/>
    <col min="7" max="7" width="3.8515625" style="0" customWidth="1"/>
    <col min="8" max="8" width="3.140625" style="0" hidden="1" customWidth="1"/>
    <col min="9" max="9" width="6.00390625" style="0" hidden="1" customWidth="1"/>
    <col min="10" max="11" width="15.7109375" style="0" customWidth="1"/>
    <col min="12" max="14" width="9.7109375" style="0" customWidth="1"/>
    <col min="15" max="15" width="8.7109375" style="0" customWidth="1"/>
    <col min="16" max="16" width="5.421875" style="0" customWidth="1"/>
    <col min="17" max="17" width="6.00390625" style="0" customWidth="1"/>
    <col min="18" max="19" width="12.28125" style="0" hidden="1" customWidth="1"/>
    <col min="20" max="25" width="5.7109375" style="0" hidden="1" customWidth="1"/>
    <col min="26" max="26" width="12.28125" style="0" hidden="1" customWidth="1"/>
    <col min="27" max="27" width="13.421875" style="0" hidden="1" customWidth="1"/>
    <col min="28" max="28" width="9.7109375" style="0" customWidth="1"/>
    <col min="29" max="30" width="15.7109375" style="0" customWidth="1"/>
    <col min="31" max="31" width="30.421875" style="0" customWidth="1"/>
    <col min="32" max="32" width="3.140625" style="0" customWidth="1"/>
    <col min="33" max="33" width="3.57421875" style="0" customWidth="1"/>
    <col min="34" max="34" width="24.28125" style="0" customWidth="1"/>
    <col min="35" max="35" width="4.7109375" style="0" customWidth="1"/>
    <col min="36" max="36" width="7.57421875" style="0" customWidth="1"/>
    <col min="37" max="38" width="4.140625" style="0" customWidth="1"/>
    <col min="39" max="39" width="7.140625" style="0" customWidth="1"/>
    <col min="40" max="40" width="5.28125" style="0" customWidth="1"/>
    <col min="41" max="41" width="5.421875" style="0" customWidth="1"/>
    <col min="42" max="42" width="4.7109375" style="0" customWidth="1"/>
    <col min="43" max="43" width="5.28125" style="0" customWidth="1"/>
    <col min="44" max="45" width="13.28125" style="0" customWidth="1"/>
    <col min="46" max="46" width="6.57421875" style="0" customWidth="1"/>
    <col min="47" max="47" width="6.421875" style="0" customWidth="1"/>
    <col min="52" max="52" width="12.7109375" style="0" customWidth="1"/>
    <col min="56" max="56" width="21.00390625" style="0" customWidth="1"/>
  </cols>
  <sheetData>
    <row r="1" spans="1:30" s="18" customFormat="1" ht="26.25">
      <c r="A1"/>
      <c r="C1"/>
      <c r="E1"/>
      <c r="G1"/>
      <c r="I1"/>
      <c r="K1"/>
      <c r="M1"/>
      <c r="O1"/>
      <c r="Q1"/>
      <c r="S1"/>
      <c r="U1"/>
      <c r="W1"/>
      <c r="Y1"/>
      <c r="AD1" s="146"/>
    </row>
    <row r="2" spans="1:30" s="18" customFormat="1" ht="26.25">
      <c r="A2" s="91"/>
      <c r="B2" s="19" t="str">
        <f>+'TOT-1108'!B2</f>
        <v>ANEXO VI al Memoràndum D.T.E.E. N°  366 / 2010          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="5" customFormat="1" ht="12.75">
      <c r="A3" s="90"/>
    </row>
    <row r="4" spans="1:2" s="25" customFormat="1" ht="11.25">
      <c r="A4" s="23" t="s">
        <v>2</v>
      </c>
      <c r="B4" s="125"/>
    </row>
    <row r="5" spans="1:2" s="25" customFormat="1" ht="11.25">
      <c r="A5" s="23" t="s">
        <v>3</v>
      </c>
      <c r="B5" s="125"/>
    </row>
    <row r="6" s="5" customFormat="1" ht="13.5" thickBot="1"/>
    <row r="7" spans="2:30" s="5" customFormat="1" ht="13.5" thickTop="1">
      <c r="B7" s="69"/>
      <c r="C7" s="70"/>
      <c r="D7" s="70"/>
      <c r="E7" s="201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94"/>
    </row>
    <row r="8" spans="2:30" s="29" customFormat="1" ht="20.25">
      <c r="B8" s="79"/>
      <c r="C8" s="30"/>
      <c r="D8" s="178" t="s">
        <v>70</v>
      </c>
      <c r="E8" s="30"/>
      <c r="F8" s="30"/>
      <c r="G8" s="30"/>
      <c r="H8" s="30"/>
      <c r="N8" s="30"/>
      <c r="O8" s="30"/>
      <c r="P8" s="11"/>
      <c r="Q8" s="11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108"/>
    </row>
    <row r="9" spans="2:30" s="5" customFormat="1" ht="12.75">
      <c r="B9" s="5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17"/>
    </row>
    <row r="10" spans="2:30" s="29" customFormat="1" ht="20.25">
      <c r="B10" s="79"/>
      <c r="C10" s="30"/>
      <c r="D10" s="11" t="s">
        <v>12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108"/>
    </row>
    <row r="11" spans="2:30" s="5" customFormat="1" ht="12.75">
      <c r="B11" s="50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17"/>
    </row>
    <row r="12" spans="2:30" s="29" customFormat="1" ht="20.25">
      <c r="B12" s="79"/>
      <c r="C12" s="30"/>
      <c r="D12" s="11" t="s">
        <v>163</v>
      </c>
      <c r="E12" s="30"/>
      <c r="F12" s="30"/>
      <c r="G12" s="30"/>
      <c r="I12" s="30"/>
      <c r="J12" s="30"/>
      <c r="K12" s="30"/>
      <c r="L12" s="30"/>
      <c r="M12" s="30"/>
      <c r="N12" s="30"/>
      <c r="O12" s="30"/>
      <c r="P12" s="11"/>
      <c r="Q12" s="11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108"/>
    </row>
    <row r="13" spans="2:30" s="5" customFormat="1" ht="12.75">
      <c r="B13" s="50"/>
      <c r="C13" s="4"/>
      <c r="D13" s="4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17"/>
    </row>
    <row r="14" spans="2:30" s="36" customFormat="1" ht="19.5">
      <c r="B14" s="37" t="str">
        <f>'TOT-1108'!B14</f>
        <v>Desde el 01 al 30 de noviembre de 2008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204"/>
      <c r="O14" s="204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139"/>
    </row>
    <row r="15" spans="2:30" s="5" customFormat="1" ht="16.5" customHeight="1" thickBot="1">
      <c r="B15" s="50"/>
      <c r="C15" s="4"/>
      <c r="D15" s="4"/>
      <c r="E15" s="66"/>
      <c r="F15" s="66"/>
      <c r="G15" s="4"/>
      <c r="H15" s="4"/>
      <c r="I15" s="4"/>
      <c r="J15" s="205"/>
      <c r="K15" s="4"/>
      <c r="L15" s="4"/>
      <c r="M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17"/>
    </row>
    <row r="16" spans="2:30" s="5" customFormat="1" ht="16.5" customHeight="1" thickBot="1" thickTop="1">
      <c r="B16" s="50"/>
      <c r="C16" s="4"/>
      <c r="D16" s="82" t="s">
        <v>97</v>
      </c>
      <c r="E16" s="914">
        <v>117.179</v>
      </c>
      <c r="F16" s="208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17"/>
    </row>
    <row r="17" spans="2:30" s="5" customFormat="1" ht="16.5" customHeight="1" thickBot="1" thickTop="1">
      <c r="B17" s="50"/>
      <c r="C17" s="4"/>
      <c r="D17" s="82" t="s">
        <v>98</v>
      </c>
      <c r="E17" s="914">
        <v>97.649</v>
      </c>
      <c r="F17" s="208"/>
      <c r="G17" s="4"/>
      <c r="H17" s="4"/>
      <c r="I17" s="4"/>
      <c r="J17" s="214"/>
      <c r="K17" s="215"/>
      <c r="L17" s="4"/>
      <c r="M17" s="4"/>
      <c r="N17" s="4"/>
      <c r="O17" s="4"/>
      <c r="P17" s="4"/>
      <c r="Q17" s="4"/>
      <c r="R17" s="4"/>
      <c r="S17" s="4"/>
      <c r="T17" s="4"/>
      <c r="U17" s="4"/>
      <c r="V17" s="116"/>
      <c r="W17" s="116"/>
      <c r="X17" s="116"/>
      <c r="Y17" s="116"/>
      <c r="Z17" s="116"/>
      <c r="AA17" s="116"/>
      <c r="AB17" s="116"/>
      <c r="AD17" s="17"/>
    </row>
    <row r="18" spans="2:30" s="5" customFormat="1" ht="16.5" customHeight="1" thickBot="1" thickTop="1">
      <c r="B18" s="50"/>
      <c r="C18" s="4"/>
      <c r="D18" s="4"/>
      <c r="E18" s="217"/>
      <c r="F18" s="4"/>
      <c r="G18" s="4"/>
      <c r="H18" s="4"/>
      <c r="I18" s="4"/>
      <c r="J18" s="4"/>
      <c r="K18" s="4"/>
      <c r="L18" s="4"/>
      <c r="M18" s="4"/>
      <c r="N18" s="2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17"/>
    </row>
    <row r="19" spans="2:30" s="5" customFormat="1" ht="33.75" customHeight="1" thickBot="1" thickTop="1">
      <c r="B19" s="50"/>
      <c r="C19" s="84" t="s">
        <v>13</v>
      </c>
      <c r="D19" s="85" t="s">
        <v>0</v>
      </c>
      <c r="E19" s="837" t="s">
        <v>14</v>
      </c>
      <c r="F19" s="86" t="s">
        <v>15</v>
      </c>
      <c r="G19" s="220" t="s">
        <v>77</v>
      </c>
      <c r="H19" s="838" t="s">
        <v>37</v>
      </c>
      <c r="I19" s="839" t="s">
        <v>16</v>
      </c>
      <c r="J19" s="85" t="s">
        <v>17</v>
      </c>
      <c r="K19" s="183" t="s">
        <v>18</v>
      </c>
      <c r="L19" s="88" t="s">
        <v>36</v>
      </c>
      <c r="M19" s="86" t="s">
        <v>31</v>
      </c>
      <c r="N19" s="88" t="s">
        <v>19</v>
      </c>
      <c r="O19" s="86" t="s">
        <v>58</v>
      </c>
      <c r="P19" s="183" t="s">
        <v>59</v>
      </c>
      <c r="Q19" s="85" t="s">
        <v>32</v>
      </c>
      <c r="R19" s="137" t="s">
        <v>20</v>
      </c>
      <c r="S19" s="840" t="s">
        <v>21</v>
      </c>
      <c r="T19" s="222" t="s">
        <v>60</v>
      </c>
      <c r="U19" s="223"/>
      <c r="V19" s="224"/>
      <c r="W19" s="841" t="s">
        <v>164</v>
      </c>
      <c r="X19" s="842"/>
      <c r="Y19" s="843"/>
      <c r="Z19" s="225" t="s">
        <v>22</v>
      </c>
      <c r="AA19" s="226" t="s">
        <v>79</v>
      </c>
      <c r="AB19" s="133" t="s">
        <v>80</v>
      </c>
      <c r="AC19" s="133" t="s">
        <v>24</v>
      </c>
      <c r="AD19" s="227"/>
    </row>
    <row r="20" spans="2:30" s="5" customFormat="1" ht="16.5" customHeight="1" thickTop="1">
      <c r="B20" s="50"/>
      <c r="C20" s="157"/>
      <c r="D20" s="866"/>
      <c r="E20" s="867"/>
      <c r="F20" s="918"/>
      <c r="G20" s="867"/>
      <c r="H20" s="855"/>
      <c r="I20" s="856"/>
      <c r="J20" s="868"/>
      <c r="K20" s="869"/>
      <c r="L20" s="193"/>
      <c r="M20" s="194"/>
      <c r="N20" s="234"/>
      <c r="O20" s="195"/>
      <c r="P20" s="155"/>
      <c r="Q20" s="155"/>
      <c r="R20" s="859"/>
      <c r="S20" s="860"/>
      <c r="T20" s="237"/>
      <c r="U20" s="238"/>
      <c r="V20" s="239"/>
      <c r="W20" s="861"/>
      <c r="X20" s="862"/>
      <c r="Y20" s="863"/>
      <c r="Z20" s="240"/>
      <c r="AA20" s="241"/>
      <c r="AB20" s="864"/>
      <c r="AC20" s="16"/>
      <c r="AD20" s="865"/>
    </row>
    <row r="21" spans="2:30" s="5" customFormat="1" ht="16.5" customHeight="1">
      <c r="B21" s="50"/>
      <c r="C21" s="289">
        <v>4</v>
      </c>
      <c r="D21" s="866" t="s">
        <v>364</v>
      </c>
      <c r="E21" s="867">
        <v>500</v>
      </c>
      <c r="F21" s="918">
        <v>146</v>
      </c>
      <c r="G21" s="867" t="s">
        <v>259</v>
      </c>
      <c r="H21" s="855">
        <f aca="true" t="shared" si="0" ref="H21:H35">IF(G21="A",200,IF(G21="B",60,20))</f>
        <v>20</v>
      </c>
      <c r="I21" s="856">
        <f>IF(E21=500,IF(F21&lt;100,100*$E$16/100,F21*$E$16/100),IF(F21&lt;100,100*$E$17/100,F21*$E$17/100))</f>
        <v>171.08134</v>
      </c>
      <c r="J21" s="868">
        <v>39759.17847222222</v>
      </c>
      <c r="K21" s="869">
        <v>39759.18472222222</v>
      </c>
      <c r="L21" s="193">
        <f>IF(D21="","",(K21-J21)*24)</f>
        <v>0.1499999999650754</v>
      </c>
      <c r="M21" s="194">
        <f>IF(D21="","",ROUND((K21-J21)*24*60,0))</f>
        <v>9</v>
      </c>
      <c r="N21" s="234" t="s">
        <v>251</v>
      </c>
      <c r="O21" s="195" t="str">
        <f>IF(D21="","","--")</f>
        <v>--</v>
      </c>
      <c r="P21" s="155" t="str">
        <f>IF(D21="","","NO")</f>
        <v>NO</v>
      </c>
      <c r="Q21" s="155" t="str">
        <f aca="true" t="shared" si="1" ref="Q21:Q35">IF(D21="","",IF(OR(N21="P",N21="RP"),"--","NO"))</f>
        <v>--</v>
      </c>
      <c r="R21" s="859">
        <f>IF(N21="P",I21*H21*ROUND(M21/60,2)*0.01,"--")</f>
        <v>5.1324402</v>
      </c>
      <c r="S21" s="860" t="str">
        <f>IF(N21="RP",I21*H21*ROUND(M21/60,2)*0.01*O21/100,"--")</f>
        <v>--</v>
      </c>
      <c r="T21" s="237" t="str">
        <f>IF(AND(N21="F",Q21="NO"),I21*H21*IF(P21="SI",1.2,1),"--")</f>
        <v>--</v>
      </c>
      <c r="U21" s="238" t="str">
        <f>IF(AND(N21="F",M21&gt;=10),I21*H21*IF(P21="SI",1.2,1)*IF(M21&lt;=300,ROUND(M21/60,2),5),"--")</f>
        <v>--</v>
      </c>
      <c r="V21" s="239" t="str">
        <f>IF(AND(N21="F",M21&gt;300),(ROUND(M21/60,2)-5)*I21*H21*0.1*IF(P21="SI",1.2,1),"--")</f>
        <v>--</v>
      </c>
      <c r="W21" s="861" t="str">
        <f>IF(AND(N21="R",Q21="NO"),I21*H21*O21/100*IF(P21="SI",1.2,1),"--")</f>
        <v>--</v>
      </c>
      <c r="X21" s="862" t="str">
        <f>IF(AND(N21="R",M21&gt;=10),I21*H21*O21/100*IF(P21="SI",1.2,1)*IF(M21&lt;=300,ROUND(M21/60,2),5),"--")</f>
        <v>--</v>
      </c>
      <c r="Y21" s="863" t="str">
        <f>IF(AND(N21="R",M21&gt;300),(ROUND(M21/60,2)-5)*I21*H21*0.1*O21/100*IF(P21="SI",1.2,1),"--")</f>
        <v>--</v>
      </c>
      <c r="Z21" s="240" t="str">
        <f>IF(N21="RF",ROUND(M21/60,2)*I21*H21*0.1*IF(P21="SI",1.2,1),"--")</f>
        <v>--</v>
      </c>
      <c r="AA21" s="241" t="str">
        <f>IF(N21="RR",ROUND(M21/60,2)*I21*H21*0.1*O21/100*IF(P21="SI",1.2,1),"--")</f>
        <v>--</v>
      </c>
      <c r="AB21" s="864" t="s">
        <v>248</v>
      </c>
      <c r="AC21" s="16">
        <v>0</v>
      </c>
      <c r="AD21" s="865"/>
    </row>
    <row r="22" spans="2:30" s="5" customFormat="1" ht="16.5" customHeight="1">
      <c r="B22" s="50"/>
      <c r="C22" s="289">
        <v>6</v>
      </c>
      <c r="D22" s="157" t="s">
        <v>280</v>
      </c>
      <c r="E22" s="190">
        <v>500</v>
      </c>
      <c r="F22" s="917">
        <v>165</v>
      </c>
      <c r="G22" s="190" t="s">
        <v>259</v>
      </c>
      <c r="H22" s="855">
        <f t="shared" si="0"/>
        <v>20</v>
      </c>
      <c r="I22" s="856">
        <f aca="true" t="shared" si="2" ref="I22:I35">IF(E22=500,IF(F22&lt;100,100*$E$16/100,F22*$E$16/100),IF(F22&lt;100,100*$E$17/100,F22*$E$17/100))</f>
        <v>193.34535</v>
      </c>
      <c r="J22" s="857">
        <v>39759.73263888889</v>
      </c>
      <c r="K22" s="858">
        <v>39759.73819444444</v>
      </c>
      <c r="L22" s="193">
        <f aca="true" t="shared" si="3" ref="L22:L35">IF(D22="","",(K22-J22)*24)</f>
        <v>0.1333333332440816</v>
      </c>
      <c r="M22" s="194">
        <f aca="true" t="shared" si="4" ref="M22:M35">IF(D22="","",ROUND((K22-J22)*24*60,0))</f>
        <v>8</v>
      </c>
      <c r="N22" s="234" t="s">
        <v>279</v>
      </c>
      <c r="O22" s="195" t="str">
        <f aca="true" t="shared" si="5" ref="O22:O35">IF(D22="","","--")</f>
        <v>--</v>
      </c>
      <c r="P22" s="155" t="str">
        <f aca="true" t="shared" si="6" ref="P22:P35">IF(D22="","","NO")</f>
        <v>NO</v>
      </c>
      <c r="Q22" s="155" t="str">
        <f t="shared" si="1"/>
        <v>NO</v>
      </c>
      <c r="R22" s="859" t="str">
        <f aca="true" t="shared" si="7" ref="R22:R35">IF(N22="P",I22*H22*ROUND(M22/60,2)*0.01,"--")</f>
        <v>--</v>
      </c>
      <c r="S22" s="860" t="str">
        <f aca="true" t="shared" si="8" ref="S22:S35">IF(N22="RP",I22*H22*ROUND(M22/60,2)*0.01*O22/100,"--")</f>
        <v>--</v>
      </c>
      <c r="T22" s="237">
        <f aca="true" t="shared" si="9" ref="T22:T35">IF(AND(N22="F",Q22="NO"),I22*H22*IF(P22="SI",1.2,1),"--")</f>
        <v>3866.907</v>
      </c>
      <c r="U22" s="238" t="str">
        <f aca="true" t="shared" si="10" ref="U22:U35">IF(AND(N22="F",M22&gt;=10),I22*H22*IF(P22="SI",1.2,1)*IF(M22&lt;=300,ROUND(M22/60,2),5),"--")</f>
        <v>--</v>
      </c>
      <c r="V22" s="239" t="str">
        <f aca="true" t="shared" si="11" ref="V22:V35">IF(AND(N22="F",M22&gt;300),(ROUND(M22/60,2)-5)*I22*H22*0.1*IF(P22="SI",1.2,1),"--")</f>
        <v>--</v>
      </c>
      <c r="W22" s="861" t="str">
        <f aca="true" t="shared" si="12" ref="W22:W35">IF(AND(N22="R",Q22="NO"),I22*H22*O22/100*IF(P22="SI",1.2,1),"--")</f>
        <v>--</v>
      </c>
      <c r="X22" s="862" t="str">
        <f aca="true" t="shared" si="13" ref="X22:X35">IF(AND(N22="R",M22&gt;=10),I22*H22*O22/100*IF(P22="SI",1.2,1)*IF(M22&lt;=300,ROUND(M22/60,2),5),"--")</f>
        <v>--</v>
      </c>
      <c r="Y22" s="863" t="str">
        <f aca="true" t="shared" si="14" ref="Y22:Y35">IF(AND(N22="R",M22&gt;300),(ROUND(M22/60,2)-5)*I22*H22*0.1*O22/100*IF(P22="SI",1.2,1),"--")</f>
        <v>--</v>
      </c>
      <c r="Z22" s="240" t="str">
        <f aca="true" t="shared" si="15" ref="Z22:Z35">IF(N22="RF",ROUND(M22/60,2)*I22*H22*0.1*IF(P22="SI",1.2,1),"--")</f>
        <v>--</v>
      </c>
      <c r="AA22" s="241" t="str">
        <f aca="true" t="shared" si="16" ref="AA22:AA35">IF(N22="RR",ROUND(M22/60,2)*I22*H22*0.1*O22/100*IF(P22="SI",1.2,1),"--")</f>
        <v>--</v>
      </c>
      <c r="AB22" s="864" t="s">
        <v>248</v>
      </c>
      <c r="AC22" s="16">
        <f aca="true" t="shared" si="17" ref="AC22:AC35">IF(D22="","",SUM(R22:AA22)*IF(AB22="SI",1,2))</f>
        <v>3866.907</v>
      </c>
      <c r="AD22" s="865"/>
    </row>
    <row r="23" spans="2:30" s="5" customFormat="1" ht="16.5" customHeight="1">
      <c r="B23" s="50"/>
      <c r="C23" s="157">
        <v>7</v>
      </c>
      <c r="D23" s="157" t="s">
        <v>280</v>
      </c>
      <c r="E23" s="190">
        <v>500</v>
      </c>
      <c r="F23" s="917">
        <v>165</v>
      </c>
      <c r="G23" s="190" t="s">
        <v>259</v>
      </c>
      <c r="H23" s="855">
        <f t="shared" si="0"/>
        <v>20</v>
      </c>
      <c r="I23" s="856">
        <f t="shared" si="2"/>
        <v>193.34535</v>
      </c>
      <c r="J23" s="857">
        <v>39759.751388888886</v>
      </c>
      <c r="K23" s="858">
        <v>39759.91805555556</v>
      </c>
      <c r="L23" s="193">
        <f t="shared" si="3"/>
        <v>4.000000000116415</v>
      </c>
      <c r="M23" s="194">
        <f t="shared" si="4"/>
        <v>240</v>
      </c>
      <c r="N23" s="234" t="s">
        <v>279</v>
      </c>
      <c r="O23" s="195" t="str">
        <f t="shared" si="5"/>
        <v>--</v>
      </c>
      <c r="P23" s="155" t="str">
        <f t="shared" si="6"/>
        <v>NO</v>
      </c>
      <c r="Q23" s="155" t="str">
        <f t="shared" si="1"/>
        <v>NO</v>
      </c>
      <c r="R23" s="859" t="str">
        <f t="shared" si="7"/>
        <v>--</v>
      </c>
      <c r="S23" s="860" t="str">
        <f t="shared" si="8"/>
        <v>--</v>
      </c>
      <c r="T23" s="237">
        <f t="shared" si="9"/>
        <v>3866.907</v>
      </c>
      <c r="U23" s="238">
        <f t="shared" si="10"/>
        <v>15467.628</v>
      </c>
      <c r="V23" s="239" t="str">
        <f t="shared" si="11"/>
        <v>--</v>
      </c>
      <c r="W23" s="861" t="str">
        <f t="shared" si="12"/>
        <v>--</v>
      </c>
      <c r="X23" s="862" t="str">
        <f t="shared" si="13"/>
        <v>--</v>
      </c>
      <c r="Y23" s="863" t="str">
        <f t="shared" si="14"/>
        <v>--</v>
      </c>
      <c r="Z23" s="240" t="str">
        <f t="shared" si="15"/>
        <v>--</v>
      </c>
      <c r="AA23" s="241" t="str">
        <f t="shared" si="16"/>
        <v>--</v>
      </c>
      <c r="AB23" s="864" t="s">
        <v>248</v>
      </c>
      <c r="AC23" s="16">
        <f t="shared" si="17"/>
        <v>19334.535</v>
      </c>
      <c r="AD23" s="865"/>
    </row>
    <row r="24" spans="2:30" s="5" customFormat="1" ht="16.5" customHeight="1">
      <c r="B24" s="50"/>
      <c r="C24" s="157">
        <v>9</v>
      </c>
      <c r="D24" s="866" t="s">
        <v>365</v>
      </c>
      <c r="E24" s="867">
        <v>500</v>
      </c>
      <c r="F24" s="918">
        <v>57</v>
      </c>
      <c r="G24" s="867" t="s">
        <v>259</v>
      </c>
      <c r="H24" s="855">
        <f t="shared" si="0"/>
        <v>20</v>
      </c>
      <c r="I24" s="856">
        <f t="shared" si="2"/>
        <v>117.179</v>
      </c>
      <c r="J24" s="191">
        <v>39761.22152777778</v>
      </c>
      <c r="K24" s="233">
        <v>39761.225</v>
      </c>
      <c r="L24" s="193">
        <f t="shared" si="3"/>
        <v>0.08333333325572312</v>
      </c>
      <c r="M24" s="194">
        <f t="shared" si="4"/>
        <v>5</v>
      </c>
      <c r="N24" s="234" t="s">
        <v>251</v>
      </c>
      <c r="O24" s="195" t="str">
        <f t="shared" si="5"/>
        <v>--</v>
      </c>
      <c r="P24" s="155" t="str">
        <f t="shared" si="6"/>
        <v>NO</v>
      </c>
      <c r="Q24" s="155" t="str">
        <f t="shared" si="1"/>
        <v>--</v>
      </c>
      <c r="R24" s="859">
        <f t="shared" si="7"/>
        <v>1.874864</v>
      </c>
      <c r="S24" s="860" t="str">
        <f t="shared" si="8"/>
        <v>--</v>
      </c>
      <c r="T24" s="237" t="str">
        <f t="shared" si="9"/>
        <v>--</v>
      </c>
      <c r="U24" s="238" t="str">
        <f t="shared" si="10"/>
        <v>--</v>
      </c>
      <c r="V24" s="239" t="str">
        <f t="shared" si="11"/>
        <v>--</v>
      </c>
      <c r="W24" s="861" t="str">
        <f t="shared" si="12"/>
        <v>--</v>
      </c>
      <c r="X24" s="862" t="str">
        <f t="shared" si="13"/>
        <v>--</v>
      </c>
      <c r="Y24" s="863" t="str">
        <f t="shared" si="14"/>
        <v>--</v>
      </c>
      <c r="Z24" s="240" t="str">
        <f t="shared" si="15"/>
        <v>--</v>
      </c>
      <c r="AA24" s="241" t="str">
        <f t="shared" si="16"/>
        <v>--</v>
      </c>
      <c r="AB24" s="864" t="s">
        <v>248</v>
      </c>
      <c r="AC24" s="16">
        <v>0</v>
      </c>
      <c r="AD24" s="865"/>
    </row>
    <row r="25" spans="2:30" s="5" customFormat="1" ht="16.5" customHeight="1">
      <c r="B25" s="50"/>
      <c r="C25" s="289">
        <v>10</v>
      </c>
      <c r="D25" s="148" t="s">
        <v>281</v>
      </c>
      <c r="E25" s="150">
        <v>220</v>
      </c>
      <c r="F25" s="919">
        <v>61</v>
      </c>
      <c r="G25" s="150" t="s">
        <v>259</v>
      </c>
      <c r="H25" s="855">
        <f t="shared" si="0"/>
        <v>20</v>
      </c>
      <c r="I25" s="856">
        <f t="shared" si="2"/>
        <v>97.649</v>
      </c>
      <c r="J25" s="191">
        <v>39763.5</v>
      </c>
      <c r="K25" s="233">
        <v>39763.790972222225</v>
      </c>
      <c r="L25" s="193">
        <f t="shared" si="3"/>
        <v>6.9833333333954215</v>
      </c>
      <c r="M25" s="194">
        <f t="shared" si="4"/>
        <v>419</v>
      </c>
      <c r="N25" s="234" t="s">
        <v>251</v>
      </c>
      <c r="O25" s="195" t="str">
        <f t="shared" si="5"/>
        <v>--</v>
      </c>
      <c r="P25" s="155" t="str">
        <f t="shared" si="6"/>
        <v>NO</v>
      </c>
      <c r="Q25" s="155" t="str">
        <f t="shared" si="1"/>
        <v>--</v>
      </c>
      <c r="R25" s="859">
        <f t="shared" si="7"/>
        <v>136.318004</v>
      </c>
      <c r="S25" s="860" t="str">
        <f t="shared" si="8"/>
        <v>--</v>
      </c>
      <c r="T25" s="237" t="str">
        <f t="shared" si="9"/>
        <v>--</v>
      </c>
      <c r="U25" s="238" t="str">
        <f t="shared" si="10"/>
        <v>--</v>
      </c>
      <c r="V25" s="239" t="str">
        <f t="shared" si="11"/>
        <v>--</v>
      </c>
      <c r="W25" s="861" t="str">
        <f t="shared" si="12"/>
        <v>--</v>
      </c>
      <c r="X25" s="862" t="str">
        <f t="shared" si="13"/>
        <v>--</v>
      </c>
      <c r="Y25" s="863" t="str">
        <f t="shared" si="14"/>
        <v>--</v>
      </c>
      <c r="Z25" s="240" t="str">
        <f t="shared" si="15"/>
        <v>--</v>
      </c>
      <c r="AA25" s="241" t="str">
        <f t="shared" si="16"/>
        <v>--</v>
      </c>
      <c r="AB25" s="864" t="s">
        <v>248</v>
      </c>
      <c r="AC25" s="16">
        <f t="shared" si="17"/>
        <v>136.318004</v>
      </c>
      <c r="AD25" s="865"/>
    </row>
    <row r="26" spans="2:30" s="5" customFormat="1" ht="16.5" customHeight="1">
      <c r="B26" s="50"/>
      <c r="C26" s="157">
        <v>11</v>
      </c>
      <c r="D26" s="148" t="s">
        <v>282</v>
      </c>
      <c r="E26" s="150">
        <v>220</v>
      </c>
      <c r="F26" s="919">
        <v>61</v>
      </c>
      <c r="G26" s="150" t="s">
        <v>259</v>
      </c>
      <c r="H26" s="855">
        <f t="shared" si="0"/>
        <v>20</v>
      </c>
      <c r="I26" s="856">
        <f t="shared" si="2"/>
        <v>97.649</v>
      </c>
      <c r="J26" s="191">
        <v>39764.30902777778</v>
      </c>
      <c r="K26" s="233">
        <v>39764.70763888889</v>
      </c>
      <c r="L26" s="193">
        <f t="shared" si="3"/>
        <v>9.566666666592937</v>
      </c>
      <c r="M26" s="194">
        <f t="shared" si="4"/>
        <v>574</v>
      </c>
      <c r="N26" s="234" t="s">
        <v>251</v>
      </c>
      <c r="O26" s="195" t="str">
        <f t="shared" si="5"/>
        <v>--</v>
      </c>
      <c r="P26" s="155" t="str">
        <f t="shared" si="6"/>
        <v>NO</v>
      </c>
      <c r="Q26" s="155" t="str">
        <f t="shared" si="1"/>
        <v>--</v>
      </c>
      <c r="R26" s="859">
        <f t="shared" si="7"/>
        <v>186.900186</v>
      </c>
      <c r="S26" s="860" t="str">
        <f t="shared" si="8"/>
        <v>--</v>
      </c>
      <c r="T26" s="237" t="str">
        <f t="shared" si="9"/>
        <v>--</v>
      </c>
      <c r="U26" s="238" t="str">
        <f t="shared" si="10"/>
        <v>--</v>
      </c>
      <c r="V26" s="239" t="str">
        <f t="shared" si="11"/>
        <v>--</v>
      </c>
      <c r="W26" s="861" t="str">
        <f t="shared" si="12"/>
        <v>--</v>
      </c>
      <c r="X26" s="862" t="str">
        <f t="shared" si="13"/>
        <v>--</v>
      </c>
      <c r="Y26" s="863" t="str">
        <f t="shared" si="14"/>
        <v>--</v>
      </c>
      <c r="Z26" s="240" t="str">
        <f t="shared" si="15"/>
        <v>--</v>
      </c>
      <c r="AA26" s="241" t="str">
        <f t="shared" si="16"/>
        <v>--</v>
      </c>
      <c r="AB26" s="864" t="s">
        <v>248</v>
      </c>
      <c r="AC26" s="16">
        <f t="shared" si="17"/>
        <v>186.900186</v>
      </c>
      <c r="AD26" s="865"/>
    </row>
    <row r="27" spans="2:30" s="5" customFormat="1" ht="16.5" customHeight="1">
      <c r="B27" s="50"/>
      <c r="C27" s="289">
        <v>12</v>
      </c>
      <c r="D27" s="148" t="s">
        <v>283</v>
      </c>
      <c r="E27" s="150">
        <v>220</v>
      </c>
      <c r="F27" s="919">
        <v>114</v>
      </c>
      <c r="G27" s="150" t="s">
        <v>259</v>
      </c>
      <c r="H27" s="855">
        <f t="shared" si="0"/>
        <v>20</v>
      </c>
      <c r="I27" s="856">
        <f t="shared" si="2"/>
        <v>111.31986</v>
      </c>
      <c r="J27" s="191">
        <v>39765.32430555556</v>
      </c>
      <c r="K27" s="233">
        <v>39765.55</v>
      </c>
      <c r="L27" s="193">
        <f t="shared" si="3"/>
        <v>5.416666666686069</v>
      </c>
      <c r="M27" s="194">
        <f t="shared" si="4"/>
        <v>325</v>
      </c>
      <c r="N27" s="234" t="s">
        <v>251</v>
      </c>
      <c r="O27" s="195" t="str">
        <f t="shared" si="5"/>
        <v>--</v>
      </c>
      <c r="P27" s="155" t="str">
        <f t="shared" si="6"/>
        <v>NO</v>
      </c>
      <c r="Q27" s="155" t="str">
        <f t="shared" si="1"/>
        <v>--</v>
      </c>
      <c r="R27" s="859">
        <f t="shared" si="7"/>
        <v>120.67072824000003</v>
      </c>
      <c r="S27" s="860" t="str">
        <f t="shared" si="8"/>
        <v>--</v>
      </c>
      <c r="T27" s="237" t="str">
        <f t="shared" si="9"/>
        <v>--</v>
      </c>
      <c r="U27" s="238" t="str">
        <f t="shared" si="10"/>
        <v>--</v>
      </c>
      <c r="V27" s="239" t="str">
        <f t="shared" si="11"/>
        <v>--</v>
      </c>
      <c r="W27" s="861" t="str">
        <f t="shared" si="12"/>
        <v>--</v>
      </c>
      <c r="X27" s="862" t="str">
        <f t="shared" si="13"/>
        <v>--</v>
      </c>
      <c r="Y27" s="863" t="str">
        <f t="shared" si="14"/>
        <v>--</v>
      </c>
      <c r="Z27" s="240" t="str">
        <f t="shared" si="15"/>
        <v>--</v>
      </c>
      <c r="AA27" s="241" t="str">
        <f t="shared" si="16"/>
        <v>--</v>
      </c>
      <c r="AB27" s="864" t="s">
        <v>248</v>
      </c>
      <c r="AC27" s="16">
        <f t="shared" si="17"/>
        <v>120.67072824000003</v>
      </c>
      <c r="AD27" s="865"/>
    </row>
    <row r="28" spans="2:30" s="5" customFormat="1" ht="16.5" customHeight="1">
      <c r="B28" s="50"/>
      <c r="C28" s="157">
        <v>13</v>
      </c>
      <c r="D28" s="148" t="s">
        <v>284</v>
      </c>
      <c r="E28" s="150">
        <v>500</v>
      </c>
      <c r="F28" s="919">
        <v>183.89999389648438</v>
      </c>
      <c r="G28" s="150" t="s">
        <v>259</v>
      </c>
      <c r="H28" s="855">
        <f t="shared" si="0"/>
        <v>20</v>
      </c>
      <c r="I28" s="856">
        <f t="shared" si="2"/>
        <v>215.49217384796142</v>
      </c>
      <c r="J28" s="191">
        <v>39765.49166666667</v>
      </c>
      <c r="K28" s="233">
        <v>39765.56180555555</v>
      </c>
      <c r="L28" s="193">
        <f t="shared" si="3"/>
        <v>1.68333333323244</v>
      </c>
      <c r="M28" s="194">
        <f t="shared" si="4"/>
        <v>101</v>
      </c>
      <c r="N28" s="234" t="s">
        <v>279</v>
      </c>
      <c r="O28" s="195" t="str">
        <f t="shared" si="5"/>
        <v>--</v>
      </c>
      <c r="P28" s="155" t="str">
        <f t="shared" si="6"/>
        <v>NO</v>
      </c>
      <c r="Q28" s="155" t="s">
        <v>248</v>
      </c>
      <c r="R28" s="859" t="str">
        <f t="shared" si="7"/>
        <v>--</v>
      </c>
      <c r="S28" s="860" t="str">
        <f t="shared" si="8"/>
        <v>--</v>
      </c>
      <c r="T28" s="237" t="str">
        <f t="shared" si="9"/>
        <v>--</v>
      </c>
      <c r="U28" s="238">
        <f t="shared" si="10"/>
        <v>7240.537041291504</v>
      </c>
      <c r="V28" s="239" t="str">
        <f t="shared" si="11"/>
        <v>--</v>
      </c>
      <c r="W28" s="861" t="str">
        <f t="shared" si="12"/>
        <v>--</v>
      </c>
      <c r="X28" s="862" t="str">
        <f t="shared" si="13"/>
        <v>--</v>
      </c>
      <c r="Y28" s="863" t="str">
        <f t="shared" si="14"/>
        <v>--</v>
      </c>
      <c r="Z28" s="240" t="str">
        <f t="shared" si="15"/>
        <v>--</v>
      </c>
      <c r="AA28" s="241" t="str">
        <f t="shared" si="16"/>
        <v>--</v>
      </c>
      <c r="AB28" s="864" t="s">
        <v>248</v>
      </c>
      <c r="AC28" s="16">
        <f t="shared" si="17"/>
        <v>7240.537041291504</v>
      </c>
      <c r="AD28" s="865"/>
    </row>
    <row r="29" spans="2:30" s="5" customFormat="1" ht="16.5" customHeight="1">
      <c r="B29" s="50"/>
      <c r="C29" s="157">
        <v>15</v>
      </c>
      <c r="D29" s="148" t="s">
        <v>284</v>
      </c>
      <c r="E29" s="150">
        <v>500</v>
      </c>
      <c r="F29" s="919">
        <v>183.89999389648438</v>
      </c>
      <c r="G29" s="150" t="s">
        <v>259</v>
      </c>
      <c r="H29" s="855">
        <f t="shared" si="0"/>
        <v>20</v>
      </c>
      <c r="I29" s="856">
        <f t="shared" si="2"/>
        <v>215.49217384796142</v>
      </c>
      <c r="J29" s="191">
        <v>39767.69513888889</v>
      </c>
      <c r="K29" s="192">
        <v>39767.79027777778</v>
      </c>
      <c r="L29" s="193">
        <f t="shared" si="3"/>
        <v>2.2833333332673647</v>
      </c>
      <c r="M29" s="194">
        <f t="shared" si="4"/>
        <v>137</v>
      </c>
      <c r="N29" s="234" t="s">
        <v>279</v>
      </c>
      <c r="O29" s="195" t="str">
        <f t="shared" si="5"/>
        <v>--</v>
      </c>
      <c r="P29" s="155" t="str">
        <f t="shared" si="6"/>
        <v>NO</v>
      </c>
      <c r="Q29" s="155" t="s">
        <v>248</v>
      </c>
      <c r="R29" s="859" t="str">
        <f t="shared" si="7"/>
        <v>--</v>
      </c>
      <c r="S29" s="860" t="str">
        <f t="shared" si="8"/>
        <v>--</v>
      </c>
      <c r="T29" s="237" t="str">
        <f t="shared" si="9"/>
        <v>--</v>
      </c>
      <c r="U29" s="238">
        <f t="shared" si="10"/>
        <v>9826.44312746704</v>
      </c>
      <c r="V29" s="239" t="str">
        <f t="shared" si="11"/>
        <v>--</v>
      </c>
      <c r="W29" s="861" t="str">
        <f t="shared" si="12"/>
        <v>--</v>
      </c>
      <c r="X29" s="862" t="str">
        <f t="shared" si="13"/>
        <v>--</v>
      </c>
      <c r="Y29" s="863" t="str">
        <f t="shared" si="14"/>
        <v>--</v>
      </c>
      <c r="Z29" s="240" t="str">
        <f t="shared" si="15"/>
        <v>--</v>
      </c>
      <c r="AA29" s="241" t="str">
        <f t="shared" si="16"/>
        <v>--</v>
      </c>
      <c r="AB29" s="864" t="s">
        <v>248</v>
      </c>
      <c r="AC29" s="16">
        <f t="shared" si="17"/>
        <v>9826.44312746704</v>
      </c>
      <c r="AD29" s="865"/>
    </row>
    <row r="30" spans="2:30" s="5" customFormat="1" ht="16.5" customHeight="1">
      <c r="B30" s="50"/>
      <c r="C30" s="157">
        <v>17</v>
      </c>
      <c r="D30" s="866" t="s">
        <v>365</v>
      </c>
      <c r="E30" s="867">
        <v>500</v>
      </c>
      <c r="F30" s="918">
        <v>57</v>
      </c>
      <c r="G30" s="867" t="s">
        <v>259</v>
      </c>
      <c r="H30" s="855">
        <f t="shared" si="0"/>
        <v>20</v>
      </c>
      <c r="I30" s="856">
        <f t="shared" si="2"/>
        <v>117.179</v>
      </c>
      <c r="J30" s="191">
        <v>39768.06597222222</v>
      </c>
      <c r="K30" s="192">
        <v>39768.06805555556</v>
      </c>
      <c r="L30" s="193">
        <f t="shared" si="3"/>
        <v>0.05000000016298145</v>
      </c>
      <c r="M30" s="194">
        <f t="shared" si="4"/>
        <v>3</v>
      </c>
      <c r="N30" s="234" t="s">
        <v>251</v>
      </c>
      <c r="O30" s="195" t="str">
        <f t="shared" si="5"/>
        <v>--</v>
      </c>
      <c r="P30" s="155" t="str">
        <f t="shared" si="6"/>
        <v>NO</v>
      </c>
      <c r="Q30" s="155" t="str">
        <f t="shared" si="1"/>
        <v>--</v>
      </c>
      <c r="R30" s="859">
        <f t="shared" si="7"/>
        <v>1.17179</v>
      </c>
      <c r="S30" s="860" t="str">
        <f t="shared" si="8"/>
        <v>--</v>
      </c>
      <c r="T30" s="237" t="str">
        <f t="shared" si="9"/>
        <v>--</v>
      </c>
      <c r="U30" s="238" t="str">
        <f t="shared" si="10"/>
        <v>--</v>
      </c>
      <c r="V30" s="239" t="str">
        <f t="shared" si="11"/>
        <v>--</v>
      </c>
      <c r="W30" s="861" t="str">
        <f t="shared" si="12"/>
        <v>--</v>
      </c>
      <c r="X30" s="862" t="str">
        <f t="shared" si="13"/>
        <v>--</v>
      </c>
      <c r="Y30" s="863" t="str">
        <f t="shared" si="14"/>
        <v>--</v>
      </c>
      <c r="Z30" s="240" t="str">
        <f t="shared" si="15"/>
        <v>--</v>
      </c>
      <c r="AA30" s="241" t="str">
        <f t="shared" si="16"/>
        <v>--</v>
      </c>
      <c r="AB30" s="864" t="s">
        <v>248</v>
      </c>
      <c r="AC30" s="16">
        <v>0</v>
      </c>
      <c r="AD30" s="865"/>
    </row>
    <row r="31" spans="2:30" s="5" customFormat="1" ht="16.5" customHeight="1">
      <c r="B31" s="50"/>
      <c r="C31" s="289">
        <v>18</v>
      </c>
      <c r="D31" s="148" t="s">
        <v>283</v>
      </c>
      <c r="E31" s="150">
        <v>220</v>
      </c>
      <c r="F31" s="919">
        <v>114</v>
      </c>
      <c r="G31" s="150" t="s">
        <v>259</v>
      </c>
      <c r="H31" s="855">
        <f t="shared" si="0"/>
        <v>20</v>
      </c>
      <c r="I31" s="856">
        <f t="shared" si="2"/>
        <v>111.31986</v>
      </c>
      <c r="J31" s="191">
        <v>39769.56458333333</v>
      </c>
      <c r="K31" s="192">
        <v>39769.74097222222</v>
      </c>
      <c r="L31" s="193">
        <f t="shared" si="3"/>
        <v>4.233333333337214</v>
      </c>
      <c r="M31" s="194">
        <f t="shared" si="4"/>
        <v>254</v>
      </c>
      <c r="N31" s="234" t="s">
        <v>251</v>
      </c>
      <c r="O31" s="195" t="str">
        <f t="shared" si="5"/>
        <v>--</v>
      </c>
      <c r="P31" s="155" t="str">
        <f t="shared" si="6"/>
        <v>NO</v>
      </c>
      <c r="Q31" s="155" t="str">
        <f t="shared" si="1"/>
        <v>--</v>
      </c>
      <c r="R31" s="859">
        <f t="shared" si="7"/>
        <v>94.17660156000002</v>
      </c>
      <c r="S31" s="860" t="str">
        <f t="shared" si="8"/>
        <v>--</v>
      </c>
      <c r="T31" s="237" t="str">
        <f t="shared" si="9"/>
        <v>--</v>
      </c>
      <c r="U31" s="238" t="str">
        <f t="shared" si="10"/>
        <v>--</v>
      </c>
      <c r="V31" s="239" t="str">
        <f t="shared" si="11"/>
        <v>--</v>
      </c>
      <c r="W31" s="861" t="str">
        <f t="shared" si="12"/>
        <v>--</v>
      </c>
      <c r="X31" s="862" t="str">
        <f t="shared" si="13"/>
        <v>--</v>
      </c>
      <c r="Y31" s="863" t="str">
        <f t="shared" si="14"/>
        <v>--</v>
      </c>
      <c r="Z31" s="240" t="str">
        <f t="shared" si="15"/>
        <v>--</v>
      </c>
      <c r="AA31" s="241" t="str">
        <f t="shared" si="16"/>
        <v>--</v>
      </c>
      <c r="AB31" s="864" t="s">
        <v>248</v>
      </c>
      <c r="AC31" s="16">
        <f t="shared" si="17"/>
        <v>94.17660156000002</v>
      </c>
      <c r="AD31" s="865"/>
    </row>
    <row r="32" spans="2:30" s="5" customFormat="1" ht="16.5" customHeight="1">
      <c r="B32" s="50"/>
      <c r="C32" s="157">
        <v>19</v>
      </c>
      <c r="D32" s="148" t="s">
        <v>285</v>
      </c>
      <c r="E32" s="150">
        <v>220</v>
      </c>
      <c r="F32" s="919">
        <v>114</v>
      </c>
      <c r="G32" s="150" t="s">
        <v>259</v>
      </c>
      <c r="H32" s="855">
        <f t="shared" si="0"/>
        <v>20</v>
      </c>
      <c r="I32" s="856">
        <f t="shared" si="2"/>
        <v>111.31986</v>
      </c>
      <c r="J32" s="191">
        <v>39770.32638888889</v>
      </c>
      <c r="K32" s="192">
        <v>39770.76666666667</v>
      </c>
      <c r="L32" s="193">
        <f t="shared" si="3"/>
        <v>10.566666666709352</v>
      </c>
      <c r="M32" s="194">
        <f t="shared" si="4"/>
        <v>634</v>
      </c>
      <c r="N32" s="234" t="s">
        <v>251</v>
      </c>
      <c r="O32" s="195" t="str">
        <f t="shared" si="5"/>
        <v>--</v>
      </c>
      <c r="P32" s="155" t="str">
        <f t="shared" si="6"/>
        <v>NO</v>
      </c>
      <c r="Q32" s="155" t="str">
        <f t="shared" si="1"/>
        <v>--</v>
      </c>
      <c r="R32" s="859">
        <f t="shared" si="7"/>
        <v>235.33018404000006</v>
      </c>
      <c r="S32" s="860" t="str">
        <f t="shared" si="8"/>
        <v>--</v>
      </c>
      <c r="T32" s="237" t="str">
        <f t="shared" si="9"/>
        <v>--</v>
      </c>
      <c r="U32" s="238" t="str">
        <f t="shared" si="10"/>
        <v>--</v>
      </c>
      <c r="V32" s="239" t="str">
        <f t="shared" si="11"/>
        <v>--</v>
      </c>
      <c r="W32" s="861" t="str">
        <f t="shared" si="12"/>
        <v>--</v>
      </c>
      <c r="X32" s="862" t="str">
        <f t="shared" si="13"/>
        <v>--</v>
      </c>
      <c r="Y32" s="863" t="str">
        <f t="shared" si="14"/>
        <v>--</v>
      </c>
      <c r="Z32" s="240" t="str">
        <f t="shared" si="15"/>
        <v>--</v>
      </c>
      <c r="AA32" s="241" t="str">
        <f t="shared" si="16"/>
        <v>--</v>
      </c>
      <c r="AB32" s="864" t="s">
        <v>248</v>
      </c>
      <c r="AC32" s="16">
        <f t="shared" si="17"/>
        <v>235.33018404000006</v>
      </c>
      <c r="AD32" s="865"/>
    </row>
    <row r="33" spans="2:30" s="5" customFormat="1" ht="16.5" customHeight="1">
      <c r="B33" s="50"/>
      <c r="C33" s="289">
        <v>20</v>
      </c>
      <c r="D33" s="148" t="s">
        <v>286</v>
      </c>
      <c r="E33" s="150">
        <v>500</v>
      </c>
      <c r="F33" s="919">
        <v>30</v>
      </c>
      <c r="G33" s="150" t="s">
        <v>259</v>
      </c>
      <c r="H33" s="855">
        <f t="shared" si="0"/>
        <v>20</v>
      </c>
      <c r="I33" s="856">
        <f t="shared" si="2"/>
        <v>117.179</v>
      </c>
      <c r="J33" s="191">
        <v>39771.04652777778</v>
      </c>
      <c r="K33" s="192">
        <v>39771.24652777778</v>
      </c>
      <c r="L33" s="193">
        <f t="shared" si="3"/>
        <v>4.800000000104774</v>
      </c>
      <c r="M33" s="194">
        <f t="shared" si="4"/>
        <v>288</v>
      </c>
      <c r="N33" s="234" t="s">
        <v>251</v>
      </c>
      <c r="O33" s="195" t="str">
        <f t="shared" si="5"/>
        <v>--</v>
      </c>
      <c r="P33" s="155" t="str">
        <f t="shared" si="6"/>
        <v>NO</v>
      </c>
      <c r="Q33" s="155" t="str">
        <f t="shared" si="1"/>
        <v>--</v>
      </c>
      <c r="R33" s="859">
        <f t="shared" si="7"/>
        <v>112.49184</v>
      </c>
      <c r="S33" s="860" t="str">
        <f t="shared" si="8"/>
        <v>--</v>
      </c>
      <c r="T33" s="237" t="str">
        <f t="shared" si="9"/>
        <v>--</v>
      </c>
      <c r="U33" s="238" t="str">
        <f t="shared" si="10"/>
        <v>--</v>
      </c>
      <c r="V33" s="239" t="str">
        <f t="shared" si="11"/>
        <v>--</v>
      </c>
      <c r="W33" s="861" t="str">
        <f t="shared" si="12"/>
        <v>--</v>
      </c>
      <c r="X33" s="862" t="str">
        <f t="shared" si="13"/>
        <v>--</v>
      </c>
      <c r="Y33" s="863" t="str">
        <f t="shared" si="14"/>
        <v>--</v>
      </c>
      <c r="Z33" s="240" t="str">
        <f t="shared" si="15"/>
        <v>--</v>
      </c>
      <c r="AA33" s="241" t="str">
        <f t="shared" si="16"/>
        <v>--</v>
      </c>
      <c r="AB33" s="864" t="s">
        <v>248</v>
      </c>
      <c r="AC33" s="16">
        <f t="shared" si="17"/>
        <v>112.49184</v>
      </c>
      <c r="AD33" s="865"/>
    </row>
    <row r="34" spans="2:30" s="5" customFormat="1" ht="16.5" customHeight="1">
      <c r="B34" s="50"/>
      <c r="C34" s="157">
        <v>21</v>
      </c>
      <c r="D34" s="148" t="s">
        <v>287</v>
      </c>
      <c r="E34" s="150">
        <v>500</v>
      </c>
      <c r="F34" s="919">
        <v>52</v>
      </c>
      <c r="G34" s="150" t="s">
        <v>259</v>
      </c>
      <c r="H34" s="855">
        <f t="shared" si="0"/>
        <v>20</v>
      </c>
      <c r="I34" s="856">
        <f t="shared" si="2"/>
        <v>117.179</v>
      </c>
      <c r="J34" s="191">
        <v>39773.447222222225</v>
      </c>
      <c r="K34" s="192">
        <v>39773.79722222222</v>
      </c>
      <c r="L34" s="193">
        <f t="shared" si="3"/>
        <v>8.399999999965075</v>
      </c>
      <c r="M34" s="194">
        <f t="shared" si="4"/>
        <v>504</v>
      </c>
      <c r="N34" s="234" t="s">
        <v>251</v>
      </c>
      <c r="O34" s="195" t="str">
        <f t="shared" si="5"/>
        <v>--</v>
      </c>
      <c r="P34" s="155" t="str">
        <f t="shared" si="6"/>
        <v>NO</v>
      </c>
      <c r="Q34" s="155" t="str">
        <f t="shared" si="1"/>
        <v>--</v>
      </c>
      <c r="R34" s="859">
        <f t="shared" si="7"/>
        <v>196.86072000000001</v>
      </c>
      <c r="S34" s="860" t="str">
        <f t="shared" si="8"/>
        <v>--</v>
      </c>
      <c r="T34" s="237" t="str">
        <f t="shared" si="9"/>
        <v>--</v>
      </c>
      <c r="U34" s="238" t="str">
        <f t="shared" si="10"/>
        <v>--</v>
      </c>
      <c r="V34" s="239" t="str">
        <f t="shared" si="11"/>
        <v>--</v>
      </c>
      <c r="W34" s="861" t="str">
        <f t="shared" si="12"/>
        <v>--</v>
      </c>
      <c r="X34" s="862" t="str">
        <f t="shared" si="13"/>
        <v>--</v>
      </c>
      <c r="Y34" s="863" t="str">
        <f t="shared" si="14"/>
        <v>--</v>
      </c>
      <c r="Z34" s="240" t="str">
        <f t="shared" si="15"/>
        <v>--</v>
      </c>
      <c r="AA34" s="241" t="str">
        <f t="shared" si="16"/>
        <v>--</v>
      </c>
      <c r="AB34" s="864" t="s">
        <v>248</v>
      </c>
      <c r="AC34" s="16">
        <f t="shared" si="17"/>
        <v>196.86072000000001</v>
      </c>
      <c r="AD34" s="865"/>
    </row>
    <row r="35" spans="2:30" s="5" customFormat="1" ht="16.5" customHeight="1">
      <c r="B35" s="50"/>
      <c r="C35" s="289">
        <v>22</v>
      </c>
      <c r="D35" s="148" t="s">
        <v>288</v>
      </c>
      <c r="E35" s="150">
        <v>220</v>
      </c>
      <c r="F35" s="919">
        <v>26</v>
      </c>
      <c r="G35" s="150" t="s">
        <v>259</v>
      </c>
      <c r="H35" s="855">
        <f t="shared" si="0"/>
        <v>20</v>
      </c>
      <c r="I35" s="856">
        <f t="shared" si="2"/>
        <v>97.649</v>
      </c>
      <c r="J35" s="191">
        <v>39774.31527777778</v>
      </c>
      <c r="K35" s="192">
        <v>39774.74513888889</v>
      </c>
      <c r="L35" s="193">
        <f t="shared" si="3"/>
        <v>10.316666666592937</v>
      </c>
      <c r="M35" s="194">
        <f t="shared" si="4"/>
        <v>619</v>
      </c>
      <c r="N35" s="234" t="s">
        <v>251</v>
      </c>
      <c r="O35" s="195" t="str">
        <f t="shared" si="5"/>
        <v>--</v>
      </c>
      <c r="P35" s="155" t="str">
        <f t="shared" si="6"/>
        <v>NO</v>
      </c>
      <c r="Q35" s="155" t="str">
        <f t="shared" si="1"/>
        <v>--</v>
      </c>
      <c r="R35" s="859">
        <f t="shared" si="7"/>
        <v>201.547536</v>
      </c>
      <c r="S35" s="860" t="str">
        <f t="shared" si="8"/>
        <v>--</v>
      </c>
      <c r="T35" s="237" t="str">
        <f t="shared" si="9"/>
        <v>--</v>
      </c>
      <c r="U35" s="238" t="str">
        <f t="shared" si="10"/>
        <v>--</v>
      </c>
      <c r="V35" s="239" t="str">
        <f t="shared" si="11"/>
        <v>--</v>
      </c>
      <c r="W35" s="861" t="str">
        <f t="shared" si="12"/>
        <v>--</v>
      </c>
      <c r="X35" s="862" t="str">
        <f t="shared" si="13"/>
        <v>--</v>
      </c>
      <c r="Y35" s="863" t="str">
        <f t="shared" si="14"/>
        <v>--</v>
      </c>
      <c r="Z35" s="240" t="str">
        <f t="shared" si="15"/>
        <v>--</v>
      </c>
      <c r="AA35" s="241" t="str">
        <f t="shared" si="16"/>
        <v>--</v>
      </c>
      <c r="AB35" s="864" t="s">
        <v>248</v>
      </c>
      <c r="AC35" s="16">
        <f t="shared" si="17"/>
        <v>201.547536</v>
      </c>
      <c r="AD35" s="865"/>
    </row>
    <row r="36" spans="2:30" s="5" customFormat="1" ht="16.5" customHeight="1" thickBot="1">
      <c r="B36" s="50"/>
      <c r="C36" s="157"/>
      <c r="D36" s="152"/>
      <c r="E36" s="243"/>
      <c r="F36" s="913"/>
      <c r="G36" s="244"/>
      <c r="H36" s="870"/>
      <c r="I36" s="871"/>
      <c r="J36" s="908"/>
      <c r="K36" s="908"/>
      <c r="L36" s="9"/>
      <c r="M36" s="9"/>
      <c r="N36" s="154"/>
      <c r="O36" s="197"/>
      <c r="P36" s="154"/>
      <c r="Q36" s="154"/>
      <c r="R36" s="872"/>
      <c r="S36" s="873"/>
      <c r="T36" s="245"/>
      <c r="U36" s="246"/>
      <c r="V36" s="247"/>
      <c r="W36" s="874"/>
      <c r="X36" s="875"/>
      <c r="Y36" s="876"/>
      <c r="Z36" s="248"/>
      <c r="AA36" s="249"/>
      <c r="AB36" s="877"/>
      <c r="AC36" s="250"/>
      <c r="AD36" s="865"/>
    </row>
    <row r="37" spans="2:30" s="5" customFormat="1" ht="16.5" customHeight="1" thickBot="1" thickTop="1">
      <c r="B37" s="50"/>
      <c r="C37" s="128" t="s">
        <v>25</v>
      </c>
      <c r="D37" s="129" t="s">
        <v>367</v>
      </c>
      <c r="E37" s="251"/>
      <c r="F37" s="217"/>
      <c r="G37" s="252"/>
      <c r="H37" s="217"/>
      <c r="I37" s="198"/>
      <c r="J37" s="198"/>
      <c r="K37" s="198"/>
      <c r="L37" s="198"/>
      <c r="M37" s="198"/>
      <c r="N37" s="198"/>
      <c r="O37" s="253"/>
      <c r="P37" s="198"/>
      <c r="Q37" s="198"/>
      <c r="R37" s="878">
        <f aca="true" t="shared" si="18" ref="R37:AA37">SUM(R20:R36)</f>
        <v>1292.47489404</v>
      </c>
      <c r="S37" s="879">
        <f t="shared" si="18"/>
        <v>0</v>
      </c>
      <c r="T37" s="880">
        <f t="shared" si="18"/>
        <v>7733.814</v>
      </c>
      <c r="U37" s="880">
        <f t="shared" si="18"/>
        <v>32534.608168758547</v>
      </c>
      <c r="V37" s="880">
        <f t="shared" si="18"/>
        <v>0</v>
      </c>
      <c r="W37" s="881">
        <f t="shared" si="18"/>
        <v>0</v>
      </c>
      <c r="X37" s="881">
        <f t="shared" si="18"/>
        <v>0</v>
      </c>
      <c r="Y37" s="881">
        <f t="shared" si="18"/>
        <v>0</v>
      </c>
      <c r="Z37" s="254">
        <f t="shared" si="18"/>
        <v>0</v>
      </c>
      <c r="AA37" s="255">
        <f t="shared" si="18"/>
        <v>0</v>
      </c>
      <c r="AB37" s="256"/>
      <c r="AC37" s="257">
        <f>ROUND(SUM(AC20:AC36),2)</f>
        <v>41552.72</v>
      </c>
      <c r="AD37" s="865"/>
    </row>
    <row r="38" spans="2:30" s="5" customFormat="1" ht="16.5" customHeight="1" thickBot="1" thickTop="1">
      <c r="B38" s="74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6"/>
    </row>
    <row r="39" spans="2:30" ht="16.5" customHeight="1" thickTop="1">
      <c r="B39" s="1"/>
      <c r="AD39" s="1"/>
    </row>
  </sheetData>
  <sheetProtection password="CC12"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3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48">
    <pageSetUpPr fitToPage="1"/>
  </sheetPr>
  <dimension ref="A1:GL114"/>
  <sheetViews>
    <sheetView zoomScale="50" zoomScaleNormal="50" workbookViewId="0" topLeftCell="A1">
      <selection activeCell="C2" sqref="C2"/>
    </sheetView>
  </sheetViews>
  <sheetFormatPr defaultColWidth="11.421875" defaultRowHeight="12.75"/>
  <cols>
    <col min="1" max="1" width="15.7109375" style="5" customWidth="1"/>
    <col min="2" max="2" width="10.7109375" style="5" customWidth="1"/>
    <col min="3" max="3" width="10.421875" style="5" customWidth="1"/>
    <col min="4" max="4" width="44.00390625" style="5" customWidth="1"/>
    <col min="5" max="5" width="18.00390625" style="5" bestFit="1" customWidth="1"/>
    <col min="6" max="6" width="15.57421875" style="5" customWidth="1"/>
    <col min="7" max="7" width="7.7109375" style="5" hidden="1" customWidth="1"/>
    <col min="8" max="9" width="8.7109375" style="5" customWidth="1"/>
    <col min="10" max="10" width="9.7109375" style="5" bestFit="1" customWidth="1"/>
    <col min="11" max="20" width="8.7109375" style="5" customWidth="1"/>
    <col min="21" max="21" width="10.7109375" style="5" customWidth="1"/>
    <col min="22" max="16384" width="11.421875" style="5" customWidth="1"/>
  </cols>
  <sheetData>
    <row r="1" spans="21:22" ht="45" customHeight="1">
      <c r="U1" s="992"/>
      <c r="V1" s="993"/>
    </row>
    <row r="2" spans="2:22" s="18" customFormat="1" ht="26.25">
      <c r="B2" s="435" t="str">
        <f>+'SUP-ENECOR'!B3</f>
        <v>ANEXO VI al Memoràndum D.T.E.E. N°  366 / 2010          </v>
      </c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994"/>
    </row>
    <row r="3" spans="1:22" s="25" customFormat="1" ht="11.25">
      <c r="A3" s="23" t="s">
        <v>2</v>
      </c>
      <c r="B3" s="125"/>
      <c r="U3" s="995"/>
      <c r="V3" s="995"/>
    </row>
    <row r="4" spans="1:22" s="25" customFormat="1" ht="11.25">
      <c r="A4" s="23" t="s">
        <v>3</v>
      </c>
      <c r="B4" s="125"/>
      <c r="U4" s="125"/>
      <c r="V4" s="995"/>
    </row>
    <row r="5" spans="21:22" ht="9.75" customHeight="1">
      <c r="U5" s="22"/>
      <c r="V5" s="993"/>
    </row>
    <row r="6" spans="2:178" s="996" customFormat="1" ht="23.25">
      <c r="B6" s="541" t="s">
        <v>374</v>
      </c>
      <c r="C6" s="541"/>
      <c r="D6" s="997"/>
      <c r="E6" s="541"/>
      <c r="F6" s="541"/>
      <c r="G6" s="541"/>
      <c r="H6" s="541"/>
      <c r="I6" s="541"/>
      <c r="J6" s="541"/>
      <c r="K6" s="541"/>
      <c r="L6" s="541"/>
      <c r="M6" s="541"/>
      <c r="N6" s="541"/>
      <c r="O6" s="541"/>
      <c r="P6" s="541"/>
      <c r="Q6" s="541"/>
      <c r="R6" s="541"/>
      <c r="S6" s="541"/>
      <c r="T6" s="541"/>
      <c r="U6" s="541"/>
      <c r="V6" s="998"/>
      <c r="W6" s="541"/>
      <c r="X6" s="541"/>
      <c r="Y6" s="541"/>
      <c r="Z6" s="541"/>
      <c r="AA6" s="541"/>
      <c r="AB6" s="541"/>
      <c r="AC6" s="541"/>
      <c r="AD6" s="541"/>
      <c r="AE6" s="541"/>
      <c r="AF6" s="541"/>
      <c r="AG6" s="541"/>
      <c r="AH6" s="541"/>
      <c r="AI6" s="541"/>
      <c r="AJ6" s="541"/>
      <c r="AK6" s="541"/>
      <c r="AL6" s="541"/>
      <c r="AM6" s="541"/>
      <c r="AN6" s="541"/>
      <c r="AO6" s="541"/>
      <c r="AP6" s="541"/>
      <c r="AQ6" s="541"/>
      <c r="AR6" s="541"/>
      <c r="AS6" s="541"/>
      <c r="AT6" s="541"/>
      <c r="AU6" s="541"/>
      <c r="AV6" s="541"/>
      <c r="AW6" s="541"/>
      <c r="AX6" s="541"/>
      <c r="AY6" s="541"/>
      <c r="AZ6" s="541"/>
      <c r="BA6" s="541"/>
      <c r="BB6" s="541"/>
      <c r="BC6" s="541"/>
      <c r="BD6" s="541"/>
      <c r="BE6" s="541"/>
      <c r="BF6" s="541"/>
      <c r="BG6" s="541"/>
      <c r="BH6" s="541"/>
      <c r="BI6" s="541"/>
      <c r="BJ6" s="541"/>
      <c r="BK6" s="541"/>
      <c r="BL6" s="541"/>
      <c r="BM6" s="541"/>
      <c r="BN6" s="541"/>
      <c r="BO6" s="541"/>
      <c r="BP6" s="541"/>
      <c r="BQ6" s="541"/>
      <c r="BR6" s="541"/>
      <c r="BS6" s="541"/>
      <c r="BT6" s="541"/>
      <c r="BU6" s="541"/>
      <c r="BV6" s="541"/>
      <c r="BW6" s="541"/>
      <c r="BX6" s="541"/>
      <c r="BY6" s="541"/>
      <c r="BZ6" s="541"/>
      <c r="CA6" s="541"/>
      <c r="CB6" s="541"/>
      <c r="CC6" s="541"/>
      <c r="CD6" s="541"/>
      <c r="CE6" s="541"/>
      <c r="CF6" s="541"/>
      <c r="CG6" s="541"/>
      <c r="CH6" s="541"/>
      <c r="CI6" s="541"/>
      <c r="CJ6" s="541"/>
      <c r="CK6" s="541"/>
      <c r="CL6" s="541"/>
      <c r="CM6" s="541"/>
      <c r="CN6" s="541"/>
      <c r="CO6" s="541"/>
      <c r="CP6" s="541"/>
      <c r="CQ6" s="541"/>
      <c r="CR6" s="541"/>
      <c r="CS6" s="541"/>
      <c r="CT6" s="541"/>
      <c r="CU6" s="541"/>
      <c r="CV6" s="541"/>
      <c r="CW6" s="541"/>
      <c r="CX6" s="541"/>
      <c r="CY6" s="541"/>
      <c r="CZ6" s="541"/>
      <c r="DA6" s="541"/>
      <c r="DB6" s="541"/>
      <c r="DC6" s="541"/>
      <c r="DD6" s="541"/>
      <c r="DE6" s="541"/>
      <c r="DF6" s="541"/>
      <c r="DG6" s="541"/>
      <c r="DH6" s="541"/>
      <c r="DI6" s="541"/>
      <c r="DJ6" s="541"/>
      <c r="DK6" s="541"/>
      <c r="DL6" s="541"/>
      <c r="DM6" s="541"/>
      <c r="DN6" s="541"/>
      <c r="DO6" s="541"/>
      <c r="DP6" s="541"/>
      <c r="DQ6" s="541"/>
      <c r="DR6" s="541"/>
      <c r="DS6" s="541"/>
      <c r="DT6" s="541"/>
      <c r="DU6" s="541"/>
      <c r="DV6" s="541"/>
      <c r="DW6" s="541"/>
      <c r="DX6" s="541"/>
      <c r="DY6" s="541"/>
      <c r="DZ6" s="541"/>
      <c r="EA6" s="541"/>
      <c r="EB6" s="541"/>
      <c r="EC6" s="541"/>
      <c r="ED6" s="541"/>
      <c r="EE6" s="541"/>
      <c r="EF6" s="541"/>
      <c r="EG6" s="541"/>
      <c r="EH6" s="541"/>
      <c r="EI6" s="541"/>
      <c r="EJ6" s="541"/>
      <c r="EK6" s="541"/>
      <c r="EL6" s="541"/>
      <c r="EM6" s="541"/>
      <c r="EN6" s="541"/>
      <c r="EO6" s="541"/>
      <c r="EP6" s="541"/>
      <c r="EQ6" s="541"/>
      <c r="ER6" s="541"/>
      <c r="ES6" s="541"/>
      <c r="ET6" s="541"/>
      <c r="EU6" s="541"/>
      <c r="EV6" s="541"/>
      <c r="EW6" s="541"/>
      <c r="EX6" s="541"/>
      <c r="EY6" s="541"/>
      <c r="EZ6" s="541"/>
      <c r="FA6" s="541"/>
      <c r="FB6" s="541"/>
      <c r="FC6" s="541"/>
      <c r="FD6" s="541"/>
      <c r="FE6" s="541"/>
      <c r="FF6" s="541"/>
      <c r="FG6" s="541"/>
      <c r="FH6" s="541"/>
      <c r="FI6" s="541"/>
      <c r="FJ6" s="541"/>
      <c r="FK6" s="541"/>
      <c r="FL6" s="541"/>
      <c r="FM6" s="541"/>
      <c r="FN6" s="541"/>
      <c r="FO6" s="541"/>
      <c r="FP6" s="541"/>
      <c r="FQ6" s="541"/>
      <c r="FR6" s="541"/>
      <c r="FS6" s="541"/>
      <c r="FT6" s="541"/>
      <c r="FU6" s="541"/>
      <c r="FV6" s="541"/>
    </row>
    <row r="7" spans="2:178" s="32" customFormat="1" ht="9.75" customHeight="1">
      <c r="B7" s="755"/>
      <c r="C7" s="755"/>
      <c r="D7" s="755"/>
      <c r="E7" s="755"/>
      <c r="F7" s="755"/>
      <c r="G7" s="755"/>
      <c r="H7" s="755"/>
      <c r="I7" s="755"/>
      <c r="J7" s="755"/>
      <c r="K7" s="755"/>
      <c r="L7" s="755"/>
      <c r="M7" s="755"/>
      <c r="N7" s="755"/>
      <c r="O7" s="755"/>
      <c r="P7" s="755"/>
      <c r="Q7" s="755"/>
      <c r="R7" s="755"/>
      <c r="S7" s="755"/>
      <c r="T7" s="755"/>
      <c r="U7" s="983"/>
      <c r="V7" s="983"/>
      <c r="W7" s="755"/>
      <c r="X7" s="755"/>
      <c r="Y7" s="755"/>
      <c r="Z7" s="755"/>
      <c r="AA7" s="755"/>
      <c r="AB7" s="755"/>
      <c r="AC7" s="755"/>
      <c r="AD7" s="755"/>
      <c r="AE7" s="755"/>
      <c r="AF7" s="755"/>
      <c r="AG7" s="755"/>
      <c r="AH7" s="755"/>
      <c r="AI7" s="755"/>
      <c r="AJ7" s="755"/>
      <c r="AK7" s="755"/>
      <c r="AL7" s="755"/>
      <c r="AM7" s="755"/>
      <c r="AN7" s="755"/>
      <c r="AO7" s="755"/>
      <c r="AP7" s="755"/>
      <c r="AQ7" s="755"/>
      <c r="AR7" s="755"/>
      <c r="AS7" s="755"/>
      <c r="AT7" s="755"/>
      <c r="AU7" s="755"/>
      <c r="AV7" s="755"/>
      <c r="AW7" s="755"/>
      <c r="AX7" s="755"/>
      <c r="AY7" s="755"/>
      <c r="AZ7" s="755"/>
      <c r="BA7" s="755"/>
      <c r="BB7" s="755"/>
      <c r="BC7" s="755"/>
      <c r="BD7" s="755"/>
      <c r="BE7" s="755"/>
      <c r="BF7" s="755"/>
      <c r="BG7" s="755"/>
      <c r="BH7" s="755"/>
      <c r="BI7" s="755"/>
      <c r="BJ7" s="755"/>
      <c r="BK7" s="755"/>
      <c r="BL7" s="755"/>
      <c r="BM7" s="755"/>
      <c r="BN7" s="755"/>
      <c r="BO7" s="755"/>
      <c r="BP7" s="755"/>
      <c r="BQ7" s="755"/>
      <c r="BR7" s="755"/>
      <c r="BS7" s="755"/>
      <c r="BT7" s="755"/>
      <c r="BU7" s="755"/>
      <c r="BV7" s="755"/>
      <c r="BW7" s="755"/>
      <c r="BX7" s="755"/>
      <c r="BY7" s="755"/>
      <c r="BZ7" s="755"/>
      <c r="CA7" s="755"/>
      <c r="CB7" s="755"/>
      <c r="CC7" s="755"/>
      <c r="CD7" s="755"/>
      <c r="CE7" s="755"/>
      <c r="CF7" s="755"/>
      <c r="CG7" s="755"/>
      <c r="CH7" s="755"/>
      <c r="CI7" s="755"/>
      <c r="CJ7" s="755"/>
      <c r="CK7" s="755"/>
      <c r="CL7" s="755"/>
      <c r="CM7" s="755"/>
      <c r="CN7" s="755"/>
      <c r="CO7" s="755"/>
      <c r="CP7" s="755"/>
      <c r="CQ7" s="755"/>
      <c r="CR7" s="755"/>
      <c r="CS7" s="755"/>
      <c r="CT7" s="755"/>
      <c r="CU7" s="755"/>
      <c r="CV7" s="755"/>
      <c r="CW7" s="755"/>
      <c r="CX7" s="755"/>
      <c r="CY7" s="755"/>
      <c r="CZ7" s="755"/>
      <c r="DA7" s="755"/>
      <c r="DB7" s="755"/>
      <c r="DC7" s="755"/>
      <c r="DD7" s="755"/>
      <c r="DE7" s="755"/>
      <c r="DF7" s="755"/>
      <c r="DG7" s="755"/>
      <c r="DH7" s="755"/>
      <c r="DI7" s="755"/>
      <c r="DJ7" s="755"/>
      <c r="DK7" s="755"/>
      <c r="DL7" s="755"/>
      <c r="DM7" s="755"/>
      <c r="DN7" s="755"/>
      <c r="DO7" s="755"/>
      <c r="DP7" s="755"/>
      <c r="DQ7" s="755"/>
      <c r="DR7" s="755"/>
      <c r="DS7" s="755"/>
      <c r="DT7" s="755"/>
      <c r="DU7" s="755"/>
      <c r="DV7" s="755"/>
      <c r="DW7" s="755"/>
      <c r="DX7" s="755"/>
      <c r="DY7" s="755"/>
      <c r="DZ7" s="755"/>
      <c r="EA7" s="755"/>
      <c r="EB7" s="755"/>
      <c r="EC7" s="755"/>
      <c r="ED7" s="755"/>
      <c r="EE7" s="755"/>
      <c r="EF7" s="755"/>
      <c r="EG7" s="755"/>
      <c r="EH7" s="755"/>
      <c r="EI7" s="755"/>
      <c r="EJ7" s="755"/>
      <c r="EK7" s="755"/>
      <c r="EL7" s="755"/>
      <c r="EM7" s="755"/>
      <c r="EN7" s="755"/>
      <c r="EO7" s="755"/>
      <c r="EP7" s="755"/>
      <c r="EQ7" s="755"/>
      <c r="ER7" s="755"/>
      <c r="ES7" s="755"/>
      <c r="ET7" s="755"/>
      <c r="EU7" s="755"/>
      <c r="EV7" s="755"/>
      <c r="EW7" s="755"/>
      <c r="EX7" s="755"/>
      <c r="EY7" s="755"/>
      <c r="EZ7" s="755"/>
      <c r="FA7" s="755"/>
      <c r="FB7" s="755"/>
      <c r="FC7" s="755"/>
      <c r="FD7" s="755"/>
      <c r="FE7" s="755"/>
      <c r="FF7" s="755"/>
      <c r="FG7" s="755"/>
      <c r="FH7" s="755"/>
      <c r="FI7" s="755"/>
      <c r="FJ7" s="755"/>
      <c r="FK7" s="755"/>
      <c r="FL7" s="755"/>
      <c r="FM7" s="755"/>
      <c r="FN7" s="755"/>
      <c r="FO7" s="755"/>
      <c r="FP7" s="755"/>
      <c r="FQ7" s="755"/>
      <c r="FR7" s="755"/>
      <c r="FS7" s="755"/>
      <c r="FT7" s="755"/>
      <c r="FU7" s="755"/>
      <c r="FV7" s="755"/>
    </row>
    <row r="8" spans="2:178" s="999" customFormat="1" ht="23.25">
      <c r="B8" s="541" t="s">
        <v>62</v>
      </c>
      <c r="C8" s="997"/>
      <c r="D8" s="997"/>
      <c r="E8" s="997"/>
      <c r="F8" s="997"/>
      <c r="G8" s="997"/>
      <c r="H8" s="997"/>
      <c r="I8" s="997"/>
      <c r="J8" s="997"/>
      <c r="K8" s="997"/>
      <c r="L8" s="997"/>
      <c r="M8" s="997"/>
      <c r="N8" s="997"/>
      <c r="O8" s="997"/>
      <c r="P8" s="997"/>
      <c r="Q8" s="997"/>
      <c r="R8" s="997"/>
      <c r="S8" s="997"/>
      <c r="T8" s="997"/>
      <c r="U8" s="997"/>
      <c r="V8" s="1000"/>
      <c r="W8" s="997"/>
      <c r="X8" s="997"/>
      <c r="Y8" s="997"/>
      <c r="Z8" s="997"/>
      <c r="AA8" s="997"/>
      <c r="AB8" s="997"/>
      <c r="AC8" s="997"/>
      <c r="AD8" s="997"/>
      <c r="AE8" s="997"/>
      <c r="AF8" s="997"/>
      <c r="AG8" s="997"/>
      <c r="AH8" s="997"/>
      <c r="AI8" s="997"/>
      <c r="AJ8" s="997"/>
      <c r="AK8" s="997"/>
      <c r="AL8" s="997"/>
      <c r="AM8" s="997"/>
      <c r="AN8" s="997"/>
      <c r="AO8" s="997"/>
      <c r="AP8" s="997"/>
      <c r="AQ8" s="997"/>
      <c r="AR8" s="997"/>
      <c r="AS8" s="997"/>
      <c r="AT8" s="997"/>
      <c r="AU8" s="997"/>
      <c r="AV8" s="997"/>
      <c r="AW8" s="997"/>
      <c r="AX8" s="997"/>
      <c r="AY8" s="997"/>
      <c r="AZ8" s="997"/>
      <c r="BA8" s="997"/>
      <c r="BB8" s="997"/>
      <c r="BC8" s="997"/>
      <c r="BD8" s="997"/>
      <c r="BE8" s="997"/>
      <c r="BF8" s="997"/>
      <c r="BG8" s="997"/>
      <c r="BH8" s="997"/>
      <c r="BI8" s="997"/>
      <c r="BJ8" s="997"/>
      <c r="BK8" s="997"/>
      <c r="BL8" s="997"/>
      <c r="BM8" s="997"/>
      <c r="BN8" s="997"/>
      <c r="BO8" s="997"/>
      <c r="BP8" s="997"/>
      <c r="BQ8" s="997"/>
      <c r="BR8" s="997"/>
      <c r="BS8" s="997"/>
      <c r="BT8" s="997"/>
      <c r="BU8" s="997"/>
      <c r="BV8" s="997"/>
      <c r="BW8" s="997"/>
      <c r="BX8" s="997"/>
      <c r="BY8" s="997"/>
      <c r="BZ8" s="997"/>
      <c r="CA8" s="997"/>
      <c r="CB8" s="997"/>
      <c r="CC8" s="997"/>
      <c r="CD8" s="997"/>
      <c r="CE8" s="997"/>
      <c r="CF8" s="997"/>
      <c r="CG8" s="997"/>
      <c r="CH8" s="997"/>
      <c r="CI8" s="997"/>
      <c r="CJ8" s="997"/>
      <c r="CK8" s="997"/>
      <c r="CL8" s="997"/>
      <c r="CM8" s="997"/>
      <c r="CN8" s="997"/>
      <c r="CO8" s="997"/>
      <c r="CP8" s="997"/>
      <c r="CQ8" s="997"/>
      <c r="CR8" s="997"/>
      <c r="CS8" s="997"/>
      <c r="CT8" s="997"/>
      <c r="CU8" s="997"/>
      <c r="CV8" s="997"/>
      <c r="CW8" s="997"/>
      <c r="CX8" s="997"/>
      <c r="CY8" s="997"/>
      <c r="CZ8" s="997"/>
      <c r="DA8" s="997"/>
      <c r="DB8" s="997"/>
      <c r="DC8" s="997"/>
      <c r="DD8" s="997"/>
      <c r="DE8" s="997"/>
      <c r="DF8" s="997"/>
      <c r="DG8" s="997"/>
      <c r="DH8" s="997"/>
      <c r="DI8" s="997"/>
      <c r="DJ8" s="997"/>
      <c r="DK8" s="997"/>
      <c r="DL8" s="997"/>
      <c r="DM8" s="997"/>
      <c r="DN8" s="997"/>
      <c r="DO8" s="997"/>
      <c r="DP8" s="997"/>
      <c r="DQ8" s="997"/>
      <c r="DR8" s="997"/>
      <c r="DS8" s="997"/>
      <c r="DT8" s="997"/>
      <c r="DU8" s="997"/>
      <c r="DV8" s="997"/>
      <c r="DW8" s="997"/>
      <c r="DX8" s="997"/>
      <c r="DY8" s="997"/>
      <c r="DZ8" s="997"/>
      <c r="EA8" s="997"/>
      <c r="EB8" s="997"/>
      <c r="EC8" s="997"/>
      <c r="ED8" s="997"/>
      <c r="EE8" s="997"/>
      <c r="EF8" s="997"/>
      <c r="EG8" s="997"/>
      <c r="EH8" s="997"/>
      <c r="EI8" s="997"/>
      <c r="EJ8" s="997"/>
      <c r="EK8" s="997"/>
      <c r="EL8" s="997"/>
      <c r="EM8" s="997"/>
      <c r="EN8" s="997"/>
      <c r="EO8" s="997"/>
      <c r="EP8" s="997"/>
      <c r="EQ8" s="997"/>
      <c r="ER8" s="997"/>
      <c r="ES8" s="997"/>
      <c r="ET8" s="997"/>
      <c r="EU8" s="997"/>
      <c r="EV8" s="997"/>
      <c r="EW8" s="997"/>
      <c r="EX8" s="997"/>
      <c r="EY8" s="997"/>
      <c r="EZ8" s="997"/>
      <c r="FA8" s="997"/>
      <c r="FB8" s="997"/>
      <c r="FC8" s="997"/>
      <c r="FD8" s="997"/>
      <c r="FE8" s="997"/>
      <c r="FF8" s="997"/>
      <c r="FG8" s="997"/>
      <c r="FH8" s="997"/>
      <c r="FI8" s="997"/>
      <c r="FJ8" s="997"/>
      <c r="FK8" s="997"/>
      <c r="FL8" s="997"/>
      <c r="FM8" s="997"/>
      <c r="FN8" s="997"/>
      <c r="FO8" s="997"/>
      <c r="FP8" s="997"/>
      <c r="FQ8" s="997"/>
      <c r="FR8" s="997"/>
      <c r="FS8" s="997"/>
      <c r="FT8" s="997"/>
      <c r="FU8" s="997"/>
      <c r="FV8" s="997"/>
    </row>
    <row r="9" spans="2:178" s="32" customFormat="1" ht="9.75" customHeight="1">
      <c r="B9" s="755"/>
      <c r="C9" s="755"/>
      <c r="D9" s="755"/>
      <c r="E9" s="755"/>
      <c r="F9" s="755"/>
      <c r="G9" s="755"/>
      <c r="H9" s="755"/>
      <c r="I9" s="755"/>
      <c r="J9" s="755"/>
      <c r="K9" s="755"/>
      <c r="L9" s="755"/>
      <c r="M9" s="755"/>
      <c r="N9" s="755"/>
      <c r="O9" s="755"/>
      <c r="P9" s="755"/>
      <c r="Q9" s="755"/>
      <c r="R9" s="755"/>
      <c r="S9" s="755"/>
      <c r="T9" s="755"/>
      <c r="U9" s="983"/>
      <c r="V9" s="983"/>
      <c r="W9" s="755"/>
      <c r="X9" s="755"/>
      <c r="Y9" s="755"/>
      <c r="Z9" s="755"/>
      <c r="AA9" s="755"/>
      <c r="AB9" s="755"/>
      <c r="AC9" s="755"/>
      <c r="AD9" s="755"/>
      <c r="AE9" s="755"/>
      <c r="AF9" s="755"/>
      <c r="AG9" s="755"/>
      <c r="AH9" s="755"/>
      <c r="AI9" s="755"/>
      <c r="AJ9" s="755"/>
      <c r="AK9" s="755"/>
      <c r="AL9" s="755"/>
      <c r="AM9" s="755"/>
      <c r="AN9" s="755"/>
      <c r="AO9" s="755"/>
      <c r="AP9" s="755"/>
      <c r="AQ9" s="755"/>
      <c r="AR9" s="755"/>
      <c r="AS9" s="755"/>
      <c r="AT9" s="755"/>
      <c r="AU9" s="755"/>
      <c r="AV9" s="755"/>
      <c r="AW9" s="755"/>
      <c r="AX9" s="755"/>
      <c r="AY9" s="755"/>
      <c r="AZ9" s="755"/>
      <c r="BA9" s="755"/>
      <c r="BB9" s="755"/>
      <c r="BC9" s="755"/>
      <c r="BD9" s="755"/>
      <c r="BE9" s="755"/>
      <c r="BF9" s="755"/>
      <c r="BG9" s="755"/>
      <c r="BH9" s="755"/>
      <c r="BI9" s="755"/>
      <c r="BJ9" s="755"/>
      <c r="BK9" s="755"/>
      <c r="BL9" s="755"/>
      <c r="BM9" s="755"/>
      <c r="BN9" s="755"/>
      <c r="BO9" s="755"/>
      <c r="BP9" s="755"/>
      <c r="BQ9" s="755"/>
      <c r="BR9" s="755"/>
      <c r="BS9" s="755"/>
      <c r="BT9" s="755"/>
      <c r="BU9" s="755"/>
      <c r="BV9" s="755"/>
      <c r="BW9" s="755"/>
      <c r="BX9" s="755"/>
      <c r="BY9" s="755"/>
      <c r="BZ9" s="755"/>
      <c r="CA9" s="755"/>
      <c r="CB9" s="755"/>
      <c r="CC9" s="755"/>
      <c r="CD9" s="755"/>
      <c r="CE9" s="755"/>
      <c r="CF9" s="755"/>
      <c r="CG9" s="755"/>
      <c r="CH9" s="755"/>
      <c r="CI9" s="755"/>
      <c r="CJ9" s="755"/>
      <c r="CK9" s="755"/>
      <c r="CL9" s="755"/>
      <c r="CM9" s="755"/>
      <c r="CN9" s="755"/>
      <c r="CO9" s="755"/>
      <c r="CP9" s="755"/>
      <c r="CQ9" s="755"/>
      <c r="CR9" s="755"/>
      <c r="CS9" s="755"/>
      <c r="CT9" s="755"/>
      <c r="CU9" s="755"/>
      <c r="CV9" s="755"/>
      <c r="CW9" s="755"/>
      <c r="CX9" s="755"/>
      <c r="CY9" s="755"/>
      <c r="CZ9" s="755"/>
      <c r="DA9" s="755"/>
      <c r="DB9" s="755"/>
      <c r="DC9" s="755"/>
      <c r="DD9" s="755"/>
      <c r="DE9" s="755"/>
      <c r="DF9" s="755"/>
      <c r="DG9" s="755"/>
      <c r="DH9" s="755"/>
      <c r="DI9" s="755"/>
      <c r="DJ9" s="755"/>
      <c r="DK9" s="755"/>
      <c r="DL9" s="755"/>
      <c r="DM9" s="755"/>
      <c r="DN9" s="755"/>
      <c r="DO9" s="755"/>
      <c r="DP9" s="755"/>
      <c r="DQ9" s="755"/>
      <c r="DR9" s="755"/>
      <c r="DS9" s="755"/>
      <c r="DT9" s="755"/>
      <c r="DU9" s="755"/>
      <c r="DV9" s="755"/>
      <c r="DW9" s="755"/>
      <c r="DX9" s="755"/>
      <c r="DY9" s="755"/>
      <c r="DZ9" s="755"/>
      <c r="EA9" s="755"/>
      <c r="EB9" s="755"/>
      <c r="EC9" s="755"/>
      <c r="ED9" s="755"/>
      <c r="EE9" s="755"/>
      <c r="EF9" s="755"/>
      <c r="EG9" s="755"/>
      <c r="EH9" s="755"/>
      <c r="EI9" s="755"/>
      <c r="EJ9" s="755"/>
      <c r="EK9" s="755"/>
      <c r="EL9" s="755"/>
      <c r="EM9" s="755"/>
      <c r="EN9" s="755"/>
      <c r="EO9" s="755"/>
      <c r="EP9" s="755"/>
      <c r="EQ9" s="755"/>
      <c r="ER9" s="755"/>
      <c r="ES9" s="755"/>
      <c r="ET9" s="755"/>
      <c r="EU9" s="755"/>
      <c r="EV9" s="755"/>
      <c r="EW9" s="755"/>
      <c r="EX9" s="755"/>
      <c r="EY9" s="755"/>
      <c r="EZ9" s="755"/>
      <c r="FA9" s="755"/>
      <c r="FB9" s="755"/>
      <c r="FC9" s="755"/>
      <c r="FD9" s="755"/>
      <c r="FE9" s="755"/>
      <c r="FF9" s="755"/>
      <c r="FG9" s="755"/>
      <c r="FH9" s="755"/>
      <c r="FI9" s="755"/>
      <c r="FJ9" s="755"/>
      <c r="FK9" s="755"/>
      <c r="FL9" s="755"/>
      <c r="FM9" s="755"/>
      <c r="FN9" s="755"/>
      <c r="FO9" s="755"/>
      <c r="FP9" s="755"/>
      <c r="FQ9" s="755"/>
      <c r="FR9" s="755"/>
      <c r="FS9" s="755"/>
      <c r="FT9" s="755"/>
      <c r="FU9" s="755"/>
      <c r="FV9" s="755"/>
    </row>
    <row r="10" spans="2:178" s="999" customFormat="1" ht="23.25">
      <c r="B10" s="541" t="s">
        <v>375</v>
      </c>
      <c r="C10" s="997"/>
      <c r="D10" s="997"/>
      <c r="E10" s="997"/>
      <c r="F10" s="997"/>
      <c r="G10" s="997"/>
      <c r="H10" s="997"/>
      <c r="I10" s="997"/>
      <c r="J10" s="997"/>
      <c r="K10" s="997"/>
      <c r="L10" s="997"/>
      <c r="M10" s="997"/>
      <c r="N10" s="997"/>
      <c r="O10" s="997"/>
      <c r="P10" s="997"/>
      <c r="Q10" s="997"/>
      <c r="R10" s="997"/>
      <c r="S10" s="997"/>
      <c r="T10" s="997"/>
      <c r="U10" s="997"/>
      <c r="V10" s="1000"/>
      <c r="W10" s="997"/>
      <c r="X10" s="997"/>
      <c r="Y10" s="997"/>
      <c r="Z10" s="997"/>
      <c r="AA10" s="997"/>
      <c r="AB10" s="997"/>
      <c r="AC10" s="997"/>
      <c r="AD10" s="997"/>
      <c r="AE10" s="997"/>
      <c r="AF10" s="997"/>
      <c r="AG10" s="997"/>
      <c r="AH10" s="997"/>
      <c r="AI10" s="997"/>
      <c r="AJ10" s="997"/>
      <c r="AK10" s="997"/>
      <c r="AL10" s="997"/>
      <c r="AM10" s="997"/>
      <c r="AN10" s="997"/>
      <c r="AO10" s="997"/>
      <c r="AP10" s="997"/>
      <c r="AQ10" s="997"/>
      <c r="AR10" s="997"/>
      <c r="AS10" s="997"/>
      <c r="AT10" s="997"/>
      <c r="AU10" s="997"/>
      <c r="AV10" s="997"/>
      <c r="AW10" s="997"/>
      <c r="AX10" s="997"/>
      <c r="AY10" s="997"/>
      <c r="AZ10" s="997"/>
      <c r="BA10" s="997"/>
      <c r="BB10" s="997"/>
      <c r="BC10" s="997"/>
      <c r="BD10" s="997"/>
      <c r="BE10" s="997"/>
      <c r="BF10" s="997"/>
      <c r="BG10" s="997"/>
      <c r="BH10" s="997"/>
      <c r="BI10" s="997"/>
      <c r="BJ10" s="997"/>
      <c r="BK10" s="997"/>
      <c r="BL10" s="997"/>
      <c r="BM10" s="997"/>
      <c r="BN10" s="997"/>
      <c r="BO10" s="997"/>
      <c r="BP10" s="997"/>
      <c r="BQ10" s="997"/>
      <c r="BR10" s="997"/>
      <c r="BS10" s="997"/>
      <c r="BT10" s="997"/>
      <c r="BU10" s="997"/>
      <c r="BV10" s="997"/>
      <c r="BW10" s="997"/>
      <c r="BX10" s="997"/>
      <c r="BY10" s="997"/>
      <c r="BZ10" s="997"/>
      <c r="CA10" s="997"/>
      <c r="CB10" s="997"/>
      <c r="CC10" s="997"/>
      <c r="CD10" s="997"/>
      <c r="CE10" s="997"/>
      <c r="CF10" s="997"/>
      <c r="CG10" s="997"/>
      <c r="CH10" s="997"/>
      <c r="CI10" s="997"/>
      <c r="CJ10" s="997"/>
      <c r="CK10" s="997"/>
      <c r="CL10" s="997"/>
      <c r="CM10" s="997"/>
      <c r="CN10" s="997"/>
      <c r="CO10" s="997"/>
      <c r="CP10" s="997"/>
      <c r="CQ10" s="997"/>
      <c r="CR10" s="997"/>
      <c r="CS10" s="997"/>
      <c r="CT10" s="997"/>
      <c r="CU10" s="997"/>
      <c r="CV10" s="997"/>
      <c r="CW10" s="997"/>
      <c r="CX10" s="997"/>
      <c r="CY10" s="997"/>
      <c r="CZ10" s="997"/>
      <c r="DA10" s="997"/>
      <c r="DB10" s="997"/>
      <c r="DC10" s="997"/>
      <c r="DD10" s="997"/>
      <c r="DE10" s="997"/>
      <c r="DF10" s="997"/>
      <c r="DG10" s="997"/>
      <c r="DH10" s="997"/>
      <c r="DI10" s="997"/>
      <c r="DJ10" s="997"/>
      <c r="DK10" s="997"/>
      <c r="DL10" s="997"/>
      <c r="DM10" s="997"/>
      <c r="DN10" s="997"/>
      <c r="DO10" s="997"/>
      <c r="DP10" s="997"/>
      <c r="DQ10" s="997"/>
      <c r="DR10" s="997"/>
      <c r="DS10" s="997"/>
      <c r="DT10" s="997"/>
      <c r="DU10" s="997"/>
      <c r="DV10" s="997"/>
      <c r="DW10" s="997"/>
      <c r="DX10" s="997"/>
      <c r="DY10" s="997"/>
      <c r="DZ10" s="997"/>
      <c r="EA10" s="997"/>
      <c r="EB10" s="997"/>
      <c r="EC10" s="997"/>
      <c r="ED10" s="997"/>
      <c r="EE10" s="997"/>
      <c r="EF10" s="997"/>
      <c r="EG10" s="997"/>
      <c r="EH10" s="997"/>
      <c r="EI10" s="997"/>
      <c r="EJ10" s="997"/>
      <c r="EK10" s="997"/>
      <c r="EL10" s="997"/>
      <c r="EM10" s="997"/>
      <c r="EN10" s="997"/>
      <c r="EO10" s="997"/>
      <c r="EP10" s="997"/>
      <c r="EQ10" s="997"/>
      <c r="ER10" s="997"/>
      <c r="ES10" s="997"/>
      <c r="ET10" s="997"/>
      <c r="EU10" s="997"/>
      <c r="EV10" s="997"/>
      <c r="EW10" s="997"/>
      <c r="EX10" s="997"/>
      <c r="EY10" s="997"/>
      <c r="EZ10" s="997"/>
      <c r="FA10" s="997"/>
      <c r="FB10" s="997"/>
      <c r="FC10" s="997"/>
      <c r="FD10" s="997"/>
      <c r="FE10" s="997"/>
      <c r="FF10" s="997"/>
      <c r="FG10" s="997"/>
      <c r="FH10" s="997"/>
      <c r="FI10" s="997"/>
      <c r="FJ10" s="997"/>
      <c r="FK10" s="997"/>
      <c r="FL10" s="997"/>
      <c r="FM10" s="997"/>
      <c r="FN10" s="997"/>
      <c r="FO10" s="997"/>
      <c r="FP10" s="997"/>
      <c r="FQ10" s="997"/>
      <c r="FR10" s="997"/>
      <c r="FS10" s="997"/>
      <c r="FT10" s="997"/>
      <c r="FU10" s="997"/>
      <c r="FV10" s="997"/>
    </row>
    <row r="11" spans="2:178" s="32" customFormat="1" ht="9.75" customHeight="1" thickBot="1">
      <c r="B11" s="755"/>
      <c r="C11" s="755"/>
      <c r="D11" s="755"/>
      <c r="E11" s="755"/>
      <c r="F11" s="755"/>
      <c r="G11" s="755"/>
      <c r="H11" s="755"/>
      <c r="I11" s="755"/>
      <c r="J11" s="755"/>
      <c r="K11" s="755"/>
      <c r="L11" s="755"/>
      <c r="M11" s="755"/>
      <c r="N11" s="755"/>
      <c r="O11" s="755"/>
      <c r="P11" s="755"/>
      <c r="Q11" s="755"/>
      <c r="R11" s="755"/>
      <c r="S11" s="755"/>
      <c r="T11" s="755"/>
      <c r="U11" s="983"/>
      <c r="V11" s="983"/>
      <c r="W11" s="755"/>
      <c r="X11" s="755"/>
      <c r="Y11" s="755"/>
      <c r="Z11" s="755"/>
      <c r="AA11" s="755"/>
      <c r="AB11" s="755"/>
      <c r="AC11" s="755"/>
      <c r="AD11" s="755"/>
      <c r="AE11" s="755"/>
      <c r="AF11" s="755"/>
      <c r="AG11" s="755"/>
      <c r="AH11" s="755"/>
      <c r="AI11" s="755"/>
      <c r="AJ11" s="755"/>
      <c r="AK11" s="755"/>
      <c r="AL11" s="755"/>
      <c r="AM11" s="755"/>
      <c r="AN11" s="755"/>
      <c r="AO11" s="755"/>
      <c r="AP11" s="755"/>
      <c r="AQ11" s="755"/>
      <c r="AR11" s="755"/>
      <c r="AS11" s="755"/>
      <c r="AT11" s="755"/>
      <c r="AU11" s="755"/>
      <c r="AV11" s="755"/>
      <c r="AW11" s="755"/>
      <c r="AX11" s="755"/>
      <c r="AY11" s="755"/>
      <c r="AZ11" s="755"/>
      <c r="BA11" s="755"/>
      <c r="BB11" s="755"/>
      <c r="BC11" s="755"/>
      <c r="BD11" s="755"/>
      <c r="BE11" s="755"/>
      <c r="BF11" s="755"/>
      <c r="BG11" s="755"/>
      <c r="BH11" s="755"/>
      <c r="BI11" s="755"/>
      <c r="BJ11" s="755"/>
      <c r="BK11" s="755"/>
      <c r="BL11" s="755"/>
      <c r="BM11" s="755"/>
      <c r="BN11" s="755"/>
      <c r="BO11" s="755"/>
      <c r="BP11" s="755"/>
      <c r="BQ11" s="755"/>
      <c r="BR11" s="755"/>
      <c r="BS11" s="755"/>
      <c r="BT11" s="755"/>
      <c r="BU11" s="755"/>
      <c r="BV11" s="755"/>
      <c r="BW11" s="755"/>
      <c r="BX11" s="755"/>
      <c r="BY11" s="755"/>
      <c r="BZ11" s="755"/>
      <c r="CA11" s="755"/>
      <c r="CB11" s="755"/>
      <c r="CC11" s="755"/>
      <c r="CD11" s="755"/>
      <c r="CE11" s="755"/>
      <c r="CF11" s="755"/>
      <c r="CG11" s="755"/>
      <c r="CH11" s="755"/>
      <c r="CI11" s="755"/>
      <c r="CJ11" s="755"/>
      <c r="CK11" s="755"/>
      <c r="CL11" s="755"/>
      <c r="CM11" s="755"/>
      <c r="CN11" s="755"/>
      <c r="CO11" s="755"/>
      <c r="CP11" s="755"/>
      <c r="CQ11" s="755"/>
      <c r="CR11" s="755"/>
      <c r="CS11" s="755"/>
      <c r="CT11" s="755"/>
      <c r="CU11" s="755"/>
      <c r="CV11" s="755"/>
      <c r="CW11" s="755"/>
      <c r="CX11" s="755"/>
      <c r="CY11" s="755"/>
      <c r="CZ11" s="755"/>
      <c r="DA11" s="755"/>
      <c r="DB11" s="755"/>
      <c r="DC11" s="755"/>
      <c r="DD11" s="755"/>
      <c r="DE11" s="755"/>
      <c r="DF11" s="755"/>
      <c r="DG11" s="755"/>
      <c r="DH11" s="755"/>
      <c r="DI11" s="755"/>
      <c r="DJ11" s="755"/>
      <c r="DK11" s="755"/>
      <c r="DL11" s="755"/>
      <c r="DM11" s="755"/>
      <c r="DN11" s="755"/>
      <c r="DO11" s="755"/>
      <c r="DP11" s="755"/>
      <c r="DQ11" s="755"/>
      <c r="DR11" s="755"/>
      <c r="DS11" s="755"/>
      <c r="DT11" s="755"/>
      <c r="DU11" s="755"/>
      <c r="DV11" s="755"/>
      <c r="DW11" s="755"/>
      <c r="DX11" s="755"/>
      <c r="DY11" s="755"/>
      <c r="DZ11" s="755"/>
      <c r="EA11" s="755"/>
      <c r="EB11" s="755"/>
      <c r="EC11" s="755"/>
      <c r="ED11" s="755"/>
      <c r="EE11" s="755"/>
      <c r="EF11" s="755"/>
      <c r="EG11" s="755"/>
      <c r="EH11" s="755"/>
      <c r="EI11" s="755"/>
      <c r="EJ11" s="755"/>
      <c r="EK11" s="755"/>
      <c r="EL11" s="755"/>
      <c r="EM11" s="755"/>
      <c r="EN11" s="755"/>
      <c r="EO11" s="755"/>
      <c r="EP11" s="755"/>
      <c r="EQ11" s="755"/>
      <c r="ER11" s="755"/>
      <c r="ES11" s="755"/>
      <c r="ET11" s="755"/>
      <c r="EU11" s="755"/>
      <c r="EV11" s="755"/>
      <c r="EW11" s="755"/>
      <c r="EX11" s="755"/>
      <c r="EY11" s="755"/>
      <c r="EZ11" s="755"/>
      <c r="FA11" s="755"/>
      <c r="FB11" s="755"/>
      <c r="FC11" s="755"/>
      <c r="FD11" s="755"/>
      <c r="FE11" s="755"/>
      <c r="FF11" s="755"/>
      <c r="FG11" s="755"/>
      <c r="FH11" s="755"/>
      <c r="FI11" s="755"/>
      <c r="FJ11" s="755"/>
      <c r="FK11" s="755"/>
      <c r="FL11" s="755"/>
      <c r="FM11" s="755"/>
      <c r="FN11" s="755"/>
      <c r="FO11" s="755"/>
      <c r="FP11" s="755"/>
      <c r="FQ11" s="755"/>
      <c r="FR11" s="755"/>
      <c r="FS11" s="755"/>
      <c r="FT11" s="755"/>
      <c r="FU11" s="755"/>
      <c r="FV11" s="755"/>
    </row>
    <row r="12" spans="2:177" s="32" customFormat="1" ht="9.75" customHeight="1" thickTop="1">
      <c r="B12" s="1001"/>
      <c r="C12" s="1002"/>
      <c r="D12" s="1002"/>
      <c r="E12" s="1002"/>
      <c r="F12" s="1002"/>
      <c r="G12" s="1002"/>
      <c r="H12" s="1002"/>
      <c r="I12" s="1002"/>
      <c r="J12" s="1002"/>
      <c r="K12" s="1002"/>
      <c r="L12" s="1002"/>
      <c r="M12" s="1002"/>
      <c r="N12" s="1002"/>
      <c r="O12" s="1002"/>
      <c r="P12" s="1002"/>
      <c r="Q12" s="1002"/>
      <c r="R12" s="1002"/>
      <c r="S12" s="1002"/>
      <c r="T12" s="1002"/>
      <c r="U12" s="1003"/>
      <c r="V12" s="755"/>
      <c r="W12" s="755"/>
      <c r="X12" s="755"/>
      <c r="Y12" s="755"/>
      <c r="Z12" s="755"/>
      <c r="AA12" s="755"/>
      <c r="AB12" s="755"/>
      <c r="AC12" s="755"/>
      <c r="AD12" s="755"/>
      <c r="AE12" s="755"/>
      <c r="AF12" s="755"/>
      <c r="AG12" s="755"/>
      <c r="AH12" s="755"/>
      <c r="AI12" s="755"/>
      <c r="AJ12" s="755"/>
      <c r="AK12" s="755"/>
      <c r="AL12" s="755"/>
      <c r="AM12" s="755"/>
      <c r="AN12" s="755"/>
      <c r="AO12" s="755"/>
      <c r="AP12" s="755"/>
      <c r="AQ12" s="755"/>
      <c r="AR12" s="755"/>
      <c r="AS12" s="755"/>
      <c r="AT12" s="755"/>
      <c r="AU12" s="755"/>
      <c r="AV12" s="755"/>
      <c r="AW12" s="755"/>
      <c r="AX12" s="755"/>
      <c r="AY12" s="755"/>
      <c r="AZ12" s="755"/>
      <c r="BA12" s="755"/>
      <c r="BB12" s="755"/>
      <c r="BC12" s="755"/>
      <c r="BD12" s="755"/>
      <c r="BE12" s="755"/>
      <c r="BF12" s="755"/>
      <c r="BG12" s="755"/>
      <c r="BH12" s="755"/>
      <c r="BI12" s="755"/>
      <c r="BJ12" s="755"/>
      <c r="BK12" s="755"/>
      <c r="BL12" s="755"/>
      <c r="BM12" s="755"/>
      <c r="BN12" s="755"/>
      <c r="BO12" s="755"/>
      <c r="BP12" s="755"/>
      <c r="BQ12" s="755"/>
      <c r="BR12" s="755"/>
      <c r="BS12" s="755"/>
      <c r="BT12" s="755"/>
      <c r="BU12" s="755"/>
      <c r="BV12" s="755"/>
      <c r="BW12" s="755"/>
      <c r="BX12" s="755"/>
      <c r="BY12" s="755"/>
      <c r="BZ12" s="755"/>
      <c r="CA12" s="755"/>
      <c r="CB12" s="755"/>
      <c r="CC12" s="755"/>
      <c r="CD12" s="755"/>
      <c r="CE12" s="755"/>
      <c r="CF12" s="755"/>
      <c r="CG12" s="755"/>
      <c r="CH12" s="755"/>
      <c r="CI12" s="755"/>
      <c r="CJ12" s="755"/>
      <c r="CK12" s="755"/>
      <c r="CL12" s="755"/>
      <c r="CM12" s="755"/>
      <c r="CN12" s="755"/>
      <c r="CO12" s="755"/>
      <c r="CP12" s="755"/>
      <c r="CQ12" s="755"/>
      <c r="CR12" s="755"/>
      <c r="CS12" s="755"/>
      <c r="CT12" s="755"/>
      <c r="CU12" s="755"/>
      <c r="CV12" s="755"/>
      <c r="CW12" s="755"/>
      <c r="CX12" s="755"/>
      <c r="CY12" s="755"/>
      <c r="CZ12" s="755"/>
      <c r="DA12" s="755"/>
      <c r="DB12" s="755"/>
      <c r="DC12" s="755"/>
      <c r="DD12" s="755"/>
      <c r="DE12" s="755"/>
      <c r="DF12" s="755"/>
      <c r="DG12" s="755"/>
      <c r="DH12" s="755"/>
      <c r="DI12" s="755"/>
      <c r="DJ12" s="755"/>
      <c r="DK12" s="755"/>
      <c r="DL12" s="755"/>
      <c r="DM12" s="755"/>
      <c r="DN12" s="755"/>
      <c r="DO12" s="755"/>
      <c r="DP12" s="755"/>
      <c r="DQ12" s="755"/>
      <c r="DR12" s="755"/>
      <c r="DS12" s="755"/>
      <c r="DT12" s="755"/>
      <c r="DU12" s="755"/>
      <c r="DV12" s="755"/>
      <c r="DW12" s="755"/>
      <c r="DX12" s="755"/>
      <c r="DY12" s="755"/>
      <c r="DZ12" s="755"/>
      <c r="EA12" s="755"/>
      <c r="EB12" s="755"/>
      <c r="EC12" s="755"/>
      <c r="ED12" s="755"/>
      <c r="EE12" s="755"/>
      <c r="EF12" s="755"/>
      <c r="EG12" s="755"/>
      <c r="EH12" s="755"/>
      <c r="EI12" s="755"/>
      <c r="EJ12" s="755"/>
      <c r="EK12" s="755"/>
      <c r="EL12" s="755"/>
      <c r="EM12" s="755"/>
      <c r="EN12" s="755"/>
      <c r="EO12" s="755"/>
      <c r="EP12" s="755"/>
      <c r="EQ12" s="755"/>
      <c r="ER12" s="755"/>
      <c r="ES12" s="755"/>
      <c r="ET12" s="755"/>
      <c r="EU12" s="755"/>
      <c r="EV12" s="755"/>
      <c r="EW12" s="755"/>
      <c r="EX12" s="755"/>
      <c r="EY12" s="755"/>
      <c r="EZ12" s="755"/>
      <c r="FA12" s="755"/>
      <c r="FB12" s="755"/>
      <c r="FC12" s="755"/>
      <c r="FD12" s="755"/>
      <c r="FE12" s="755"/>
      <c r="FF12" s="755"/>
      <c r="FG12" s="755"/>
      <c r="FH12" s="755"/>
      <c r="FI12" s="755"/>
      <c r="FJ12" s="755"/>
      <c r="FK12" s="755"/>
      <c r="FL12" s="755"/>
      <c r="FM12" s="755"/>
      <c r="FN12" s="755"/>
      <c r="FO12" s="755"/>
      <c r="FP12" s="755"/>
      <c r="FQ12" s="755"/>
      <c r="FR12" s="755"/>
      <c r="FS12" s="755"/>
      <c r="FT12" s="755"/>
      <c r="FU12" s="755"/>
    </row>
    <row r="13" spans="2:177" s="32" customFormat="1" ht="19.5">
      <c r="B13" s="37" t="s">
        <v>376</v>
      </c>
      <c r="C13" s="1004"/>
      <c r="D13" s="1004"/>
      <c r="E13" s="1004"/>
      <c r="F13" s="1004"/>
      <c r="G13" s="1004"/>
      <c r="H13" s="1004"/>
      <c r="I13" s="1004"/>
      <c r="J13" s="1004"/>
      <c r="K13" s="1004"/>
      <c r="L13" s="1004"/>
      <c r="M13" s="1004"/>
      <c r="N13" s="1004"/>
      <c r="O13" s="1004"/>
      <c r="P13" s="1004"/>
      <c r="Q13" s="1004"/>
      <c r="R13" s="1004"/>
      <c r="S13" s="1004"/>
      <c r="T13" s="1004"/>
      <c r="U13" s="1005"/>
      <c r="V13" s="755"/>
      <c r="W13" s="755"/>
      <c r="X13" s="755"/>
      <c r="Y13" s="755"/>
      <c r="Z13" s="755"/>
      <c r="AA13" s="755"/>
      <c r="AB13" s="755"/>
      <c r="AC13" s="755"/>
      <c r="AD13" s="755"/>
      <c r="AE13" s="755"/>
      <c r="AF13" s="755"/>
      <c r="AG13" s="755"/>
      <c r="AH13" s="755"/>
      <c r="AI13" s="755"/>
      <c r="AJ13" s="755"/>
      <c r="AK13" s="755"/>
      <c r="AL13" s="755"/>
      <c r="AM13" s="755"/>
      <c r="AN13" s="755"/>
      <c r="AO13" s="755"/>
      <c r="AP13" s="755"/>
      <c r="AQ13" s="755"/>
      <c r="AR13" s="755"/>
      <c r="AS13" s="755"/>
      <c r="AT13" s="755"/>
      <c r="AU13" s="755"/>
      <c r="AV13" s="755"/>
      <c r="AW13" s="755"/>
      <c r="AX13" s="755"/>
      <c r="AY13" s="755"/>
      <c r="AZ13" s="755"/>
      <c r="BA13" s="755"/>
      <c r="BB13" s="755"/>
      <c r="BC13" s="755"/>
      <c r="BD13" s="755"/>
      <c r="BE13" s="755"/>
      <c r="BF13" s="755"/>
      <c r="BG13" s="755"/>
      <c r="BH13" s="755"/>
      <c r="BI13" s="755"/>
      <c r="BJ13" s="755"/>
      <c r="BK13" s="755"/>
      <c r="BL13" s="755"/>
      <c r="BM13" s="755"/>
      <c r="BN13" s="755"/>
      <c r="BO13" s="755"/>
      <c r="BP13" s="755"/>
      <c r="BQ13" s="755"/>
      <c r="BR13" s="755"/>
      <c r="BS13" s="755"/>
      <c r="BT13" s="755"/>
      <c r="BU13" s="755"/>
      <c r="BV13" s="755"/>
      <c r="BW13" s="755"/>
      <c r="BX13" s="755"/>
      <c r="BY13" s="755"/>
      <c r="BZ13" s="755"/>
      <c r="CA13" s="755"/>
      <c r="CB13" s="755"/>
      <c r="CC13" s="755"/>
      <c r="CD13" s="755"/>
      <c r="CE13" s="755"/>
      <c r="CF13" s="755"/>
      <c r="CG13" s="755"/>
      <c r="CH13" s="755"/>
      <c r="CI13" s="755"/>
      <c r="CJ13" s="755"/>
      <c r="CK13" s="755"/>
      <c r="CL13" s="755"/>
      <c r="CM13" s="755"/>
      <c r="CN13" s="755"/>
      <c r="CO13" s="755"/>
      <c r="CP13" s="755"/>
      <c r="CQ13" s="755"/>
      <c r="CR13" s="755"/>
      <c r="CS13" s="755"/>
      <c r="CT13" s="755"/>
      <c r="CU13" s="755"/>
      <c r="CV13" s="755"/>
      <c r="CW13" s="755"/>
      <c r="CX13" s="755"/>
      <c r="CY13" s="755"/>
      <c r="CZ13" s="755"/>
      <c r="DA13" s="755"/>
      <c r="DB13" s="755"/>
      <c r="DC13" s="755"/>
      <c r="DD13" s="755"/>
      <c r="DE13" s="755"/>
      <c r="DF13" s="755"/>
      <c r="DG13" s="755"/>
      <c r="DH13" s="755"/>
      <c r="DI13" s="755"/>
      <c r="DJ13" s="755"/>
      <c r="DK13" s="755"/>
      <c r="DL13" s="755"/>
      <c r="DM13" s="755"/>
      <c r="DN13" s="755"/>
      <c r="DO13" s="755"/>
      <c r="DP13" s="755"/>
      <c r="DQ13" s="755"/>
      <c r="DR13" s="755"/>
      <c r="DS13" s="755"/>
      <c r="DT13" s="755"/>
      <c r="DU13" s="755"/>
      <c r="DV13" s="755"/>
      <c r="DW13" s="755"/>
      <c r="DX13" s="755"/>
      <c r="DY13" s="755"/>
      <c r="DZ13" s="755"/>
      <c r="EA13" s="755"/>
      <c r="EB13" s="755"/>
      <c r="EC13" s="755"/>
      <c r="ED13" s="755"/>
      <c r="EE13" s="755"/>
      <c r="EF13" s="755"/>
      <c r="EG13" s="755"/>
      <c r="EH13" s="755"/>
      <c r="EI13" s="755"/>
      <c r="EJ13" s="755"/>
      <c r="EK13" s="755"/>
      <c r="EL13" s="755"/>
      <c r="EM13" s="755"/>
      <c r="EN13" s="755"/>
      <c r="EO13" s="755"/>
      <c r="EP13" s="755"/>
      <c r="EQ13" s="755"/>
      <c r="ER13" s="755"/>
      <c r="ES13" s="755"/>
      <c r="ET13" s="755"/>
      <c r="EU13" s="755"/>
      <c r="EV13" s="755"/>
      <c r="EW13" s="755"/>
      <c r="EX13" s="755"/>
      <c r="EY13" s="755"/>
      <c r="EZ13" s="755"/>
      <c r="FA13" s="755"/>
      <c r="FB13" s="755"/>
      <c r="FC13" s="755"/>
      <c r="FD13" s="755"/>
      <c r="FE13" s="755"/>
      <c r="FF13" s="755"/>
      <c r="FG13" s="755"/>
      <c r="FH13" s="755"/>
      <c r="FI13" s="755"/>
      <c r="FJ13" s="755"/>
      <c r="FK13" s="755"/>
      <c r="FL13" s="755"/>
      <c r="FM13" s="755"/>
      <c r="FN13" s="755"/>
      <c r="FO13" s="755"/>
      <c r="FP13" s="755"/>
      <c r="FQ13" s="755"/>
      <c r="FR13" s="755"/>
      <c r="FS13" s="755"/>
      <c r="FT13" s="755"/>
      <c r="FU13" s="755"/>
    </row>
    <row r="14" spans="2:21" s="32" customFormat="1" ht="9.75" customHeight="1" thickBot="1">
      <c r="B14" s="554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1006"/>
    </row>
    <row r="15" spans="2:21" s="543" customFormat="1" ht="33.75" customHeight="1" thickBot="1" thickTop="1">
      <c r="B15" s="544"/>
      <c r="C15" s="84"/>
      <c r="D15" s="84" t="s">
        <v>0</v>
      </c>
      <c r="E15" s="133" t="s">
        <v>14</v>
      </c>
      <c r="F15" s="133" t="s">
        <v>15</v>
      </c>
      <c r="G15" s="1007" t="s">
        <v>377</v>
      </c>
      <c r="H15" s="1007">
        <v>39387</v>
      </c>
      <c r="I15" s="1007">
        <v>39417</v>
      </c>
      <c r="J15" s="1007">
        <v>39448</v>
      </c>
      <c r="K15" s="1007">
        <v>39479</v>
      </c>
      <c r="L15" s="1007">
        <v>39508</v>
      </c>
      <c r="M15" s="1007">
        <v>39539</v>
      </c>
      <c r="N15" s="1007">
        <v>39569</v>
      </c>
      <c r="O15" s="1007">
        <v>39600</v>
      </c>
      <c r="P15" s="1007">
        <v>39630</v>
      </c>
      <c r="Q15" s="1007">
        <v>39661</v>
      </c>
      <c r="R15" s="1007">
        <v>39692</v>
      </c>
      <c r="S15" s="1007">
        <v>39722</v>
      </c>
      <c r="T15" s="1007">
        <v>39753</v>
      </c>
      <c r="U15" s="545"/>
    </row>
    <row r="16" spans="2:21" s="1008" customFormat="1" ht="9.75" customHeight="1" thickTop="1">
      <c r="B16" s="1009"/>
      <c r="C16" s="1010"/>
      <c r="D16" s="1011"/>
      <c r="E16" s="1011"/>
      <c r="F16" s="1011"/>
      <c r="G16" s="1011"/>
      <c r="H16" s="1012"/>
      <c r="I16" s="1012"/>
      <c r="J16" s="1012"/>
      <c r="K16" s="1012"/>
      <c r="L16" s="1012"/>
      <c r="M16" s="1012"/>
      <c r="N16" s="1012"/>
      <c r="O16" s="1012"/>
      <c r="P16" s="1012"/>
      <c r="Q16" s="1012"/>
      <c r="R16" s="1012"/>
      <c r="S16" s="1012"/>
      <c r="T16" s="1013"/>
      <c r="U16" s="1014"/>
    </row>
    <row r="17" spans="2:21" s="1008" customFormat="1" ht="19.5" customHeight="1">
      <c r="B17" s="1009"/>
      <c r="C17" s="1015">
        <f>IF('[1]BASE'!C17=0,"",'[1]BASE'!C17)</f>
        <v>1</v>
      </c>
      <c r="D17" s="1015" t="str">
        <f>IF('[1]BASE'!D17=0,"",'[1]BASE'!D17)</f>
        <v>ABASTO - OLAVARRIA 1</v>
      </c>
      <c r="E17" s="1015">
        <f>IF('[1]BASE'!E17=0,"",'[1]BASE'!E17)</f>
        <v>500</v>
      </c>
      <c r="F17" s="1015">
        <f>IF('[1]BASE'!F17=0,"",'[1]BASE'!F17)</f>
        <v>291</v>
      </c>
      <c r="G17" s="1016" t="str">
        <f>IF('[1]BASE'!G17=0,"",'[1]BASE'!G17)</f>
        <v>B</v>
      </c>
      <c r="H17" s="1017">
        <f>IF('[1]BASE'!FS17=0,"",'[1]BASE'!FS17)</f>
      </c>
      <c r="I17" s="1017">
        <f>IF('[1]BASE'!FT17=0,"",'[1]BASE'!FT17)</f>
      </c>
      <c r="J17" s="1017">
        <f>IF('[1]BASE'!FU17=0,"",'[1]BASE'!FU17)</f>
      </c>
      <c r="K17" s="1017">
        <f>IF('[1]BASE'!FV17=0,"",'[1]BASE'!FV17)</f>
      </c>
      <c r="L17" s="1017">
        <f>IF('[1]BASE'!FW17=0,"",'[1]BASE'!FW17)</f>
      </c>
      <c r="M17" s="1017">
        <f>IF('[1]BASE'!FX17=0,"",'[1]BASE'!FX17)</f>
      </c>
      <c r="N17" s="1017">
        <f>IF('[1]BASE'!FY17=0,"",'[1]BASE'!FY17)</f>
      </c>
      <c r="O17" s="1017">
        <f>IF('[1]BASE'!FZ17=0,"",'[1]BASE'!FZ17)</f>
      </c>
      <c r="P17" s="1017">
        <f>IF('[1]BASE'!GA17=0,"",'[1]BASE'!GA17)</f>
      </c>
      <c r="Q17" s="1017">
        <f>IF('[1]BASE'!GB17=0,"",'[1]BASE'!GB17)</f>
      </c>
      <c r="R17" s="1017">
        <f>IF('[1]BASE'!GC17=0,"",'[1]BASE'!GC17)</f>
      </c>
      <c r="S17" s="1017">
        <f>IF('[1]BASE'!GD17=0,"",'[1]BASE'!GD17)</f>
      </c>
      <c r="T17" s="1018"/>
      <c r="U17" s="1014"/>
    </row>
    <row r="18" spans="2:21" s="1008" customFormat="1" ht="19.5" customHeight="1">
      <c r="B18" s="1009"/>
      <c r="C18" s="1019">
        <f>IF('[1]BASE'!C18=0,"",'[1]BASE'!C18)</f>
        <v>2</v>
      </c>
      <c r="D18" s="1019" t="str">
        <f>IF('[1]BASE'!D18=0,"",'[1]BASE'!D18)</f>
        <v>ABASTO - OLAVARRIA 2</v>
      </c>
      <c r="E18" s="1019">
        <f>IF('[1]BASE'!E18=0,"",'[1]BASE'!E18)</f>
        <v>500</v>
      </c>
      <c r="F18" s="1019">
        <f>IF('[1]BASE'!F18=0,"",'[1]BASE'!F18)</f>
        <v>301.9</v>
      </c>
      <c r="G18" s="1020">
        <f>IF('[1]BASE'!G18=0,"",'[1]BASE'!G18)</f>
      </c>
      <c r="H18" s="1017">
        <f>IF('[1]BASE'!FS18=0,"",'[1]BASE'!FS18)</f>
      </c>
      <c r="I18" s="1017">
        <f>IF('[1]BASE'!FT18=0,"",'[1]BASE'!FT18)</f>
      </c>
      <c r="J18" s="1017">
        <f>IF('[1]BASE'!FU18=0,"",'[1]BASE'!FU18)</f>
      </c>
      <c r="K18" s="1017">
        <f>IF('[1]BASE'!FV18=0,"",'[1]BASE'!FV18)</f>
      </c>
      <c r="L18" s="1017">
        <f>IF('[1]BASE'!FW18=0,"",'[1]BASE'!FW18)</f>
      </c>
      <c r="M18" s="1017">
        <f>IF('[1]BASE'!FX18=0,"",'[1]BASE'!FX18)</f>
      </c>
      <c r="N18" s="1017">
        <f>IF('[1]BASE'!FY18=0,"",'[1]BASE'!FY18)</f>
      </c>
      <c r="O18" s="1017">
        <f>IF('[1]BASE'!FZ18=0,"",'[1]BASE'!FZ18)</f>
      </c>
      <c r="P18" s="1017">
        <f>IF('[1]BASE'!GA18=0,"",'[1]BASE'!GA18)</f>
      </c>
      <c r="Q18" s="1017">
        <f>IF('[1]BASE'!GB18=0,"",'[1]BASE'!GB18)</f>
      </c>
      <c r="R18" s="1017">
        <f>IF('[1]BASE'!GC18=0,"",'[1]BASE'!GC18)</f>
      </c>
      <c r="S18" s="1017">
        <f>IF('[1]BASE'!GD18=0,"",'[1]BASE'!GD18)</f>
      </c>
      <c r="T18" s="1018"/>
      <c r="U18" s="1014"/>
    </row>
    <row r="19" spans="2:21" s="1008" customFormat="1" ht="19.5" customHeight="1">
      <c r="B19" s="1009"/>
      <c r="C19" s="1021">
        <f>IF('[1]BASE'!C19=0,"",'[1]BASE'!C19)</f>
        <v>3</v>
      </c>
      <c r="D19" s="1021" t="str">
        <f>IF('[1]BASE'!D19=0,"",'[1]BASE'!D19)</f>
        <v>AGUA DEL CAJON - CHOCON OESTE</v>
      </c>
      <c r="E19" s="1021">
        <f>IF('[1]BASE'!E19=0,"",'[1]BASE'!E19)</f>
        <v>500</v>
      </c>
      <c r="F19" s="1021">
        <f>IF('[1]BASE'!F19=0,"",'[1]BASE'!F19)</f>
        <v>52</v>
      </c>
      <c r="G19" s="1022">
        <f>IF('[1]BASE'!G19=0,"",'[1]BASE'!G19)</f>
      </c>
      <c r="H19" s="1017">
        <f>IF('[1]BASE'!FS19=0,"",'[1]BASE'!FS19)</f>
      </c>
      <c r="I19" s="1017">
        <f>IF('[1]BASE'!FT19=0,"",'[1]BASE'!FT19)</f>
      </c>
      <c r="J19" s="1017">
        <f>IF('[1]BASE'!FU19=0,"",'[1]BASE'!FU19)</f>
      </c>
      <c r="K19" s="1017">
        <f>IF('[1]BASE'!FV19=0,"",'[1]BASE'!FV19)</f>
      </c>
      <c r="L19" s="1017">
        <f>IF('[1]BASE'!FW19=0,"",'[1]BASE'!FW19)</f>
      </c>
      <c r="M19" s="1017">
        <f>IF('[1]BASE'!FX19=0,"",'[1]BASE'!FX19)</f>
      </c>
      <c r="N19" s="1017">
        <f>IF('[1]BASE'!FY19=0,"",'[1]BASE'!FY19)</f>
      </c>
      <c r="O19" s="1017">
        <f>IF('[1]BASE'!FZ19=0,"",'[1]BASE'!FZ19)</f>
      </c>
      <c r="P19" s="1017">
        <f>IF('[1]BASE'!GA19=0,"",'[1]BASE'!GA19)</f>
      </c>
      <c r="Q19" s="1017">
        <f>IF('[1]BASE'!GB19=0,"",'[1]BASE'!GB19)</f>
      </c>
      <c r="R19" s="1017">
        <f>IF('[1]BASE'!GC19=0,"",'[1]BASE'!GC19)</f>
      </c>
      <c r="S19" s="1017">
        <f>IF('[1]BASE'!GD19=0,"",'[1]BASE'!GD19)</f>
      </c>
      <c r="T19" s="1018"/>
      <c r="U19" s="1014"/>
    </row>
    <row r="20" spans="2:21" s="1008" customFormat="1" ht="19.5" customHeight="1">
      <c r="B20" s="1009"/>
      <c r="C20" s="1019">
        <f>IF('[1]BASE'!C20=0,"",'[1]BASE'!C20)</f>
        <v>4</v>
      </c>
      <c r="D20" s="1019" t="str">
        <f>IF('[1]BASE'!D20=0,"",'[1]BASE'!D20)</f>
        <v>ALICURA - E.T. P.del A. 1 (5LG1)</v>
      </c>
      <c r="E20" s="1019">
        <f>IF('[1]BASE'!E20=0,"",'[1]BASE'!E20)</f>
        <v>500</v>
      </c>
      <c r="F20" s="1019">
        <f>IF('[1]BASE'!F20=0,"",'[1]BASE'!F20)</f>
        <v>76</v>
      </c>
      <c r="G20" s="1020" t="str">
        <f>IF('[1]BASE'!G20=0,"",'[1]BASE'!G20)</f>
        <v>C</v>
      </c>
      <c r="H20" s="1017">
        <f>IF('[1]BASE'!FS20=0,"",'[1]BASE'!FS20)</f>
      </c>
      <c r="I20" s="1017">
        <f>IF('[1]BASE'!FT20=0,"",'[1]BASE'!FT20)</f>
        <v>1</v>
      </c>
      <c r="J20" s="1017">
        <f>IF('[1]BASE'!FU20=0,"",'[1]BASE'!FU20)</f>
      </c>
      <c r="K20" s="1017">
        <f>IF('[1]BASE'!FV20=0,"",'[1]BASE'!FV20)</f>
      </c>
      <c r="L20" s="1017">
        <f>IF('[1]BASE'!FW20=0,"",'[1]BASE'!FW20)</f>
      </c>
      <c r="M20" s="1017">
        <f>IF('[1]BASE'!FX20=0,"",'[1]BASE'!FX20)</f>
      </c>
      <c r="N20" s="1017">
        <f>IF('[1]BASE'!FY20=0,"",'[1]BASE'!FY20)</f>
      </c>
      <c r="O20" s="1017">
        <f>IF('[1]BASE'!FZ20=0,"",'[1]BASE'!FZ20)</f>
      </c>
      <c r="P20" s="1017">
        <f>IF('[1]BASE'!GA20=0,"",'[1]BASE'!GA20)</f>
      </c>
      <c r="Q20" s="1017">
        <f>IF('[1]BASE'!GB20=0,"",'[1]BASE'!GB20)</f>
      </c>
      <c r="R20" s="1017">
        <f>IF('[1]BASE'!GC20=0,"",'[1]BASE'!GC20)</f>
      </c>
      <c r="S20" s="1017">
        <f>IF('[1]BASE'!GD20=0,"",'[1]BASE'!GD20)</f>
      </c>
      <c r="T20" s="1018"/>
      <c r="U20" s="1014"/>
    </row>
    <row r="21" spans="2:21" s="1008" customFormat="1" ht="19.5" customHeight="1">
      <c r="B21" s="1009"/>
      <c r="C21" s="1021">
        <f>IF('[1]BASE'!C21=0,"",'[1]BASE'!C21)</f>
        <v>5</v>
      </c>
      <c r="D21" s="1021" t="str">
        <f>IF('[1]BASE'!D21=0,"",'[1]BASE'!D21)</f>
        <v>ALICURA - E.T. P.del A. 2 (5LG2)</v>
      </c>
      <c r="E21" s="1021">
        <f>IF('[1]BASE'!E21=0,"",'[1]BASE'!E21)</f>
        <v>500</v>
      </c>
      <c r="F21" s="1021">
        <f>IF('[1]BASE'!F21=0,"",'[1]BASE'!F21)</f>
        <v>76</v>
      </c>
      <c r="G21" s="1022" t="str">
        <f>IF('[1]BASE'!G21=0,"",'[1]BASE'!G21)</f>
        <v>C</v>
      </c>
      <c r="H21" s="1017">
        <f>IF('[1]BASE'!FS21=0,"",'[1]BASE'!FS21)</f>
      </c>
      <c r="I21" s="1017">
        <f>IF('[1]BASE'!FT21=0,"",'[1]BASE'!FT21)</f>
      </c>
      <c r="J21" s="1017">
        <f>IF('[1]BASE'!FU21=0,"",'[1]BASE'!FU21)</f>
      </c>
      <c r="K21" s="1017">
        <f>IF('[1]BASE'!FV21=0,"",'[1]BASE'!FV21)</f>
      </c>
      <c r="L21" s="1017">
        <f>IF('[1]BASE'!FW21=0,"",'[1]BASE'!FW21)</f>
      </c>
      <c r="M21" s="1017">
        <f>IF('[1]BASE'!FX21=0,"",'[1]BASE'!FX21)</f>
      </c>
      <c r="N21" s="1017">
        <f>IF('[1]BASE'!FY21=0,"",'[1]BASE'!FY21)</f>
      </c>
      <c r="O21" s="1017">
        <f>IF('[1]BASE'!FZ21=0,"",'[1]BASE'!FZ21)</f>
      </c>
      <c r="P21" s="1017">
        <f>IF('[1]BASE'!GA21=0,"",'[1]BASE'!GA21)</f>
      </c>
      <c r="Q21" s="1017">
        <f>IF('[1]BASE'!GB21=0,"",'[1]BASE'!GB21)</f>
      </c>
      <c r="R21" s="1017">
        <f>IF('[1]BASE'!GC21=0,"",'[1]BASE'!GC21)</f>
      </c>
      <c r="S21" s="1017">
        <f>IF('[1]BASE'!GD21=0,"",'[1]BASE'!GD21)</f>
      </c>
      <c r="T21" s="1018"/>
      <c r="U21" s="1014"/>
    </row>
    <row r="22" spans="2:21" s="1008" customFormat="1" ht="19.5" customHeight="1">
      <c r="B22" s="1009"/>
      <c r="C22" s="1019">
        <f>IF('[1]BASE'!C22=0,"",'[1]BASE'!C22)</f>
        <v>6</v>
      </c>
      <c r="D22" s="1019" t="str">
        <f>IF('[1]BASE'!D22=0,"",'[1]BASE'!D22)</f>
        <v>ALMAFUERTE - EMBALSE </v>
      </c>
      <c r="E22" s="1019">
        <f>IF('[1]BASE'!E22=0,"",'[1]BASE'!E22)</f>
        <v>500</v>
      </c>
      <c r="F22" s="1019">
        <f>IF('[1]BASE'!F22=0,"",'[1]BASE'!F22)</f>
        <v>12</v>
      </c>
      <c r="G22" s="1020" t="str">
        <f>IF('[1]BASE'!G22=0,"",'[1]BASE'!G22)</f>
        <v>A</v>
      </c>
      <c r="H22" s="1017">
        <f>IF('[1]BASE'!FS22=0,"",'[1]BASE'!FS22)</f>
      </c>
      <c r="I22" s="1017">
        <f>IF('[1]BASE'!FT22=0,"",'[1]BASE'!FT22)</f>
      </c>
      <c r="J22" s="1017">
        <f>IF('[1]BASE'!FU22=0,"",'[1]BASE'!FU22)</f>
      </c>
      <c r="K22" s="1017">
        <f>IF('[1]BASE'!FV22=0,"",'[1]BASE'!FV22)</f>
      </c>
      <c r="L22" s="1017">
        <f>IF('[1]BASE'!FW22=0,"",'[1]BASE'!FW22)</f>
      </c>
      <c r="M22" s="1017">
        <f>IF('[1]BASE'!FX22=0,"",'[1]BASE'!FX22)</f>
      </c>
      <c r="N22" s="1017">
        <f>IF('[1]BASE'!FY22=0,"",'[1]BASE'!FY22)</f>
      </c>
      <c r="O22" s="1017">
        <f>IF('[1]BASE'!FZ22=0,"",'[1]BASE'!FZ22)</f>
      </c>
      <c r="P22" s="1017">
        <f>IF('[1]BASE'!GA22=0,"",'[1]BASE'!GA22)</f>
      </c>
      <c r="Q22" s="1017">
        <f>IF('[1]BASE'!GB22=0,"",'[1]BASE'!GB22)</f>
      </c>
      <c r="R22" s="1017">
        <f>IF('[1]BASE'!GC22=0,"",'[1]BASE'!GC22)</f>
      </c>
      <c r="S22" s="1017">
        <f>IF('[1]BASE'!GD22=0,"",'[1]BASE'!GD22)</f>
      </c>
      <c r="T22" s="1018"/>
      <c r="U22" s="1014"/>
    </row>
    <row r="23" spans="2:21" s="1008" customFormat="1" ht="19.5" customHeight="1">
      <c r="B23" s="1009"/>
      <c r="C23" s="1021">
        <f>IF('[1]BASE'!C23=0,"",'[1]BASE'!C23)</f>
        <v>7</v>
      </c>
      <c r="D23" s="1021" t="str">
        <f>IF('[1]BASE'!D23=0,"",'[1]BASE'!D23)</f>
        <v> ALMAFUERTE - ROSARIO OESTE</v>
      </c>
      <c r="E23" s="1021">
        <f>IF('[1]BASE'!E23=0,"",'[1]BASE'!E23)</f>
        <v>500</v>
      </c>
      <c r="F23" s="1021">
        <f>IF('[1]BASE'!F23=0,"",'[1]BASE'!F23)</f>
        <v>345</v>
      </c>
      <c r="G23" s="1022" t="str">
        <f>IF('[1]BASE'!G23=0,"",'[1]BASE'!G23)</f>
        <v>B</v>
      </c>
      <c r="H23" s="1017">
        <f>IF('[1]BASE'!FS23=0,"",'[1]BASE'!FS23)</f>
      </c>
      <c r="I23" s="1017">
        <f>IF('[1]BASE'!FT23=0,"",'[1]BASE'!FT23)</f>
      </c>
      <c r="J23" s="1017">
        <f>IF('[1]BASE'!FU23=0,"",'[1]BASE'!FU23)</f>
      </c>
      <c r="K23" s="1017">
        <f>IF('[1]BASE'!FV23=0,"",'[1]BASE'!FV23)</f>
      </c>
      <c r="L23" s="1017">
        <f>IF('[1]BASE'!FW23=0,"",'[1]BASE'!FW23)</f>
      </c>
      <c r="M23" s="1017">
        <f>IF('[1]BASE'!FX23=0,"",'[1]BASE'!FX23)</f>
      </c>
      <c r="N23" s="1017">
        <f>IF('[1]BASE'!FY23=0,"",'[1]BASE'!FY23)</f>
      </c>
      <c r="O23" s="1017">
        <f>IF('[1]BASE'!FZ23=0,"",'[1]BASE'!FZ23)</f>
      </c>
      <c r="P23" s="1017">
        <f>IF('[1]BASE'!GA23=0,"",'[1]BASE'!GA23)</f>
        <v>1</v>
      </c>
      <c r="Q23" s="1017">
        <f>IF('[1]BASE'!GB23=0,"",'[1]BASE'!GB23)</f>
      </c>
      <c r="R23" s="1017">
        <f>IF('[1]BASE'!GC23=0,"",'[1]BASE'!GC23)</f>
      </c>
      <c r="S23" s="1017">
        <f>IF('[1]BASE'!GD23=0,"",'[1]BASE'!GD23)</f>
      </c>
      <c r="T23" s="1018"/>
      <c r="U23" s="1014"/>
    </row>
    <row r="24" spans="2:21" s="1008" customFormat="1" ht="19.5" customHeight="1">
      <c r="B24" s="1009"/>
      <c r="C24" s="1019">
        <f>IF('[1]BASE'!C24=0,"",'[1]BASE'!C24)</f>
        <v>8</v>
      </c>
      <c r="D24" s="1019" t="str">
        <f>IF('[1]BASE'!D24=0,"",'[1]BASE'!D24)</f>
        <v>BAHIA BLANCA - CHOELE CHOEL 1</v>
      </c>
      <c r="E24" s="1019">
        <f>IF('[1]BASE'!E24=0,"",'[1]BASE'!E24)</f>
        <v>500</v>
      </c>
      <c r="F24" s="1019">
        <f>IF('[1]BASE'!F24=0,"",'[1]BASE'!F24)</f>
        <v>346</v>
      </c>
      <c r="G24" s="1020" t="str">
        <f>IF('[1]BASE'!G24=0,"",'[1]BASE'!G24)</f>
        <v>B</v>
      </c>
      <c r="H24" s="1017">
        <f>IF('[1]BASE'!FS24=0,"",'[1]BASE'!FS24)</f>
        <v>1</v>
      </c>
      <c r="I24" s="1017">
        <f>IF('[1]BASE'!FT24=0,"",'[1]BASE'!FT24)</f>
      </c>
      <c r="J24" s="1017">
        <f>IF('[1]BASE'!FU24=0,"",'[1]BASE'!FU24)</f>
      </c>
      <c r="K24" s="1017">
        <f>IF('[1]BASE'!FV24=0,"",'[1]BASE'!FV24)</f>
      </c>
      <c r="L24" s="1017">
        <f>IF('[1]BASE'!FW24=0,"",'[1]BASE'!FW24)</f>
      </c>
      <c r="M24" s="1017">
        <f>IF('[1]BASE'!FX24=0,"",'[1]BASE'!FX24)</f>
      </c>
      <c r="N24" s="1017">
        <f>IF('[1]BASE'!FY24=0,"",'[1]BASE'!FY24)</f>
      </c>
      <c r="O24" s="1017">
        <f>IF('[1]BASE'!FZ24=0,"",'[1]BASE'!FZ24)</f>
      </c>
      <c r="P24" s="1017">
        <f>IF('[1]BASE'!GA24=0,"",'[1]BASE'!GA24)</f>
      </c>
      <c r="Q24" s="1017">
        <f>IF('[1]BASE'!GB24=0,"",'[1]BASE'!GB24)</f>
      </c>
      <c r="R24" s="1017">
        <f>IF('[1]BASE'!GC24=0,"",'[1]BASE'!GC24)</f>
        <v>1</v>
      </c>
      <c r="S24" s="1017">
        <f>IF('[1]BASE'!GD24=0,"",'[1]BASE'!GD24)</f>
      </c>
      <c r="T24" s="1018"/>
      <c r="U24" s="1014"/>
    </row>
    <row r="25" spans="2:21" s="1008" customFormat="1" ht="19.5" customHeight="1">
      <c r="B25" s="1009"/>
      <c r="C25" s="1021">
        <f>IF('[1]BASE'!C25=0,"",'[1]BASE'!C25)</f>
        <v>9</v>
      </c>
      <c r="D25" s="1021" t="str">
        <f>IF('[1]BASE'!D25=0,"",'[1]BASE'!D25)</f>
        <v>BAHIA BLANCA - CHOELE CHOEL 2</v>
      </c>
      <c r="E25" s="1021">
        <f>IF('[1]BASE'!E25=0,"",'[1]BASE'!E25)</f>
        <v>500</v>
      </c>
      <c r="F25" s="1021">
        <f>IF('[1]BASE'!F25=0,"",'[1]BASE'!F25)</f>
        <v>348.4</v>
      </c>
      <c r="G25" s="1022">
        <f>IF('[1]BASE'!G25=0,"",'[1]BASE'!G25)</f>
      </c>
      <c r="H25" s="1017">
        <f>IF('[1]BASE'!FS25=0,"",'[1]BASE'!FS25)</f>
      </c>
      <c r="I25" s="1017">
        <f>IF('[1]BASE'!FT25=0,"",'[1]BASE'!FT25)</f>
      </c>
      <c r="J25" s="1017">
        <f>IF('[1]BASE'!FU25=0,"",'[1]BASE'!FU25)</f>
      </c>
      <c r="K25" s="1017">
        <f>IF('[1]BASE'!FV25=0,"",'[1]BASE'!FV25)</f>
      </c>
      <c r="L25" s="1017">
        <f>IF('[1]BASE'!FW25=0,"",'[1]BASE'!FW25)</f>
      </c>
      <c r="M25" s="1017">
        <f>IF('[1]BASE'!FX25=0,"",'[1]BASE'!FX25)</f>
      </c>
      <c r="N25" s="1017">
        <f>IF('[1]BASE'!FY25=0,"",'[1]BASE'!FY25)</f>
      </c>
      <c r="O25" s="1017">
        <f>IF('[1]BASE'!FZ25=0,"",'[1]BASE'!FZ25)</f>
      </c>
      <c r="P25" s="1017">
        <f>IF('[1]BASE'!GA25=0,"",'[1]BASE'!GA25)</f>
      </c>
      <c r="Q25" s="1017">
        <f>IF('[1]BASE'!GB25=0,"",'[1]BASE'!GB25)</f>
      </c>
      <c r="R25" s="1017">
        <f>IF('[1]BASE'!GC25=0,"",'[1]BASE'!GC25)</f>
      </c>
      <c r="S25" s="1017">
        <f>IF('[1]BASE'!GD25=0,"",'[1]BASE'!GD25)</f>
      </c>
      <c r="T25" s="1018"/>
      <c r="U25" s="1014"/>
    </row>
    <row r="26" spans="2:21" s="1008" customFormat="1" ht="19.5" customHeight="1">
      <c r="B26" s="1009"/>
      <c r="C26" s="1019">
        <f>IF('[1]BASE'!C26=0,"",'[1]BASE'!C26)</f>
        <v>10</v>
      </c>
      <c r="D26" s="1019" t="str">
        <f>IF('[1]BASE'!D26=0,"",'[1]BASE'!D26)</f>
        <v>CERR. de la CTA - P.BAND. (A3)</v>
      </c>
      <c r="E26" s="1019">
        <f>IF('[1]BASE'!E26=0,"",'[1]BASE'!E26)</f>
        <v>500</v>
      </c>
      <c r="F26" s="1019">
        <f>IF('[1]BASE'!F26=0,"",'[1]BASE'!F26)</f>
        <v>27</v>
      </c>
      <c r="G26" s="1020" t="str">
        <f>IF('[1]BASE'!G26=0,"",'[1]BASE'!G26)</f>
        <v>C</v>
      </c>
      <c r="H26" s="1017">
        <f>IF('[1]BASE'!FS26=0,"",'[1]BASE'!FS26)</f>
        <v>2</v>
      </c>
      <c r="I26" s="1017">
        <f>IF('[1]BASE'!FT26=0,"",'[1]BASE'!FT26)</f>
      </c>
      <c r="J26" s="1017">
        <f>IF('[1]BASE'!FU26=0,"",'[1]BASE'!FU26)</f>
      </c>
      <c r="K26" s="1017">
        <f>IF('[1]BASE'!FV26=0,"",'[1]BASE'!FV26)</f>
      </c>
      <c r="L26" s="1017">
        <f>IF('[1]BASE'!FW26=0,"",'[1]BASE'!FW26)</f>
      </c>
      <c r="M26" s="1017">
        <f>IF('[1]BASE'!FX26=0,"",'[1]BASE'!FX26)</f>
        <v>2</v>
      </c>
      <c r="N26" s="1017">
        <f>IF('[1]BASE'!FY26=0,"",'[1]BASE'!FY26)</f>
      </c>
      <c r="O26" s="1017">
        <f>IF('[1]BASE'!FZ26=0,"",'[1]BASE'!FZ26)</f>
      </c>
      <c r="P26" s="1017">
        <f>IF('[1]BASE'!GA26=0,"",'[1]BASE'!GA26)</f>
        <v>1</v>
      </c>
      <c r="Q26" s="1017">
        <f>IF('[1]BASE'!GB26=0,"",'[1]BASE'!GB26)</f>
      </c>
      <c r="R26" s="1017">
        <f>IF('[1]BASE'!GC26=0,"",'[1]BASE'!GC26)</f>
      </c>
      <c r="S26" s="1017">
        <f>IF('[1]BASE'!GD26=0,"",'[1]BASE'!GD26)</f>
      </c>
      <c r="T26" s="1018"/>
      <c r="U26" s="1014"/>
    </row>
    <row r="27" spans="2:21" s="1008" customFormat="1" ht="19.5" customHeight="1">
      <c r="B27" s="1009"/>
      <c r="C27" s="1021">
        <f>IF('[1]BASE'!C27=0,"",'[1]BASE'!C27)</f>
        <v>11</v>
      </c>
      <c r="D27" s="1021" t="str">
        <f>IF('[1]BASE'!D27=0,"",'[1]BASE'!D27)</f>
        <v>COLONIA ELIA - CAMPANA</v>
      </c>
      <c r="E27" s="1021">
        <f>IF('[1]BASE'!E27=0,"",'[1]BASE'!E27)</f>
        <v>500</v>
      </c>
      <c r="F27" s="1021">
        <f>IF('[1]BASE'!F27=0,"",'[1]BASE'!F27)</f>
        <v>194</v>
      </c>
      <c r="G27" s="1022" t="str">
        <f>IF('[1]BASE'!G27=0,"",'[1]BASE'!G27)</f>
        <v>C</v>
      </c>
      <c r="H27" s="1017">
        <f>IF('[1]BASE'!FS27=0,"",'[1]BASE'!FS27)</f>
      </c>
      <c r="I27" s="1017">
        <f>IF('[1]BASE'!FT27=0,"",'[1]BASE'!FT27)</f>
      </c>
      <c r="J27" s="1017">
        <f>IF('[1]BASE'!FU27=0,"",'[1]BASE'!FU27)</f>
      </c>
      <c r="K27" s="1017">
        <f>IF('[1]BASE'!FV27=0,"",'[1]BASE'!FV27)</f>
      </c>
      <c r="L27" s="1017">
        <f>IF('[1]BASE'!FW27=0,"",'[1]BASE'!FW27)</f>
      </c>
      <c r="M27" s="1017">
        <f>IF('[1]BASE'!FX27=0,"",'[1]BASE'!FX27)</f>
      </c>
      <c r="N27" s="1017">
        <f>IF('[1]BASE'!FY27=0,"",'[1]BASE'!FY27)</f>
      </c>
      <c r="O27" s="1017">
        <f>IF('[1]BASE'!FZ27=0,"",'[1]BASE'!FZ27)</f>
      </c>
      <c r="P27" s="1017">
        <f>IF('[1]BASE'!GA27=0,"",'[1]BASE'!GA27)</f>
      </c>
      <c r="Q27" s="1017">
        <f>IF('[1]BASE'!GB27=0,"",'[1]BASE'!GB27)</f>
      </c>
      <c r="R27" s="1017">
        <f>IF('[1]BASE'!GC27=0,"",'[1]BASE'!GC27)</f>
      </c>
      <c r="S27" s="1017">
        <f>IF('[1]BASE'!GD27=0,"",'[1]BASE'!GD27)</f>
      </c>
      <c r="T27" s="1018"/>
      <c r="U27" s="1014"/>
    </row>
    <row r="28" spans="2:21" s="1008" customFormat="1" ht="19.5" customHeight="1">
      <c r="B28" s="1009"/>
      <c r="C28" s="1019">
        <f>IF('[1]BASE'!C28=0,"",'[1]BASE'!C28)</f>
        <v>12</v>
      </c>
      <c r="D28" s="1019" t="str">
        <f>IF('[1]BASE'!D28=0,"",'[1]BASE'!D28)</f>
        <v>CHO. W. - CHOELE CHOEL (5WH1)</v>
      </c>
      <c r="E28" s="1019">
        <f>IF('[1]BASE'!E28=0,"",'[1]BASE'!E28)</f>
        <v>500</v>
      </c>
      <c r="F28" s="1019">
        <f>IF('[1]BASE'!F28=0,"",'[1]BASE'!F28)</f>
        <v>269</v>
      </c>
      <c r="G28" s="1020" t="str">
        <f>IF('[1]BASE'!G28=0,"",'[1]BASE'!G28)</f>
        <v>B</v>
      </c>
      <c r="H28" s="1017">
        <f>IF('[1]BASE'!FS28=0,"",'[1]BASE'!FS28)</f>
      </c>
      <c r="I28" s="1017">
        <f>IF('[1]BASE'!FT28=0,"",'[1]BASE'!FT28)</f>
      </c>
      <c r="J28" s="1017">
        <f>IF('[1]BASE'!FU28=0,"",'[1]BASE'!FU28)</f>
      </c>
      <c r="K28" s="1017">
        <f>IF('[1]BASE'!FV28=0,"",'[1]BASE'!FV28)</f>
      </c>
      <c r="L28" s="1017">
        <f>IF('[1]BASE'!FW28=0,"",'[1]BASE'!FW28)</f>
      </c>
      <c r="M28" s="1017">
        <f>IF('[1]BASE'!FX28=0,"",'[1]BASE'!FX28)</f>
      </c>
      <c r="N28" s="1017">
        <f>IF('[1]BASE'!FY28=0,"",'[1]BASE'!FY28)</f>
      </c>
      <c r="O28" s="1017">
        <f>IF('[1]BASE'!FZ28=0,"",'[1]BASE'!FZ28)</f>
      </c>
      <c r="P28" s="1017">
        <f>IF('[1]BASE'!GA28=0,"",'[1]BASE'!GA28)</f>
      </c>
      <c r="Q28" s="1017">
        <f>IF('[1]BASE'!GB28=0,"",'[1]BASE'!GB28)</f>
      </c>
      <c r="R28" s="1017">
        <f>IF('[1]BASE'!GC28=0,"",'[1]BASE'!GC28)</f>
      </c>
      <c r="S28" s="1017">
        <f>IF('[1]BASE'!GD28=0,"",'[1]BASE'!GD28)</f>
      </c>
      <c r="T28" s="1018"/>
      <c r="U28" s="1014"/>
    </row>
    <row r="29" spans="2:21" s="1008" customFormat="1" ht="19.5" customHeight="1">
      <c r="B29" s="1009"/>
      <c r="C29" s="1021">
        <f>IF('[1]BASE'!C29=0,"",'[1]BASE'!C29)</f>
        <v>13</v>
      </c>
      <c r="D29" s="1021" t="str">
        <f>IF('[1]BASE'!D29=0,"",'[1]BASE'!D29)</f>
        <v>CHO.W. - CHO. 1 (5WC1)</v>
      </c>
      <c r="E29" s="1021">
        <f>IF('[1]BASE'!E29=0,"",'[1]BASE'!E29)</f>
        <v>500</v>
      </c>
      <c r="F29" s="1021">
        <f>IF('[1]BASE'!F29=0,"",'[1]BASE'!F29)</f>
        <v>4.5</v>
      </c>
      <c r="G29" s="1022" t="str">
        <f>IF('[1]BASE'!G29=0,"",'[1]BASE'!G29)</f>
        <v>C</v>
      </c>
      <c r="H29" s="1017">
        <f>IF('[1]BASE'!FS29=0,"",'[1]BASE'!FS29)</f>
      </c>
      <c r="I29" s="1017">
        <f>IF('[1]BASE'!FT29=0,"",'[1]BASE'!FT29)</f>
      </c>
      <c r="J29" s="1017">
        <f>IF('[1]BASE'!FU29=0,"",'[1]BASE'!FU29)</f>
      </c>
      <c r="K29" s="1017">
        <f>IF('[1]BASE'!FV29=0,"",'[1]BASE'!FV29)</f>
      </c>
      <c r="L29" s="1017">
        <f>IF('[1]BASE'!FW29=0,"",'[1]BASE'!FW29)</f>
      </c>
      <c r="M29" s="1017">
        <f>IF('[1]BASE'!FX29=0,"",'[1]BASE'!FX29)</f>
      </c>
      <c r="N29" s="1017">
        <f>IF('[1]BASE'!FY29=0,"",'[1]BASE'!FY29)</f>
      </c>
      <c r="O29" s="1017">
        <f>IF('[1]BASE'!FZ29=0,"",'[1]BASE'!FZ29)</f>
      </c>
      <c r="P29" s="1017">
        <f>IF('[1]BASE'!GA29=0,"",'[1]BASE'!GA29)</f>
      </c>
      <c r="Q29" s="1017">
        <f>IF('[1]BASE'!GB29=0,"",'[1]BASE'!GB29)</f>
      </c>
      <c r="R29" s="1017">
        <f>IF('[1]BASE'!GC29=0,"",'[1]BASE'!GC29)</f>
      </c>
      <c r="S29" s="1017">
        <f>IF('[1]BASE'!GD29=0,"",'[1]BASE'!GD29)</f>
      </c>
      <c r="T29" s="1018"/>
      <c r="U29" s="1014"/>
    </row>
    <row r="30" spans="2:21" s="1008" customFormat="1" ht="19.5" customHeight="1">
      <c r="B30" s="1009"/>
      <c r="C30" s="1019">
        <f>IF('[1]BASE'!C30=0,"",'[1]BASE'!C30)</f>
        <v>14</v>
      </c>
      <c r="D30" s="1019" t="str">
        <f>IF('[1]BASE'!D30=0,"",'[1]BASE'!D30)</f>
        <v>CHO.W. - CHO. 2 (5WC2)</v>
      </c>
      <c r="E30" s="1019">
        <f>IF('[1]BASE'!E30=0,"",'[1]BASE'!E30)</f>
        <v>500</v>
      </c>
      <c r="F30" s="1019">
        <f>IF('[1]BASE'!F30=0,"",'[1]BASE'!F30)</f>
        <v>4.5</v>
      </c>
      <c r="G30" s="1020" t="str">
        <f>IF('[1]BASE'!G30=0,"",'[1]BASE'!G30)</f>
        <v>C</v>
      </c>
      <c r="H30" s="1017">
        <f>IF('[1]BASE'!FS30=0,"",'[1]BASE'!FS30)</f>
      </c>
      <c r="I30" s="1017">
        <f>IF('[1]BASE'!FT30=0,"",'[1]BASE'!FT30)</f>
      </c>
      <c r="J30" s="1017">
        <f>IF('[1]BASE'!FU30=0,"",'[1]BASE'!FU30)</f>
      </c>
      <c r="K30" s="1017">
        <f>IF('[1]BASE'!FV30=0,"",'[1]BASE'!FV30)</f>
      </c>
      <c r="L30" s="1017">
        <f>IF('[1]BASE'!FW30=0,"",'[1]BASE'!FW30)</f>
      </c>
      <c r="M30" s="1017">
        <f>IF('[1]BASE'!FX30=0,"",'[1]BASE'!FX30)</f>
      </c>
      <c r="N30" s="1017">
        <f>IF('[1]BASE'!FY30=0,"",'[1]BASE'!FY30)</f>
      </c>
      <c r="O30" s="1017">
        <f>IF('[1]BASE'!FZ30=0,"",'[1]BASE'!FZ30)</f>
      </c>
      <c r="P30" s="1017">
        <f>IF('[1]BASE'!GA30=0,"",'[1]BASE'!GA30)</f>
      </c>
      <c r="Q30" s="1017">
        <f>IF('[1]BASE'!GB30=0,"",'[1]BASE'!GB30)</f>
      </c>
      <c r="R30" s="1017">
        <f>IF('[1]BASE'!GC30=0,"",'[1]BASE'!GC30)</f>
      </c>
      <c r="S30" s="1017">
        <f>IF('[1]BASE'!GD30=0,"",'[1]BASE'!GD30)</f>
      </c>
      <c r="T30" s="1018"/>
      <c r="U30" s="1014"/>
    </row>
    <row r="31" spans="2:21" s="1008" customFormat="1" ht="19.5" customHeight="1">
      <c r="B31" s="1009"/>
      <c r="C31" s="1021">
        <f>IF('[1]BASE'!C31=0,"",'[1]BASE'!C31)</f>
        <v>15</v>
      </c>
      <c r="D31" s="1021" t="str">
        <f>IF('[1]BASE'!D31=0,"",'[1]BASE'!D31)</f>
        <v>CHOCON - C.H. CHOCON 1</v>
      </c>
      <c r="E31" s="1021">
        <f>IF('[1]BASE'!E31=0,"",'[1]BASE'!E31)</f>
        <v>500</v>
      </c>
      <c r="F31" s="1021">
        <f>IF('[1]BASE'!F31=0,"",'[1]BASE'!F31)</f>
        <v>3</v>
      </c>
      <c r="G31" s="1022" t="str">
        <f>IF('[1]BASE'!G31=0,"",'[1]BASE'!G31)</f>
        <v>C</v>
      </c>
      <c r="H31" s="1017">
        <f>IF('[1]BASE'!FS31=0,"",'[1]BASE'!FS31)</f>
      </c>
      <c r="I31" s="1017">
        <f>IF('[1]BASE'!FT31=0,"",'[1]BASE'!FT31)</f>
      </c>
      <c r="J31" s="1017">
        <f>IF('[1]BASE'!FU31=0,"",'[1]BASE'!FU31)</f>
      </c>
      <c r="K31" s="1017">
        <f>IF('[1]BASE'!FV31=0,"",'[1]BASE'!FV31)</f>
      </c>
      <c r="L31" s="1017">
        <f>IF('[1]BASE'!FW31=0,"",'[1]BASE'!FW31)</f>
      </c>
      <c r="M31" s="1017">
        <f>IF('[1]BASE'!FX31=0,"",'[1]BASE'!FX31)</f>
      </c>
      <c r="N31" s="1017">
        <f>IF('[1]BASE'!FY31=0,"",'[1]BASE'!FY31)</f>
      </c>
      <c r="O31" s="1017">
        <f>IF('[1]BASE'!FZ31=0,"",'[1]BASE'!FZ31)</f>
      </c>
      <c r="P31" s="1017">
        <f>IF('[1]BASE'!GA31=0,"",'[1]BASE'!GA31)</f>
      </c>
      <c r="Q31" s="1017">
        <f>IF('[1]BASE'!GB31=0,"",'[1]BASE'!GB31)</f>
      </c>
      <c r="R31" s="1017">
        <f>IF('[1]BASE'!GC31=0,"",'[1]BASE'!GC31)</f>
      </c>
      <c r="S31" s="1017">
        <f>IF('[1]BASE'!GD31=0,"",'[1]BASE'!GD31)</f>
      </c>
      <c r="T31" s="1018"/>
      <c r="U31" s="1014"/>
    </row>
    <row r="32" spans="2:21" s="1008" customFormat="1" ht="19.5" customHeight="1">
      <c r="B32" s="1009"/>
      <c r="C32" s="1019">
        <f>IF('[1]BASE'!C32=0,"",'[1]BASE'!C32)</f>
        <v>16</v>
      </c>
      <c r="D32" s="1019" t="str">
        <f>IF('[1]BASE'!D32=0,"",'[1]BASE'!D32)</f>
        <v>CHOCON - C.H. CHOCON 2</v>
      </c>
      <c r="E32" s="1019">
        <f>IF('[1]BASE'!E32=0,"",'[1]BASE'!E32)</f>
        <v>500</v>
      </c>
      <c r="F32" s="1019">
        <f>IF('[1]BASE'!F32=0,"",'[1]BASE'!F32)</f>
        <v>3</v>
      </c>
      <c r="G32" s="1020" t="str">
        <f>IF('[1]BASE'!G32=0,"",'[1]BASE'!G32)</f>
        <v>C</v>
      </c>
      <c r="H32" s="1017">
        <f>IF('[1]BASE'!FS32=0,"",'[1]BASE'!FS32)</f>
      </c>
      <c r="I32" s="1017">
        <f>IF('[1]BASE'!FT32=0,"",'[1]BASE'!FT32)</f>
      </c>
      <c r="J32" s="1017">
        <f>IF('[1]BASE'!FU32=0,"",'[1]BASE'!FU32)</f>
      </c>
      <c r="K32" s="1017">
        <f>IF('[1]BASE'!FV32=0,"",'[1]BASE'!FV32)</f>
      </c>
      <c r="L32" s="1017">
        <f>IF('[1]BASE'!FW32=0,"",'[1]BASE'!FW32)</f>
      </c>
      <c r="M32" s="1017">
        <f>IF('[1]BASE'!FX32=0,"",'[1]BASE'!FX32)</f>
      </c>
      <c r="N32" s="1017">
        <f>IF('[1]BASE'!FY32=0,"",'[1]BASE'!FY32)</f>
      </c>
      <c r="O32" s="1017">
        <f>IF('[1]BASE'!FZ32=0,"",'[1]BASE'!FZ32)</f>
      </c>
      <c r="P32" s="1017">
        <f>IF('[1]BASE'!GA32=0,"",'[1]BASE'!GA32)</f>
      </c>
      <c r="Q32" s="1017">
        <f>IF('[1]BASE'!GB32=0,"",'[1]BASE'!GB32)</f>
      </c>
      <c r="R32" s="1017">
        <f>IF('[1]BASE'!GC32=0,"",'[1]BASE'!GC32)</f>
      </c>
      <c r="S32" s="1017">
        <f>IF('[1]BASE'!GD32=0,"",'[1]BASE'!GD32)</f>
      </c>
      <c r="T32" s="1018"/>
      <c r="U32" s="1014"/>
    </row>
    <row r="33" spans="2:21" s="1008" customFormat="1" ht="19.5" customHeight="1">
      <c r="B33" s="1009"/>
      <c r="C33" s="1021">
        <f>IF('[1]BASE'!C33=0,"",'[1]BASE'!C33)</f>
        <v>17</v>
      </c>
      <c r="D33" s="1021" t="str">
        <f>IF('[1]BASE'!D33=0,"",'[1]BASE'!D33)</f>
        <v>CHOCON - C.H. CHOCON 3</v>
      </c>
      <c r="E33" s="1021">
        <f>IF('[1]BASE'!E33=0,"",'[1]BASE'!E33)</f>
        <v>500</v>
      </c>
      <c r="F33" s="1021">
        <f>IF('[1]BASE'!F33=0,"",'[1]BASE'!F33)</f>
        <v>3</v>
      </c>
      <c r="G33" s="1022" t="str">
        <f>IF('[1]BASE'!G33=0,"",'[1]BASE'!G33)</f>
        <v>C</v>
      </c>
      <c r="H33" s="1017">
        <f>IF('[1]BASE'!FS33=0,"",'[1]BASE'!FS33)</f>
      </c>
      <c r="I33" s="1017">
        <f>IF('[1]BASE'!FT33=0,"",'[1]BASE'!FT33)</f>
      </c>
      <c r="J33" s="1017">
        <f>IF('[1]BASE'!FU33=0,"",'[1]BASE'!FU33)</f>
      </c>
      <c r="K33" s="1017">
        <f>IF('[1]BASE'!FV33=0,"",'[1]BASE'!FV33)</f>
      </c>
      <c r="L33" s="1017">
        <f>IF('[1]BASE'!FW33=0,"",'[1]BASE'!FW33)</f>
      </c>
      <c r="M33" s="1017">
        <f>IF('[1]BASE'!FX33=0,"",'[1]BASE'!FX33)</f>
        <v>1</v>
      </c>
      <c r="N33" s="1017">
        <f>IF('[1]BASE'!FY33=0,"",'[1]BASE'!FY33)</f>
      </c>
      <c r="O33" s="1017">
        <f>IF('[1]BASE'!FZ33=0,"",'[1]BASE'!FZ33)</f>
      </c>
      <c r="P33" s="1017">
        <f>IF('[1]BASE'!GA33=0,"",'[1]BASE'!GA33)</f>
      </c>
      <c r="Q33" s="1017">
        <f>IF('[1]BASE'!GB33=0,"",'[1]BASE'!GB33)</f>
      </c>
      <c r="R33" s="1017">
        <f>IF('[1]BASE'!GC33=0,"",'[1]BASE'!GC33)</f>
      </c>
      <c r="S33" s="1017">
        <f>IF('[1]BASE'!GD33=0,"",'[1]BASE'!GD33)</f>
      </c>
      <c r="T33" s="1018"/>
      <c r="U33" s="1014"/>
    </row>
    <row r="34" spans="2:21" s="1008" customFormat="1" ht="19.5" customHeight="1">
      <c r="B34" s="1009"/>
      <c r="C34" s="1019">
        <f>IF('[1]BASE'!C34=0,"",'[1]BASE'!C34)</f>
        <v>18</v>
      </c>
      <c r="D34" s="1019" t="str">
        <f>IF('[1]BASE'!D34=0,"",'[1]BASE'!D34)</f>
        <v>CHOCON - PUELCHES 1</v>
      </c>
      <c r="E34" s="1019">
        <f>IF('[1]BASE'!E34=0,"",'[1]BASE'!E34)</f>
        <v>500</v>
      </c>
      <c r="F34" s="1019">
        <f>IF('[1]BASE'!F34=0,"",'[1]BASE'!F34)</f>
        <v>304</v>
      </c>
      <c r="G34" s="1020" t="str">
        <f>IF('[1]BASE'!G34=0,"",'[1]BASE'!G34)</f>
        <v>A</v>
      </c>
      <c r="H34" s="1017">
        <f>IF('[1]BASE'!FS34=0,"",'[1]BASE'!FS34)</f>
      </c>
      <c r="I34" s="1017">
        <f>IF('[1]BASE'!FT34=0,"",'[1]BASE'!FT34)</f>
      </c>
      <c r="J34" s="1017">
        <f>IF('[1]BASE'!FU34=0,"",'[1]BASE'!FU34)</f>
      </c>
      <c r="K34" s="1017">
        <f>IF('[1]BASE'!FV34=0,"",'[1]BASE'!FV34)</f>
      </c>
      <c r="L34" s="1017">
        <f>IF('[1]BASE'!FW34=0,"",'[1]BASE'!FW34)</f>
      </c>
      <c r="M34" s="1017">
        <f>IF('[1]BASE'!FX34=0,"",'[1]BASE'!FX34)</f>
      </c>
      <c r="N34" s="1017">
        <f>IF('[1]BASE'!FY34=0,"",'[1]BASE'!FY34)</f>
      </c>
      <c r="O34" s="1017">
        <f>IF('[1]BASE'!FZ34=0,"",'[1]BASE'!FZ34)</f>
      </c>
      <c r="P34" s="1017">
        <f>IF('[1]BASE'!GA34=0,"",'[1]BASE'!GA34)</f>
      </c>
      <c r="Q34" s="1017">
        <f>IF('[1]BASE'!GB34=0,"",'[1]BASE'!GB34)</f>
      </c>
      <c r="R34" s="1017">
        <f>IF('[1]BASE'!GC34=0,"",'[1]BASE'!GC34)</f>
        <v>2</v>
      </c>
      <c r="S34" s="1017">
        <f>IF('[1]BASE'!GD34=0,"",'[1]BASE'!GD34)</f>
      </c>
      <c r="T34" s="1018"/>
      <c r="U34" s="1014"/>
    </row>
    <row r="35" spans="2:21" s="1008" customFormat="1" ht="19.5" customHeight="1">
      <c r="B35" s="1009"/>
      <c r="C35" s="1021">
        <f>IF('[1]BASE'!C35=0,"",'[1]BASE'!C35)</f>
        <v>19</v>
      </c>
      <c r="D35" s="1021" t="str">
        <f>IF('[1]BASE'!D35=0,"",'[1]BASE'!D35)</f>
        <v>CHOCON - PUELCHES 2</v>
      </c>
      <c r="E35" s="1021">
        <f>IF('[1]BASE'!E35=0,"",'[1]BASE'!E35)</f>
        <v>500</v>
      </c>
      <c r="F35" s="1021">
        <f>IF('[1]BASE'!F35=0,"",'[1]BASE'!F35)</f>
        <v>304</v>
      </c>
      <c r="G35" s="1022" t="str">
        <f>IF('[1]BASE'!G35=0,"",'[1]BASE'!G35)</f>
        <v>A</v>
      </c>
      <c r="H35" s="1017">
        <f>IF('[1]BASE'!FS35=0,"",'[1]BASE'!FS35)</f>
      </c>
      <c r="I35" s="1017">
        <f>IF('[1]BASE'!FT35=0,"",'[1]BASE'!FT35)</f>
      </c>
      <c r="J35" s="1017">
        <f>IF('[1]BASE'!FU35=0,"",'[1]BASE'!FU35)</f>
      </c>
      <c r="K35" s="1017">
        <f>IF('[1]BASE'!FV35=0,"",'[1]BASE'!FV35)</f>
      </c>
      <c r="L35" s="1017">
        <f>IF('[1]BASE'!FW35=0,"",'[1]BASE'!FW35)</f>
        <v>1</v>
      </c>
      <c r="M35" s="1017">
        <f>IF('[1]BASE'!FX35=0,"",'[1]BASE'!FX35)</f>
      </c>
      <c r="N35" s="1017">
        <f>IF('[1]BASE'!FY35=0,"",'[1]BASE'!FY35)</f>
      </c>
      <c r="O35" s="1017">
        <f>IF('[1]BASE'!FZ35=0,"",'[1]BASE'!FZ35)</f>
      </c>
      <c r="P35" s="1017">
        <f>IF('[1]BASE'!GA35=0,"",'[1]BASE'!GA35)</f>
      </c>
      <c r="Q35" s="1017">
        <f>IF('[1]BASE'!GB35=0,"",'[1]BASE'!GB35)</f>
      </c>
      <c r="R35" s="1017">
        <f>IF('[1]BASE'!GC35=0,"",'[1]BASE'!GC35)</f>
      </c>
      <c r="S35" s="1017">
        <f>IF('[1]BASE'!GD35=0,"",'[1]BASE'!GD35)</f>
      </c>
      <c r="T35" s="1018"/>
      <c r="U35" s="1014"/>
    </row>
    <row r="36" spans="2:21" s="1008" customFormat="1" ht="19.5" customHeight="1">
      <c r="B36" s="1009"/>
      <c r="C36" s="1019">
        <f>IF('[1]BASE'!C36=0,"",'[1]BASE'!C36)</f>
        <v>20</v>
      </c>
      <c r="D36" s="1019" t="str">
        <f>IF('[1]BASE'!D36=0,"",'[1]BASE'!D36)</f>
        <v>E.T.P.del AGUILA - CENTRAL P.del A. 1</v>
      </c>
      <c r="E36" s="1019">
        <f>IF('[1]BASE'!E36=0,"",'[1]BASE'!E36)</f>
        <v>500</v>
      </c>
      <c r="F36" s="1019">
        <f>IF('[1]BASE'!F36=0,"",'[1]BASE'!F36)</f>
        <v>5.6</v>
      </c>
      <c r="G36" s="1020" t="str">
        <f>IF('[1]BASE'!G36=0,"",'[1]BASE'!G36)</f>
        <v>C</v>
      </c>
      <c r="H36" s="1017">
        <f>IF('[1]BASE'!FS36=0,"",'[1]BASE'!FS36)</f>
      </c>
      <c r="I36" s="1017">
        <f>IF('[1]BASE'!FT36=0,"",'[1]BASE'!FT36)</f>
      </c>
      <c r="J36" s="1017">
        <f>IF('[1]BASE'!FU36=0,"",'[1]BASE'!FU36)</f>
      </c>
      <c r="K36" s="1017">
        <f>IF('[1]BASE'!FV36=0,"",'[1]BASE'!FV36)</f>
      </c>
      <c r="L36" s="1017">
        <f>IF('[1]BASE'!FW36=0,"",'[1]BASE'!FW36)</f>
      </c>
      <c r="M36" s="1017">
        <f>IF('[1]BASE'!FX36=0,"",'[1]BASE'!FX36)</f>
      </c>
      <c r="N36" s="1017">
        <f>IF('[1]BASE'!FY36=0,"",'[1]BASE'!FY36)</f>
      </c>
      <c r="O36" s="1017">
        <f>IF('[1]BASE'!FZ36=0,"",'[1]BASE'!FZ36)</f>
      </c>
      <c r="P36" s="1017">
        <f>IF('[1]BASE'!GA36=0,"",'[1]BASE'!GA36)</f>
      </c>
      <c r="Q36" s="1017">
        <f>IF('[1]BASE'!GB36=0,"",'[1]BASE'!GB36)</f>
      </c>
      <c r="R36" s="1017">
        <f>IF('[1]BASE'!GC36=0,"",'[1]BASE'!GC36)</f>
      </c>
      <c r="S36" s="1017">
        <f>IF('[1]BASE'!GD36=0,"",'[1]BASE'!GD36)</f>
      </c>
      <c r="T36" s="1018"/>
      <c r="U36" s="1014"/>
    </row>
    <row r="37" spans="2:21" s="1008" customFormat="1" ht="19.5" customHeight="1">
      <c r="B37" s="1009"/>
      <c r="C37" s="1021">
        <f>IF('[1]BASE'!C37=0,"",'[1]BASE'!C37)</f>
        <v>21</v>
      </c>
      <c r="D37" s="1021" t="str">
        <f>IF('[1]BASE'!D37=0,"",'[1]BASE'!D37)</f>
        <v>E.T.P.del AGUILA - CENTRAL P.del A. 2</v>
      </c>
      <c r="E37" s="1021">
        <f>IF('[1]BASE'!E37=0,"",'[1]BASE'!E37)</f>
        <v>500</v>
      </c>
      <c r="F37" s="1021">
        <f>IF('[1]BASE'!F37=0,"",'[1]BASE'!F37)</f>
        <v>5.6</v>
      </c>
      <c r="G37" s="1022" t="str">
        <f>IF('[1]BASE'!G37=0,"",'[1]BASE'!G37)</f>
        <v>C</v>
      </c>
      <c r="H37" s="1017">
        <f>IF('[1]BASE'!FS37=0,"",'[1]BASE'!FS37)</f>
      </c>
      <c r="I37" s="1017">
        <f>IF('[1]BASE'!FT37=0,"",'[1]BASE'!FT37)</f>
      </c>
      <c r="J37" s="1017">
        <f>IF('[1]BASE'!FU37=0,"",'[1]BASE'!FU37)</f>
      </c>
      <c r="K37" s="1017">
        <f>IF('[1]BASE'!FV37=0,"",'[1]BASE'!FV37)</f>
      </c>
      <c r="L37" s="1017">
        <f>IF('[1]BASE'!FW37=0,"",'[1]BASE'!FW37)</f>
      </c>
      <c r="M37" s="1017">
        <f>IF('[1]BASE'!FX37=0,"",'[1]BASE'!FX37)</f>
      </c>
      <c r="N37" s="1017">
        <f>IF('[1]BASE'!FY37=0,"",'[1]BASE'!FY37)</f>
      </c>
      <c r="O37" s="1017">
        <f>IF('[1]BASE'!FZ37=0,"",'[1]BASE'!FZ37)</f>
      </c>
      <c r="P37" s="1017">
        <f>IF('[1]BASE'!GA37=0,"",'[1]BASE'!GA37)</f>
      </c>
      <c r="Q37" s="1017">
        <f>IF('[1]BASE'!GB37=0,"",'[1]BASE'!GB37)</f>
      </c>
      <c r="R37" s="1017">
        <f>IF('[1]BASE'!GC37=0,"",'[1]BASE'!GC37)</f>
      </c>
      <c r="S37" s="1017">
        <f>IF('[1]BASE'!GD37=0,"",'[1]BASE'!GD37)</f>
      </c>
      <c r="T37" s="1018"/>
      <c r="U37" s="1014"/>
    </row>
    <row r="38" spans="2:21" s="1008" customFormat="1" ht="19.5" customHeight="1">
      <c r="B38" s="1009"/>
      <c r="C38" s="1019">
        <f>IF('[1]BASE'!C38=0,"",'[1]BASE'!C38)</f>
        <v>22</v>
      </c>
      <c r="D38" s="1019" t="str">
        <f>IF('[1]BASE'!D38=0,"",'[1]BASE'!D38)</f>
        <v>EL BRACHO - RECREO(5)</v>
      </c>
      <c r="E38" s="1019">
        <f>IF('[1]BASE'!E38=0,"",'[1]BASE'!E38)</f>
        <v>500</v>
      </c>
      <c r="F38" s="1019">
        <f>IF('[1]BASE'!F38=0,"",'[1]BASE'!F38)</f>
        <v>255</v>
      </c>
      <c r="G38" s="1020" t="str">
        <f>IF('[1]BASE'!G38=0,"",'[1]BASE'!G38)</f>
        <v>C</v>
      </c>
      <c r="H38" s="1017">
        <f>IF('[1]BASE'!FS38=0,"",'[1]BASE'!FS38)</f>
      </c>
      <c r="I38" s="1017">
        <f>IF('[1]BASE'!FT38=0,"",'[1]BASE'!FT38)</f>
      </c>
      <c r="J38" s="1017">
        <f>IF('[1]BASE'!FU38=0,"",'[1]BASE'!FU38)</f>
      </c>
      <c r="K38" s="1017">
        <f>IF('[1]BASE'!FV38=0,"",'[1]BASE'!FV38)</f>
      </c>
      <c r="L38" s="1017">
        <f>IF('[1]BASE'!FW38=0,"",'[1]BASE'!FW38)</f>
      </c>
      <c r="M38" s="1017">
        <f>IF('[1]BASE'!FX38=0,"",'[1]BASE'!FX38)</f>
      </c>
      <c r="N38" s="1017">
        <f>IF('[1]BASE'!FY38=0,"",'[1]BASE'!FY38)</f>
      </c>
      <c r="O38" s="1017">
        <f>IF('[1]BASE'!FZ38=0,"",'[1]BASE'!FZ38)</f>
      </c>
      <c r="P38" s="1017">
        <f>IF('[1]BASE'!GA38=0,"",'[1]BASE'!GA38)</f>
      </c>
      <c r="Q38" s="1017">
        <f>IF('[1]BASE'!GB38=0,"",'[1]BASE'!GB38)</f>
      </c>
      <c r="R38" s="1017">
        <f>IF('[1]BASE'!GC38=0,"",'[1]BASE'!GC38)</f>
      </c>
      <c r="S38" s="1017">
        <f>IF('[1]BASE'!GD38=0,"",'[1]BASE'!GD38)</f>
      </c>
      <c r="T38" s="1018"/>
      <c r="U38" s="1014"/>
    </row>
    <row r="39" spans="2:21" s="1008" customFormat="1" ht="19.5" customHeight="1">
      <c r="B39" s="1009"/>
      <c r="C39" s="1021">
        <f>IF('[1]BASE'!C39=0,"",'[1]BASE'!C39)</f>
        <v>23</v>
      </c>
      <c r="D39" s="1021" t="str">
        <f>IF('[1]BASE'!D39=0,"",'[1]BASE'!D39)</f>
        <v>EZEIZA - ABASTO 1</v>
      </c>
      <c r="E39" s="1021">
        <f>IF('[1]BASE'!E39=0,"",'[1]BASE'!E39)</f>
        <v>500</v>
      </c>
      <c r="F39" s="1021">
        <f>IF('[1]BASE'!F39=0,"",'[1]BASE'!F39)</f>
        <v>58</v>
      </c>
      <c r="G39" s="1022" t="str">
        <f>IF('[1]BASE'!G39=0,"",'[1]BASE'!G39)</f>
        <v>C</v>
      </c>
      <c r="H39" s="1017">
        <f>IF('[1]BASE'!FS39=0,"",'[1]BASE'!FS39)</f>
      </c>
      <c r="I39" s="1017">
        <f>IF('[1]BASE'!FT39=0,"",'[1]BASE'!FT39)</f>
      </c>
      <c r="J39" s="1017">
        <f>IF('[1]BASE'!FU39=0,"",'[1]BASE'!FU39)</f>
      </c>
      <c r="K39" s="1017">
        <f>IF('[1]BASE'!FV39=0,"",'[1]BASE'!FV39)</f>
      </c>
      <c r="L39" s="1017">
        <f>IF('[1]BASE'!FW39=0,"",'[1]BASE'!FW39)</f>
      </c>
      <c r="M39" s="1017">
        <f>IF('[1]BASE'!FX39=0,"",'[1]BASE'!FX39)</f>
      </c>
      <c r="N39" s="1017">
        <f>IF('[1]BASE'!FY39=0,"",'[1]BASE'!FY39)</f>
      </c>
      <c r="O39" s="1017">
        <f>IF('[1]BASE'!FZ39=0,"",'[1]BASE'!FZ39)</f>
      </c>
      <c r="P39" s="1017">
        <f>IF('[1]BASE'!GA39=0,"",'[1]BASE'!GA39)</f>
      </c>
      <c r="Q39" s="1017">
        <f>IF('[1]BASE'!GB39=0,"",'[1]BASE'!GB39)</f>
      </c>
      <c r="R39" s="1017">
        <f>IF('[1]BASE'!GC39=0,"",'[1]BASE'!GC39)</f>
      </c>
      <c r="S39" s="1017">
        <f>IF('[1]BASE'!GD39=0,"",'[1]BASE'!GD39)</f>
      </c>
      <c r="T39" s="1018"/>
      <c r="U39" s="1014"/>
    </row>
    <row r="40" spans="2:21" s="1008" customFormat="1" ht="19.5" customHeight="1">
      <c r="B40" s="1009"/>
      <c r="C40" s="1019">
        <f>IF('[1]BASE'!C40=0,"",'[1]BASE'!C40)</f>
        <v>24</v>
      </c>
      <c r="D40" s="1019" t="str">
        <f>IF('[1]BASE'!D40=0,"",'[1]BASE'!D40)</f>
        <v>EZEIZA - ABASTO 2</v>
      </c>
      <c r="E40" s="1019">
        <f>IF('[1]BASE'!E40=0,"",'[1]BASE'!E40)</f>
        <v>500</v>
      </c>
      <c r="F40" s="1019">
        <f>IF('[1]BASE'!F40=0,"",'[1]BASE'!F40)</f>
        <v>58</v>
      </c>
      <c r="G40" s="1020" t="str">
        <f>IF('[1]BASE'!G40=0,"",'[1]BASE'!G40)</f>
        <v>C</v>
      </c>
      <c r="H40" s="1017">
        <f>IF('[1]BASE'!FS40=0,"",'[1]BASE'!FS40)</f>
      </c>
      <c r="I40" s="1017">
        <f>IF('[1]BASE'!FT40=0,"",'[1]BASE'!FT40)</f>
      </c>
      <c r="J40" s="1017">
        <f>IF('[1]BASE'!FU40=0,"",'[1]BASE'!FU40)</f>
      </c>
      <c r="K40" s="1017">
        <f>IF('[1]BASE'!FV40=0,"",'[1]BASE'!FV40)</f>
      </c>
      <c r="L40" s="1017">
        <f>IF('[1]BASE'!FW40=0,"",'[1]BASE'!FW40)</f>
      </c>
      <c r="M40" s="1017">
        <f>IF('[1]BASE'!FX40=0,"",'[1]BASE'!FX40)</f>
      </c>
      <c r="N40" s="1017">
        <f>IF('[1]BASE'!FY40=0,"",'[1]BASE'!FY40)</f>
      </c>
      <c r="O40" s="1017">
        <f>IF('[1]BASE'!FZ40=0,"",'[1]BASE'!FZ40)</f>
      </c>
      <c r="P40" s="1017">
        <f>IF('[1]BASE'!GA40=0,"",'[1]BASE'!GA40)</f>
      </c>
      <c r="Q40" s="1017">
        <f>IF('[1]BASE'!GB40=0,"",'[1]BASE'!GB40)</f>
      </c>
      <c r="R40" s="1017">
        <f>IF('[1]BASE'!GC40=0,"",'[1]BASE'!GC40)</f>
      </c>
      <c r="S40" s="1017">
        <f>IF('[1]BASE'!GD40=0,"",'[1]BASE'!GD40)</f>
      </c>
      <c r="T40" s="1018"/>
      <c r="U40" s="1014"/>
    </row>
    <row r="41" spans="2:21" s="1008" customFormat="1" ht="19.5" customHeight="1">
      <c r="B41" s="1009"/>
      <c r="C41" s="1021">
        <f>IF('[1]BASE'!C41=0,"",'[1]BASE'!C41)</f>
        <v>25</v>
      </c>
      <c r="D41" s="1021" t="str">
        <f>IF('[1]BASE'!D41=0,"",'[1]BASE'!D41)</f>
        <v>EZEIZA - RODRIGUEZ 1</v>
      </c>
      <c r="E41" s="1021">
        <f>IF('[1]BASE'!E41=0,"",'[1]BASE'!E41)</f>
        <v>500</v>
      </c>
      <c r="F41" s="1021">
        <f>IF('[1]BASE'!F41=0,"",'[1]BASE'!F41)</f>
        <v>53</v>
      </c>
      <c r="G41" s="1022" t="str">
        <f>IF('[1]BASE'!G41=0,"",'[1]BASE'!G41)</f>
        <v>C</v>
      </c>
      <c r="H41" s="1017">
        <f>IF('[1]BASE'!FS41=0,"",'[1]BASE'!FS41)</f>
      </c>
      <c r="I41" s="1017">
        <f>IF('[1]BASE'!FT41=0,"",'[1]BASE'!FT41)</f>
      </c>
      <c r="J41" s="1017">
        <f>IF('[1]BASE'!FU41=0,"",'[1]BASE'!FU41)</f>
      </c>
      <c r="K41" s="1017">
        <f>IF('[1]BASE'!FV41=0,"",'[1]BASE'!FV41)</f>
      </c>
      <c r="L41" s="1017">
        <f>IF('[1]BASE'!FW41=0,"",'[1]BASE'!FW41)</f>
      </c>
      <c r="M41" s="1017">
        <f>IF('[1]BASE'!FX41=0,"",'[1]BASE'!FX41)</f>
      </c>
      <c r="N41" s="1017">
        <f>IF('[1]BASE'!FY41=0,"",'[1]BASE'!FY41)</f>
      </c>
      <c r="O41" s="1017">
        <f>IF('[1]BASE'!FZ41=0,"",'[1]BASE'!FZ41)</f>
      </c>
      <c r="P41" s="1017">
        <f>IF('[1]BASE'!GA41=0,"",'[1]BASE'!GA41)</f>
      </c>
      <c r="Q41" s="1017">
        <f>IF('[1]BASE'!GB41=0,"",'[1]BASE'!GB41)</f>
      </c>
      <c r="R41" s="1017">
        <f>IF('[1]BASE'!GC41=0,"",'[1]BASE'!GC41)</f>
      </c>
      <c r="S41" s="1017">
        <f>IF('[1]BASE'!GD41=0,"",'[1]BASE'!GD41)</f>
      </c>
      <c r="T41" s="1018"/>
      <c r="U41" s="1014"/>
    </row>
    <row r="42" spans="2:21" s="1008" customFormat="1" ht="19.5" customHeight="1">
      <c r="B42" s="1009"/>
      <c r="C42" s="1019">
        <f>IF('[1]BASE'!C42=0,"",'[1]BASE'!C42)</f>
        <v>26</v>
      </c>
      <c r="D42" s="1019" t="str">
        <f>IF('[1]BASE'!D42=0,"",'[1]BASE'!D42)</f>
        <v>EZEIZA - RODRIGUEZ 2</v>
      </c>
      <c r="E42" s="1019">
        <f>IF('[1]BASE'!E42=0,"",'[1]BASE'!E42)</f>
        <v>500</v>
      </c>
      <c r="F42" s="1019">
        <f>IF('[1]BASE'!F42=0,"",'[1]BASE'!F42)</f>
        <v>53</v>
      </c>
      <c r="G42" s="1020" t="str">
        <f>IF('[1]BASE'!G42=0,"",'[1]BASE'!G42)</f>
        <v>C</v>
      </c>
      <c r="H42" s="1017">
        <f>IF('[1]BASE'!FS42=0,"",'[1]BASE'!FS42)</f>
      </c>
      <c r="I42" s="1017">
        <f>IF('[1]BASE'!FT42=0,"",'[1]BASE'!FT42)</f>
      </c>
      <c r="J42" s="1017">
        <f>IF('[1]BASE'!FU42=0,"",'[1]BASE'!FU42)</f>
      </c>
      <c r="K42" s="1017">
        <f>IF('[1]BASE'!FV42=0,"",'[1]BASE'!FV42)</f>
      </c>
      <c r="L42" s="1017">
        <f>IF('[1]BASE'!FW42=0,"",'[1]BASE'!FW42)</f>
      </c>
      <c r="M42" s="1017">
        <f>IF('[1]BASE'!FX42=0,"",'[1]BASE'!FX42)</f>
      </c>
      <c r="N42" s="1017">
        <f>IF('[1]BASE'!FY42=0,"",'[1]BASE'!FY42)</f>
      </c>
      <c r="O42" s="1017">
        <f>IF('[1]BASE'!FZ42=0,"",'[1]BASE'!FZ42)</f>
      </c>
      <c r="P42" s="1017">
        <f>IF('[1]BASE'!GA42=0,"",'[1]BASE'!GA42)</f>
      </c>
      <c r="Q42" s="1017">
        <f>IF('[1]BASE'!GB42=0,"",'[1]BASE'!GB42)</f>
      </c>
      <c r="R42" s="1017">
        <f>IF('[1]BASE'!GC42=0,"",'[1]BASE'!GC42)</f>
      </c>
      <c r="S42" s="1017">
        <f>IF('[1]BASE'!GD42=0,"",'[1]BASE'!GD42)</f>
      </c>
      <c r="T42" s="1018"/>
      <c r="U42" s="1014"/>
    </row>
    <row r="43" spans="2:21" s="1008" customFormat="1" ht="19.5" customHeight="1">
      <c r="B43" s="1009"/>
      <c r="C43" s="1021">
        <f>IF('[1]BASE'!C43=0,"",'[1]BASE'!C43)</f>
        <v>27</v>
      </c>
      <c r="D43" s="1021" t="str">
        <f>IF('[1]BASE'!D43=0,"",'[1]BASE'!D43)</f>
        <v>EZEIZA- HENDERSON 1</v>
      </c>
      <c r="E43" s="1021">
        <f>IF('[1]BASE'!E43=0,"",'[1]BASE'!E43)</f>
        <v>500</v>
      </c>
      <c r="F43" s="1021">
        <f>IF('[1]BASE'!F43=0,"",'[1]BASE'!F43)</f>
        <v>313</v>
      </c>
      <c r="G43" s="1022" t="str">
        <f>IF('[1]BASE'!G43=0,"",'[1]BASE'!G43)</f>
        <v>A</v>
      </c>
      <c r="H43" s="1017">
        <f>IF('[1]BASE'!FS43=0,"",'[1]BASE'!FS43)</f>
      </c>
      <c r="I43" s="1017">
        <f>IF('[1]BASE'!FT43=0,"",'[1]BASE'!FT43)</f>
      </c>
      <c r="J43" s="1017">
        <f>IF('[1]BASE'!FU43=0,"",'[1]BASE'!FU43)</f>
      </c>
      <c r="K43" s="1017">
        <f>IF('[1]BASE'!FV43=0,"",'[1]BASE'!FV43)</f>
      </c>
      <c r="L43" s="1017">
        <f>IF('[1]BASE'!FW43=0,"",'[1]BASE'!FW43)</f>
      </c>
      <c r="M43" s="1017">
        <f>IF('[1]BASE'!FX43=0,"",'[1]BASE'!FX43)</f>
      </c>
      <c r="N43" s="1017">
        <f>IF('[1]BASE'!FY43=0,"",'[1]BASE'!FY43)</f>
      </c>
      <c r="O43" s="1017">
        <f>IF('[1]BASE'!FZ43=0,"",'[1]BASE'!FZ43)</f>
      </c>
      <c r="P43" s="1017">
        <f>IF('[1]BASE'!GA43=0,"",'[1]BASE'!GA43)</f>
      </c>
      <c r="Q43" s="1017">
        <f>IF('[1]BASE'!GB43=0,"",'[1]BASE'!GB43)</f>
        <v>1</v>
      </c>
      <c r="R43" s="1017">
        <f>IF('[1]BASE'!GC43=0,"",'[1]BASE'!GC43)</f>
        <v>1</v>
      </c>
      <c r="S43" s="1017">
        <f>IF('[1]BASE'!GD43=0,"",'[1]BASE'!GD43)</f>
      </c>
      <c r="T43" s="1018"/>
      <c r="U43" s="1014"/>
    </row>
    <row r="44" spans="2:21" s="1008" customFormat="1" ht="19.5" customHeight="1">
      <c r="B44" s="1009"/>
      <c r="C44" s="1019">
        <f>IF('[1]BASE'!C44=0,"",'[1]BASE'!C44)</f>
        <v>28</v>
      </c>
      <c r="D44" s="1019" t="str">
        <f>IF('[1]BASE'!D44=0,"",'[1]BASE'!D44)</f>
        <v>EZEIZA - HENDERSON 2</v>
      </c>
      <c r="E44" s="1019">
        <f>IF('[1]BASE'!E44=0,"",'[1]BASE'!E44)</f>
        <v>500</v>
      </c>
      <c r="F44" s="1019">
        <f>IF('[1]BASE'!F44=0,"",'[1]BASE'!F44)</f>
        <v>313</v>
      </c>
      <c r="G44" s="1020" t="str">
        <f>IF('[1]BASE'!G44=0,"",'[1]BASE'!G44)</f>
        <v>A</v>
      </c>
      <c r="H44" s="1017">
        <f>IF('[1]BASE'!FS44=0,"",'[1]BASE'!FS44)</f>
      </c>
      <c r="I44" s="1017">
        <f>IF('[1]BASE'!FT44=0,"",'[1]BASE'!FT44)</f>
      </c>
      <c r="J44" s="1017">
        <f>IF('[1]BASE'!FU44=0,"",'[1]BASE'!FU44)</f>
      </c>
      <c r="K44" s="1017">
        <f>IF('[1]BASE'!FV44=0,"",'[1]BASE'!FV44)</f>
      </c>
      <c r="L44" s="1017">
        <f>IF('[1]BASE'!FW44=0,"",'[1]BASE'!FW44)</f>
      </c>
      <c r="M44" s="1017">
        <f>IF('[1]BASE'!FX44=0,"",'[1]BASE'!FX44)</f>
      </c>
      <c r="N44" s="1017">
        <f>IF('[1]BASE'!FY44=0,"",'[1]BASE'!FY44)</f>
      </c>
      <c r="O44" s="1017">
        <f>IF('[1]BASE'!FZ44=0,"",'[1]BASE'!FZ44)</f>
      </c>
      <c r="P44" s="1017">
        <f>IF('[1]BASE'!GA44=0,"",'[1]BASE'!GA44)</f>
      </c>
      <c r="Q44" s="1017">
        <f>IF('[1]BASE'!GB44=0,"",'[1]BASE'!GB44)</f>
        <v>2</v>
      </c>
      <c r="R44" s="1017">
        <f>IF('[1]BASE'!GC44=0,"",'[1]BASE'!GC44)</f>
      </c>
      <c r="S44" s="1017">
        <f>IF('[1]BASE'!GD44=0,"",'[1]BASE'!GD44)</f>
      </c>
      <c r="T44" s="1018"/>
      <c r="U44" s="1014"/>
    </row>
    <row r="45" spans="2:21" s="1008" customFormat="1" ht="19.5" customHeight="1">
      <c r="B45" s="1009"/>
      <c r="C45" s="1021">
        <f>IF('[1]BASE'!C45=0,"",'[1]BASE'!C45)</f>
        <v>29</v>
      </c>
      <c r="D45" s="1021" t="str">
        <f>IF('[1]BASE'!D45=0,"",'[1]BASE'!D45)</f>
        <v>GRAL. RODRIGUEZ - CAMPANA </v>
      </c>
      <c r="E45" s="1021">
        <f>IF('[1]BASE'!E45=0,"",'[1]BASE'!E45)</f>
        <v>500</v>
      </c>
      <c r="F45" s="1021">
        <f>IF('[1]BASE'!F45=0,"",'[1]BASE'!F45)</f>
        <v>42</v>
      </c>
      <c r="G45" s="1022" t="str">
        <f>IF('[1]BASE'!G45=0,"",'[1]BASE'!G45)</f>
        <v>B</v>
      </c>
      <c r="H45" s="1017">
        <f>IF('[1]BASE'!FS45=0,"",'[1]BASE'!FS45)</f>
      </c>
      <c r="I45" s="1017">
        <f>IF('[1]BASE'!FT45=0,"",'[1]BASE'!FT45)</f>
      </c>
      <c r="J45" s="1017">
        <f>IF('[1]BASE'!FU45=0,"",'[1]BASE'!FU45)</f>
      </c>
      <c r="K45" s="1017">
        <f>IF('[1]BASE'!FV45=0,"",'[1]BASE'!FV45)</f>
      </c>
      <c r="L45" s="1017">
        <f>IF('[1]BASE'!FW45=0,"",'[1]BASE'!FW45)</f>
      </c>
      <c r="M45" s="1017">
        <f>IF('[1]BASE'!FX45=0,"",'[1]BASE'!FX45)</f>
      </c>
      <c r="N45" s="1017">
        <f>IF('[1]BASE'!FY45=0,"",'[1]BASE'!FY45)</f>
      </c>
      <c r="O45" s="1017">
        <f>IF('[1]BASE'!FZ45=0,"",'[1]BASE'!FZ45)</f>
      </c>
      <c r="P45" s="1017">
        <f>IF('[1]BASE'!GA45=0,"",'[1]BASE'!GA45)</f>
      </c>
      <c r="Q45" s="1017">
        <f>IF('[1]BASE'!GB45=0,"",'[1]BASE'!GB45)</f>
        <v>1</v>
      </c>
      <c r="R45" s="1017">
        <f>IF('[1]BASE'!GC45=0,"",'[1]BASE'!GC45)</f>
      </c>
      <c r="S45" s="1017">
        <f>IF('[1]BASE'!GD45=0,"",'[1]BASE'!GD45)</f>
      </c>
      <c r="T45" s="1018"/>
      <c r="U45" s="1014"/>
    </row>
    <row r="46" spans="2:21" s="1008" customFormat="1" ht="19.5" customHeight="1">
      <c r="B46" s="1009"/>
      <c r="C46" s="1019">
        <f>IF('[1]BASE'!C46=0,"",'[1]BASE'!C46)</f>
        <v>30</v>
      </c>
      <c r="D46" s="1019" t="str">
        <f>IF('[1]BASE'!D46=0,"",'[1]BASE'!D46)</f>
        <v>GRAL. RODRIGUEZ- ROSARIO OESTE </v>
      </c>
      <c r="E46" s="1019">
        <f>IF('[1]BASE'!E46=0,"",'[1]BASE'!E46)</f>
        <v>500</v>
      </c>
      <c r="F46" s="1019">
        <f>IF('[1]BASE'!F46=0,"",'[1]BASE'!F46)</f>
        <v>258</v>
      </c>
      <c r="G46" s="1020" t="str">
        <f>IF('[1]BASE'!G46=0,"",'[1]BASE'!G46)</f>
        <v>C</v>
      </c>
      <c r="H46" s="1017" t="str">
        <f>IF('[1]BASE'!FS46=0,"",'[1]BASE'!FS46)</f>
        <v>XXXX</v>
      </c>
      <c r="I46" s="1017" t="str">
        <f>IF('[1]BASE'!FT46=0,"",'[1]BASE'!FT46)</f>
        <v>XXXX</v>
      </c>
      <c r="J46" s="1017" t="str">
        <f>IF('[1]BASE'!FU46=0,"",'[1]BASE'!FU46)</f>
        <v>XXXX</v>
      </c>
      <c r="K46" s="1017" t="str">
        <f>IF('[1]BASE'!FV46=0,"",'[1]BASE'!FV46)</f>
        <v>XXXX</v>
      </c>
      <c r="L46" s="1017" t="str">
        <f>IF('[1]BASE'!FW46=0,"",'[1]BASE'!FW46)</f>
        <v>XXXX</v>
      </c>
      <c r="M46" s="1017" t="str">
        <f>IF('[1]BASE'!FX46=0,"",'[1]BASE'!FX46)</f>
        <v>XXXX</v>
      </c>
      <c r="N46" s="1017" t="str">
        <f>IF('[1]BASE'!FY46=0,"",'[1]BASE'!FY46)</f>
        <v>XXXX</v>
      </c>
      <c r="O46" s="1017" t="str">
        <f>IF('[1]BASE'!FZ46=0,"",'[1]BASE'!FZ46)</f>
        <v>XXXX</v>
      </c>
      <c r="P46" s="1017" t="str">
        <f>IF('[1]BASE'!GA46=0,"",'[1]BASE'!GA46)</f>
        <v>XXXX</v>
      </c>
      <c r="Q46" s="1017" t="str">
        <f>IF('[1]BASE'!GB46=0,"",'[1]BASE'!GB46)</f>
        <v>XXXX</v>
      </c>
      <c r="R46" s="1017" t="str">
        <f>IF('[1]BASE'!GC46=0,"",'[1]BASE'!GC46)</f>
        <v>XXXX</v>
      </c>
      <c r="S46" s="1017" t="str">
        <f>IF('[1]BASE'!GD46=0,"",'[1]BASE'!GD46)</f>
        <v>XXXX</v>
      </c>
      <c r="T46" s="1018"/>
      <c r="U46" s="1014"/>
    </row>
    <row r="47" spans="2:21" s="1008" customFormat="1" ht="19.5" customHeight="1">
      <c r="B47" s="1009"/>
      <c r="C47" s="1021">
        <f>IF('[1]BASE'!C47=0,"",'[1]BASE'!C47)</f>
        <v>31</v>
      </c>
      <c r="D47" s="1021" t="str">
        <f>IF('[1]BASE'!D47=0,"",'[1]BASE'!D47)</f>
        <v>MALVINAS ARG. - ALMAFUERTE </v>
      </c>
      <c r="E47" s="1021">
        <f>IF('[1]BASE'!E47=0,"",'[1]BASE'!E47)</f>
        <v>500</v>
      </c>
      <c r="F47" s="1021">
        <f>IF('[1]BASE'!F47=0,"",'[1]BASE'!F47)</f>
        <v>105</v>
      </c>
      <c r="G47" s="1022" t="str">
        <f>IF('[1]BASE'!G47=0,"",'[1]BASE'!G47)</f>
        <v>B</v>
      </c>
      <c r="H47" s="1017">
        <f>IF('[1]BASE'!FS47=0,"",'[1]BASE'!FS47)</f>
      </c>
      <c r="I47" s="1017">
        <f>IF('[1]BASE'!FT47=0,"",'[1]BASE'!FT47)</f>
      </c>
      <c r="J47" s="1017">
        <f>IF('[1]BASE'!FU47=0,"",'[1]BASE'!FU47)</f>
      </c>
      <c r="K47" s="1017">
        <f>IF('[1]BASE'!FV47=0,"",'[1]BASE'!FV47)</f>
      </c>
      <c r="L47" s="1017">
        <f>IF('[1]BASE'!FW47=0,"",'[1]BASE'!FW47)</f>
      </c>
      <c r="M47" s="1017">
        <f>IF('[1]BASE'!FX47=0,"",'[1]BASE'!FX47)</f>
      </c>
      <c r="N47" s="1017">
        <f>IF('[1]BASE'!FY47=0,"",'[1]BASE'!FY47)</f>
      </c>
      <c r="O47" s="1017">
        <f>IF('[1]BASE'!FZ47=0,"",'[1]BASE'!FZ47)</f>
      </c>
      <c r="P47" s="1017">
        <f>IF('[1]BASE'!GA47=0,"",'[1]BASE'!GA47)</f>
      </c>
      <c r="Q47" s="1017">
        <f>IF('[1]BASE'!GB47=0,"",'[1]BASE'!GB47)</f>
      </c>
      <c r="R47" s="1017">
        <f>IF('[1]BASE'!GC47=0,"",'[1]BASE'!GC47)</f>
      </c>
      <c r="S47" s="1017">
        <f>IF('[1]BASE'!GD47=0,"",'[1]BASE'!GD47)</f>
      </c>
      <c r="T47" s="1018"/>
      <c r="U47" s="1014"/>
    </row>
    <row r="48" spans="2:21" s="1008" customFormat="1" ht="19.5" customHeight="1">
      <c r="B48" s="1009"/>
      <c r="C48" s="1019">
        <f>IF('[1]BASE'!C48=0,"",'[1]BASE'!C48)</f>
        <v>32</v>
      </c>
      <c r="D48" s="1019" t="str">
        <f>IF('[1]BASE'!D48=0,"",'[1]BASE'!D48)</f>
        <v>OLAVARRIA - BAHIA BLANCA 1</v>
      </c>
      <c r="E48" s="1019">
        <f>IF('[1]BASE'!E48=0,"",'[1]BASE'!E48)</f>
        <v>500</v>
      </c>
      <c r="F48" s="1019">
        <f>IF('[1]BASE'!F48=0,"",'[1]BASE'!F48)</f>
        <v>255</v>
      </c>
      <c r="G48" s="1020" t="str">
        <f>IF('[1]BASE'!G48=0,"",'[1]BASE'!G48)</f>
        <v>B</v>
      </c>
      <c r="H48" s="1017">
        <f>IF('[1]BASE'!FS48=0,"",'[1]BASE'!FS48)</f>
      </c>
      <c r="I48" s="1017">
        <f>IF('[1]BASE'!FT48=0,"",'[1]BASE'!FT48)</f>
      </c>
      <c r="J48" s="1017">
        <f>IF('[1]BASE'!FU48=0,"",'[1]BASE'!FU48)</f>
      </c>
      <c r="K48" s="1017">
        <f>IF('[1]BASE'!FV48=0,"",'[1]BASE'!FV48)</f>
      </c>
      <c r="L48" s="1017">
        <f>IF('[1]BASE'!FW48=0,"",'[1]BASE'!FW48)</f>
      </c>
      <c r="M48" s="1017">
        <f>IF('[1]BASE'!FX48=0,"",'[1]BASE'!FX48)</f>
      </c>
      <c r="N48" s="1017">
        <f>IF('[1]BASE'!FY48=0,"",'[1]BASE'!FY48)</f>
        <v>1</v>
      </c>
      <c r="O48" s="1017">
        <f>IF('[1]BASE'!FZ48=0,"",'[1]BASE'!FZ48)</f>
      </c>
      <c r="P48" s="1017">
        <f>IF('[1]BASE'!GA48=0,"",'[1]BASE'!GA48)</f>
      </c>
      <c r="Q48" s="1017">
        <f>IF('[1]BASE'!GB48=0,"",'[1]BASE'!GB48)</f>
      </c>
      <c r="R48" s="1017">
        <f>IF('[1]BASE'!GC48=0,"",'[1]BASE'!GC48)</f>
      </c>
      <c r="S48" s="1017">
        <f>IF('[1]BASE'!GD48=0,"",'[1]BASE'!GD48)</f>
      </c>
      <c r="T48" s="1018"/>
      <c r="U48" s="1014"/>
    </row>
    <row r="49" spans="2:21" s="1008" customFormat="1" ht="19.5" customHeight="1">
      <c r="B49" s="1009"/>
      <c r="C49" s="1021">
        <f>IF('[1]BASE'!C49=0,"",'[1]BASE'!C49)</f>
        <v>33</v>
      </c>
      <c r="D49" s="1021" t="str">
        <f>IF('[1]BASE'!D49=0,"",'[1]BASE'!D49)</f>
        <v>OLAVARRIA - BAHIA BLANCA 2</v>
      </c>
      <c r="E49" s="1021">
        <f>IF('[1]BASE'!E49=0,"",'[1]BASE'!E49)</f>
        <v>500</v>
      </c>
      <c r="F49" s="1021">
        <f>IF('[1]BASE'!F49=0,"",'[1]BASE'!F49)</f>
        <v>254.8</v>
      </c>
      <c r="G49" s="1022">
        <f>IF('[1]BASE'!G49=0,"",'[1]BASE'!G49)</f>
      </c>
      <c r="H49" s="1017">
        <f>IF('[1]BASE'!FS49=0,"",'[1]BASE'!FS49)</f>
      </c>
      <c r="I49" s="1017">
        <f>IF('[1]BASE'!FT49=0,"",'[1]BASE'!FT49)</f>
      </c>
      <c r="J49" s="1017">
        <f>IF('[1]BASE'!FU49=0,"",'[1]BASE'!FU49)</f>
      </c>
      <c r="K49" s="1017">
        <f>IF('[1]BASE'!FV49=0,"",'[1]BASE'!FV49)</f>
      </c>
      <c r="L49" s="1017">
        <f>IF('[1]BASE'!FW49=0,"",'[1]BASE'!FW49)</f>
      </c>
      <c r="M49" s="1017">
        <f>IF('[1]BASE'!FX49=0,"",'[1]BASE'!FX49)</f>
      </c>
      <c r="N49" s="1017">
        <f>IF('[1]BASE'!FY49=0,"",'[1]BASE'!FY49)</f>
      </c>
      <c r="O49" s="1017">
        <f>IF('[1]BASE'!FZ49=0,"",'[1]BASE'!FZ49)</f>
      </c>
      <c r="P49" s="1017">
        <f>IF('[1]BASE'!GA49=0,"",'[1]BASE'!GA49)</f>
      </c>
      <c r="Q49" s="1017">
        <f>IF('[1]BASE'!GB49=0,"",'[1]BASE'!GB49)</f>
      </c>
      <c r="R49" s="1017">
        <f>IF('[1]BASE'!GC49=0,"",'[1]BASE'!GC49)</f>
      </c>
      <c r="S49" s="1017">
        <f>IF('[1]BASE'!GD49=0,"",'[1]BASE'!GD49)</f>
      </c>
      <c r="T49" s="1018"/>
      <c r="U49" s="1014"/>
    </row>
    <row r="50" spans="2:21" s="1008" customFormat="1" ht="19.5" customHeight="1">
      <c r="B50" s="1009"/>
      <c r="C50" s="1019">
        <f>IF('[1]BASE'!C50=0,"",'[1]BASE'!C50)</f>
        <v>34</v>
      </c>
      <c r="D50" s="1019" t="str">
        <f>IF('[1]BASE'!D50=0,"",'[1]BASE'!D50)</f>
        <v>P.del AGUILA  - CHOELE CHOEL</v>
      </c>
      <c r="E50" s="1019">
        <f>IF('[1]BASE'!E50=0,"",'[1]BASE'!E50)</f>
        <v>500</v>
      </c>
      <c r="F50" s="1019">
        <f>IF('[1]BASE'!F50=0,"",'[1]BASE'!F50)</f>
        <v>386.7</v>
      </c>
      <c r="G50" s="1020">
        <f>IF('[1]BASE'!G50=0,"",'[1]BASE'!G50)</f>
      </c>
      <c r="H50" s="1017">
        <f>IF('[1]BASE'!FS50=0,"",'[1]BASE'!FS50)</f>
      </c>
      <c r="I50" s="1017">
        <f>IF('[1]BASE'!FT50=0,"",'[1]BASE'!FT50)</f>
      </c>
      <c r="J50" s="1017">
        <f>IF('[1]BASE'!FU50=0,"",'[1]BASE'!FU50)</f>
      </c>
      <c r="K50" s="1017">
        <f>IF('[1]BASE'!FV50=0,"",'[1]BASE'!FV50)</f>
      </c>
      <c r="L50" s="1017">
        <f>IF('[1]BASE'!FW50=0,"",'[1]BASE'!FW50)</f>
      </c>
      <c r="M50" s="1017">
        <f>IF('[1]BASE'!FX50=0,"",'[1]BASE'!FX50)</f>
      </c>
      <c r="N50" s="1017">
        <f>IF('[1]BASE'!FY50=0,"",'[1]BASE'!FY50)</f>
      </c>
      <c r="O50" s="1017">
        <f>IF('[1]BASE'!FZ50=0,"",'[1]BASE'!FZ50)</f>
      </c>
      <c r="P50" s="1017">
        <f>IF('[1]BASE'!GA50=0,"",'[1]BASE'!GA50)</f>
      </c>
      <c r="Q50" s="1017">
        <f>IF('[1]BASE'!GB50=0,"",'[1]BASE'!GB50)</f>
      </c>
      <c r="R50" s="1017">
        <f>IF('[1]BASE'!GC50=0,"",'[1]BASE'!GC50)</f>
      </c>
      <c r="S50" s="1017">
        <f>IF('[1]BASE'!GD50=0,"",'[1]BASE'!GD50)</f>
      </c>
      <c r="T50" s="1018"/>
      <c r="U50" s="1014"/>
    </row>
    <row r="51" spans="2:21" s="1008" customFormat="1" ht="19.5" customHeight="1">
      <c r="B51" s="1009"/>
      <c r="C51" s="1021">
        <f>IF('[1]BASE'!C51=0,"",'[1]BASE'!C51)</f>
        <v>35</v>
      </c>
      <c r="D51" s="1021" t="str">
        <f>IF('[1]BASE'!D51=0,"",'[1]BASE'!D51)</f>
        <v>P.del AGUILA  - CHO. W. 1 (5GW1)</v>
      </c>
      <c r="E51" s="1021">
        <f>IF('[1]BASE'!E51=0,"",'[1]BASE'!E51)</f>
        <v>500</v>
      </c>
      <c r="F51" s="1021">
        <f>IF('[1]BASE'!F51=0,"",'[1]BASE'!F51)</f>
        <v>165</v>
      </c>
      <c r="G51" s="1022" t="str">
        <f>IF('[1]BASE'!G51=0,"",'[1]BASE'!G51)</f>
        <v>A</v>
      </c>
      <c r="H51" s="1017">
        <f>IF('[1]BASE'!FS51=0,"",'[1]BASE'!FS51)</f>
        <v>1</v>
      </c>
      <c r="I51" s="1017">
        <f>IF('[1]BASE'!FT51=0,"",'[1]BASE'!FT51)</f>
      </c>
      <c r="J51" s="1017">
        <f>IF('[1]BASE'!FU51=0,"",'[1]BASE'!FU51)</f>
      </c>
      <c r="K51" s="1017">
        <f>IF('[1]BASE'!FV51=0,"",'[1]BASE'!FV51)</f>
      </c>
      <c r="L51" s="1017">
        <f>IF('[1]BASE'!FW51=0,"",'[1]BASE'!FW51)</f>
      </c>
      <c r="M51" s="1017">
        <f>IF('[1]BASE'!FX51=0,"",'[1]BASE'!FX51)</f>
      </c>
      <c r="N51" s="1017">
        <f>IF('[1]BASE'!FY51=0,"",'[1]BASE'!FY51)</f>
      </c>
      <c r="O51" s="1017">
        <f>IF('[1]BASE'!FZ51=0,"",'[1]BASE'!FZ51)</f>
      </c>
      <c r="P51" s="1017">
        <f>IF('[1]BASE'!GA51=0,"",'[1]BASE'!GA51)</f>
      </c>
      <c r="Q51" s="1017">
        <f>IF('[1]BASE'!GB51=0,"",'[1]BASE'!GB51)</f>
      </c>
      <c r="R51" s="1017">
        <f>IF('[1]BASE'!GC51=0,"",'[1]BASE'!GC51)</f>
      </c>
      <c r="S51" s="1017">
        <f>IF('[1]BASE'!GD51=0,"",'[1]BASE'!GD51)</f>
      </c>
      <c r="T51" s="1018"/>
      <c r="U51" s="1014"/>
    </row>
    <row r="52" spans="2:21" s="1008" customFormat="1" ht="19.5" customHeight="1">
      <c r="B52" s="1009"/>
      <c r="C52" s="1019">
        <f>IF('[1]BASE'!C52=0,"",'[1]BASE'!C52)</f>
        <v>36</v>
      </c>
      <c r="D52" s="1019" t="str">
        <f>IF('[1]BASE'!D52=0,"",'[1]BASE'!D52)</f>
        <v>P.del AGUILA  - CHO. W. 2 (5GW2)</v>
      </c>
      <c r="E52" s="1019">
        <f>IF('[1]BASE'!E52=0,"",'[1]BASE'!E52)</f>
        <v>500</v>
      </c>
      <c r="F52" s="1019">
        <f>IF('[1]BASE'!F52=0,"",'[1]BASE'!F52)</f>
        <v>170</v>
      </c>
      <c r="G52" s="1020" t="str">
        <f>IF('[1]BASE'!G52=0,"",'[1]BASE'!G52)</f>
        <v>A</v>
      </c>
      <c r="H52" s="1017">
        <f>IF('[1]BASE'!FS52=0,"",'[1]BASE'!FS52)</f>
      </c>
      <c r="I52" s="1017">
        <f>IF('[1]BASE'!FT52=0,"",'[1]BASE'!FT52)</f>
      </c>
      <c r="J52" s="1017">
        <f>IF('[1]BASE'!FU52=0,"",'[1]BASE'!FU52)</f>
      </c>
      <c r="K52" s="1017">
        <f>IF('[1]BASE'!FV52=0,"",'[1]BASE'!FV52)</f>
      </c>
      <c r="L52" s="1017">
        <f>IF('[1]BASE'!FW52=0,"",'[1]BASE'!FW52)</f>
      </c>
      <c r="M52" s="1017">
        <f>IF('[1]BASE'!FX52=0,"",'[1]BASE'!FX52)</f>
      </c>
      <c r="N52" s="1017">
        <f>IF('[1]BASE'!FY52=0,"",'[1]BASE'!FY52)</f>
      </c>
      <c r="O52" s="1017">
        <f>IF('[1]BASE'!FZ52=0,"",'[1]BASE'!FZ52)</f>
      </c>
      <c r="P52" s="1017">
        <f>IF('[1]BASE'!GA52=0,"",'[1]BASE'!GA52)</f>
      </c>
      <c r="Q52" s="1017">
        <f>IF('[1]BASE'!GB52=0,"",'[1]BASE'!GB52)</f>
      </c>
      <c r="R52" s="1017">
        <f>IF('[1]BASE'!GC52=0,"",'[1]BASE'!GC52)</f>
      </c>
      <c r="S52" s="1017">
        <f>IF('[1]BASE'!GD52=0,"",'[1]BASE'!GD52)</f>
      </c>
      <c r="T52" s="1018"/>
      <c r="U52" s="1014"/>
    </row>
    <row r="53" spans="2:21" s="1008" customFormat="1" ht="19.5" customHeight="1">
      <c r="B53" s="1009"/>
      <c r="C53" s="1021">
        <f>IF('[1]BASE'!C53=0,"",'[1]BASE'!C53)</f>
        <v>37</v>
      </c>
      <c r="D53" s="1021" t="str">
        <f>IF('[1]BASE'!D53=0,"",'[1]BASE'!D53)</f>
        <v>PUELCHES - HENDERSON 1 (B1)</v>
      </c>
      <c r="E53" s="1021">
        <f>IF('[1]BASE'!E53=0,"",'[1]BASE'!E53)</f>
        <v>500</v>
      </c>
      <c r="F53" s="1021">
        <f>IF('[1]BASE'!F53=0,"",'[1]BASE'!F53)</f>
        <v>421</v>
      </c>
      <c r="G53" s="1022" t="str">
        <f>IF('[1]BASE'!G53=0,"",'[1]BASE'!G53)</f>
        <v>A</v>
      </c>
      <c r="H53" s="1017">
        <f>IF('[1]BASE'!FS53=0,"",'[1]BASE'!FS53)</f>
      </c>
      <c r="I53" s="1017">
        <f>IF('[1]BASE'!FT53=0,"",'[1]BASE'!FT53)</f>
      </c>
      <c r="J53" s="1017">
        <f>IF('[1]BASE'!FU53=0,"",'[1]BASE'!FU53)</f>
      </c>
      <c r="K53" s="1017">
        <f>IF('[1]BASE'!FV53=0,"",'[1]BASE'!FV53)</f>
      </c>
      <c r="L53" s="1017">
        <f>IF('[1]BASE'!FW53=0,"",'[1]BASE'!FW53)</f>
      </c>
      <c r="M53" s="1017">
        <f>IF('[1]BASE'!FX53=0,"",'[1]BASE'!FX53)</f>
      </c>
      <c r="N53" s="1017">
        <f>IF('[1]BASE'!FY53=0,"",'[1]BASE'!FY53)</f>
        <v>1</v>
      </c>
      <c r="O53" s="1017">
        <f>IF('[1]BASE'!FZ53=0,"",'[1]BASE'!FZ53)</f>
      </c>
      <c r="P53" s="1017">
        <f>IF('[1]BASE'!GA53=0,"",'[1]BASE'!GA53)</f>
      </c>
      <c r="Q53" s="1017">
        <f>IF('[1]BASE'!GB53=0,"",'[1]BASE'!GB53)</f>
      </c>
      <c r="R53" s="1017">
        <f>IF('[1]BASE'!GC53=0,"",'[1]BASE'!GC53)</f>
      </c>
      <c r="S53" s="1017">
        <f>IF('[1]BASE'!GD53=0,"",'[1]BASE'!GD53)</f>
      </c>
      <c r="T53" s="1018"/>
      <c r="U53" s="1014"/>
    </row>
    <row r="54" spans="2:21" s="1008" customFormat="1" ht="19.5" customHeight="1">
      <c r="B54" s="1009"/>
      <c r="C54" s="1019">
        <f>IF('[1]BASE'!C54=0,"",'[1]BASE'!C54)</f>
        <v>38</v>
      </c>
      <c r="D54" s="1019" t="str">
        <f>IF('[1]BASE'!D54=0,"",'[1]BASE'!D54)</f>
        <v>PUELCHES - HENDERSON 2 (B2)</v>
      </c>
      <c r="E54" s="1019">
        <f>IF('[1]BASE'!E54=0,"",'[1]BASE'!E54)</f>
        <v>500</v>
      </c>
      <c r="F54" s="1019">
        <f>IF('[1]BASE'!F54=0,"",'[1]BASE'!F54)</f>
        <v>421</v>
      </c>
      <c r="G54" s="1020" t="str">
        <f>IF('[1]BASE'!G54=0,"",'[1]BASE'!G54)</f>
        <v>A</v>
      </c>
      <c r="H54" s="1017" t="str">
        <f>IF('[1]BASE'!FS54=0,"",'[1]BASE'!FS54)</f>
        <v>XXXX</v>
      </c>
      <c r="I54" s="1017" t="str">
        <f>IF('[1]BASE'!FT54=0,"",'[1]BASE'!FT54)</f>
        <v>XXXX</v>
      </c>
      <c r="J54" s="1017" t="str">
        <f>IF('[1]BASE'!FU54=0,"",'[1]BASE'!FU54)</f>
        <v>XXXX</v>
      </c>
      <c r="K54" s="1017" t="str">
        <f>IF('[1]BASE'!FV54=0,"",'[1]BASE'!FV54)</f>
        <v>XXXX</v>
      </c>
      <c r="L54" s="1017" t="str">
        <f>IF('[1]BASE'!FW54=0,"",'[1]BASE'!FW54)</f>
        <v>XXXX</v>
      </c>
      <c r="M54" s="1017" t="str">
        <f>IF('[1]BASE'!FX54=0,"",'[1]BASE'!FX54)</f>
        <v>XXXX</v>
      </c>
      <c r="N54" s="1017" t="str">
        <f>IF('[1]BASE'!FY54=0,"",'[1]BASE'!FY54)</f>
        <v>XXXX</v>
      </c>
      <c r="O54" s="1017" t="str">
        <f>IF('[1]BASE'!FZ54=0,"",'[1]BASE'!FZ54)</f>
        <v>XXXX</v>
      </c>
      <c r="P54" s="1017" t="str">
        <f>IF('[1]BASE'!GA54=0,"",'[1]BASE'!GA54)</f>
        <v>XXXX</v>
      </c>
      <c r="Q54" s="1017" t="str">
        <f>IF('[1]BASE'!GB54=0,"",'[1]BASE'!GB54)</f>
        <v>XXXX</v>
      </c>
      <c r="R54" s="1017" t="str">
        <f>IF('[1]BASE'!GC54=0,"",'[1]BASE'!GC54)</f>
        <v>XXXX</v>
      </c>
      <c r="S54" s="1017" t="str">
        <f>IF('[1]BASE'!GD54=0,"",'[1]BASE'!GD54)</f>
        <v>XXXX</v>
      </c>
      <c r="T54" s="1018"/>
      <c r="U54" s="1014"/>
    </row>
    <row r="55" spans="2:21" s="1008" customFormat="1" ht="19.5" customHeight="1">
      <c r="B55" s="1009"/>
      <c r="C55" s="1021">
        <f>IF('[1]BASE'!C55=0,"",'[1]BASE'!C55)</f>
        <v>39</v>
      </c>
      <c r="D55" s="1021" t="str">
        <f>IF('[1]BASE'!D55=0,"",'[1]BASE'!D55)</f>
        <v>RECREO - MALVINAS ARG. </v>
      </c>
      <c r="E55" s="1021">
        <f>IF('[1]BASE'!E55=0,"",'[1]BASE'!E55)</f>
        <v>500</v>
      </c>
      <c r="F55" s="1021">
        <f>IF('[1]BASE'!F55=0,"",'[1]BASE'!F55)</f>
        <v>259</v>
      </c>
      <c r="G55" s="1022" t="str">
        <f>IF('[1]BASE'!G55=0,"",'[1]BASE'!G55)</f>
        <v>C</v>
      </c>
      <c r="H55" s="1017">
        <f>IF('[1]BASE'!FS55=0,"",'[1]BASE'!FS55)</f>
      </c>
      <c r="I55" s="1017">
        <f>IF('[1]BASE'!FT55=0,"",'[1]BASE'!FT55)</f>
      </c>
      <c r="J55" s="1017">
        <f>IF('[1]BASE'!FU55=0,"",'[1]BASE'!FU55)</f>
      </c>
      <c r="K55" s="1017">
        <f>IF('[1]BASE'!FV55=0,"",'[1]BASE'!FV55)</f>
      </c>
      <c r="L55" s="1017">
        <f>IF('[1]BASE'!FW55=0,"",'[1]BASE'!FW55)</f>
      </c>
      <c r="M55" s="1017">
        <f>IF('[1]BASE'!FX55=0,"",'[1]BASE'!FX55)</f>
      </c>
      <c r="N55" s="1017">
        <f>IF('[1]BASE'!FY55=0,"",'[1]BASE'!FY55)</f>
      </c>
      <c r="O55" s="1017">
        <f>IF('[1]BASE'!FZ55=0,"",'[1]BASE'!FZ55)</f>
      </c>
      <c r="P55" s="1017">
        <f>IF('[1]BASE'!GA55=0,"",'[1]BASE'!GA55)</f>
      </c>
      <c r="Q55" s="1017">
        <f>IF('[1]BASE'!GB55=0,"",'[1]BASE'!GB55)</f>
      </c>
      <c r="R55" s="1017">
        <f>IF('[1]BASE'!GC55=0,"",'[1]BASE'!GC55)</f>
      </c>
      <c r="S55" s="1017">
        <f>IF('[1]BASE'!GD55=0,"",'[1]BASE'!GD55)</f>
      </c>
      <c r="T55" s="1018"/>
      <c r="U55" s="1014"/>
    </row>
    <row r="56" spans="2:21" s="1008" customFormat="1" ht="19.5" customHeight="1">
      <c r="B56" s="1009"/>
      <c r="C56" s="1019">
        <f>IF('[1]BASE'!C56=0,"",'[1]BASE'!C56)</f>
        <v>40</v>
      </c>
      <c r="D56" s="1019" t="str">
        <f>IF('[1]BASE'!D56=0,"",'[1]BASE'!D56)</f>
        <v>RIO GRANDE - EMBALSE</v>
      </c>
      <c r="E56" s="1019">
        <f>IF('[1]BASE'!E56=0,"",'[1]BASE'!E56)</f>
        <v>500</v>
      </c>
      <c r="F56" s="1019">
        <f>IF('[1]BASE'!F56=0,"",'[1]BASE'!F56)</f>
        <v>30</v>
      </c>
      <c r="G56" s="1020" t="str">
        <f>IF('[1]BASE'!G56=0,"",'[1]BASE'!G56)</f>
        <v>B</v>
      </c>
      <c r="H56" s="1017">
        <f>IF('[1]BASE'!FS56=0,"",'[1]BASE'!FS56)</f>
      </c>
      <c r="I56" s="1017">
        <f>IF('[1]BASE'!FT56=0,"",'[1]BASE'!FT56)</f>
      </c>
      <c r="J56" s="1017">
        <f>IF('[1]BASE'!FU56=0,"",'[1]BASE'!FU56)</f>
      </c>
      <c r="K56" s="1017">
        <f>IF('[1]BASE'!FV56=0,"",'[1]BASE'!FV56)</f>
      </c>
      <c r="L56" s="1017">
        <f>IF('[1]BASE'!FW56=0,"",'[1]BASE'!FW56)</f>
      </c>
      <c r="M56" s="1017">
        <f>IF('[1]BASE'!FX56=0,"",'[1]BASE'!FX56)</f>
      </c>
      <c r="N56" s="1017">
        <f>IF('[1]BASE'!FY56=0,"",'[1]BASE'!FY56)</f>
      </c>
      <c r="O56" s="1017">
        <f>IF('[1]BASE'!FZ56=0,"",'[1]BASE'!FZ56)</f>
      </c>
      <c r="P56" s="1017">
        <f>IF('[1]BASE'!GA56=0,"",'[1]BASE'!GA56)</f>
      </c>
      <c r="Q56" s="1017">
        <f>IF('[1]BASE'!GB56=0,"",'[1]BASE'!GB56)</f>
      </c>
      <c r="R56" s="1017">
        <f>IF('[1]BASE'!GC56=0,"",'[1]BASE'!GC56)</f>
      </c>
      <c r="S56" s="1017">
        <f>IF('[1]BASE'!GD56=0,"",'[1]BASE'!GD56)</f>
        <v>1</v>
      </c>
      <c r="T56" s="1018"/>
      <c r="U56" s="1014"/>
    </row>
    <row r="57" spans="2:21" s="1008" customFormat="1" ht="19.5" customHeight="1">
      <c r="B57" s="1009"/>
      <c r="C57" s="1021">
        <f>IF('[1]BASE'!C57=0,"",'[1]BASE'!C57)</f>
        <v>41</v>
      </c>
      <c r="D57" s="1021" t="str">
        <f>IF('[1]BASE'!D57=0,"",'[1]BASE'!D57)</f>
        <v>RIO GRANDE - GRAN MENDOZA</v>
      </c>
      <c r="E57" s="1021">
        <f>IF('[1]BASE'!E57=0,"",'[1]BASE'!E57)</f>
        <v>500</v>
      </c>
      <c r="F57" s="1021">
        <f>IF('[1]BASE'!F57=0,"",'[1]BASE'!F57)</f>
        <v>407</v>
      </c>
      <c r="G57" s="1022" t="str">
        <f>IF('[1]BASE'!G57=0,"",'[1]BASE'!G57)</f>
        <v>B</v>
      </c>
      <c r="H57" s="1017" t="str">
        <f>IF('[1]BASE'!FS57=0,"",'[1]BASE'!FS57)</f>
        <v>XXXX</v>
      </c>
      <c r="I57" s="1017" t="str">
        <f>IF('[1]BASE'!FT57=0,"",'[1]BASE'!FT57)</f>
        <v>XXXX</v>
      </c>
      <c r="J57" s="1017" t="str">
        <f>IF('[1]BASE'!FU57=0,"",'[1]BASE'!FU57)</f>
        <v>XXXX</v>
      </c>
      <c r="K57" s="1017" t="str">
        <f>IF('[1]BASE'!FV57=0,"",'[1]BASE'!FV57)</f>
        <v>XXXX</v>
      </c>
      <c r="L57" s="1017" t="str">
        <f>IF('[1]BASE'!FW57=0,"",'[1]BASE'!FW57)</f>
        <v>XXXX</v>
      </c>
      <c r="M57" s="1017" t="str">
        <f>IF('[1]BASE'!FX57=0,"",'[1]BASE'!FX57)</f>
        <v>XXXX</v>
      </c>
      <c r="N57" s="1017" t="str">
        <f>IF('[1]BASE'!FY57=0,"",'[1]BASE'!FY57)</f>
        <v>XXXX</v>
      </c>
      <c r="O57" s="1017" t="str">
        <f>IF('[1]BASE'!FZ57=0,"",'[1]BASE'!FZ57)</f>
        <v>XXXX</v>
      </c>
      <c r="P57" s="1017" t="str">
        <f>IF('[1]BASE'!GA57=0,"",'[1]BASE'!GA57)</f>
        <v>XXXX</v>
      </c>
      <c r="Q57" s="1017" t="str">
        <f>IF('[1]BASE'!GB57=0,"",'[1]BASE'!GB57)</f>
        <v>XXXX</v>
      </c>
      <c r="R57" s="1017" t="str">
        <f>IF('[1]BASE'!GC57=0,"",'[1]BASE'!GC57)</f>
        <v>XXXX</v>
      </c>
      <c r="S57" s="1017" t="str">
        <f>IF('[1]BASE'!GD57=0,"",'[1]BASE'!GD57)</f>
        <v>XXXX</v>
      </c>
      <c r="T57" s="1018"/>
      <c r="U57" s="1014"/>
    </row>
    <row r="58" spans="2:21" s="1008" customFormat="1" ht="19.5" customHeight="1">
      <c r="B58" s="1009"/>
      <c r="C58" s="1019">
        <f>IF('[1]BASE'!C58=0,"",'[1]BASE'!C58)</f>
        <v>42</v>
      </c>
      <c r="D58" s="1019" t="str">
        <f>IF('[1]BASE'!D58=0,"",'[1]BASE'!D58)</f>
        <v>RIO GRANDE - LUJAN</v>
      </c>
      <c r="E58" s="1019">
        <f>IF('[1]BASE'!E58=0,"",'[1]BASE'!E58)</f>
        <v>500</v>
      </c>
      <c r="F58" s="1019">
        <f>IF('[1]BASE'!F58=0,"",'[1]BASE'!F58)</f>
        <v>150</v>
      </c>
      <c r="G58" s="1020" t="str">
        <f>IF('[1]BASE'!G58=0,"",'[1]BASE'!G58)</f>
        <v>A</v>
      </c>
      <c r="H58" s="1017">
        <f>IF('[1]BASE'!FS58=0,"",'[1]BASE'!FS58)</f>
      </c>
      <c r="I58" s="1017">
        <f>IF('[1]BASE'!FT58=0,"",'[1]BASE'!FT58)</f>
      </c>
      <c r="J58" s="1017">
        <f>IF('[1]BASE'!FU58=0,"",'[1]BASE'!FU58)</f>
      </c>
      <c r="K58" s="1017">
        <f>IF('[1]BASE'!FV58=0,"",'[1]BASE'!FV58)</f>
      </c>
      <c r="L58" s="1017">
        <f>IF('[1]BASE'!FW58=0,"",'[1]BASE'!FW58)</f>
      </c>
      <c r="M58" s="1017">
        <f>IF('[1]BASE'!FX58=0,"",'[1]BASE'!FX58)</f>
      </c>
      <c r="N58" s="1017">
        <f>IF('[1]BASE'!FY58=0,"",'[1]BASE'!FY58)</f>
      </c>
      <c r="O58" s="1017">
        <f>IF('[1]BASE'!FZ58=0,"",'[1]BASE'!FZ58)</f>
      </c>
      <c r="P58" s="1017">
        <f>IF('[1]BASE'!GA58=0,"",'[1]BASE'!GA58)</f>
      </c>
      <c r="Q58" s="1017">
        <f>IF('[1]BASE'!GB58=0,"",'[1]BASE'!GB58)</f>
      </c>
      <c r="R58" s="1017">
        <f>IF('[1]BASE'!GC58=0,"",'[1]BASE'!GC58)</f>
      </c>
      <c r="S58" s="1017">
        <f>IF('[1]BASE'!GD58=0,"",'[1]BASE'!GD58)</f>
      </c>
      <c r="T58" s="1018"/>
      <c r="U58" s="1014"/>
    </row>
    <row r="59" spans="2:21" s="1008" customFormat="1" ht="19.5" customHeight="1">
      <c r="B59" s="1009"/>
      <c r="C59" s="1021">
        <f>IF('[1]BASE'!C59=0,"",'[1]BASE'!C59)</f>
        <v>43</v>
      </c>
      <c r="D59" s="1021" t="str">
        <f>IF('[1]BASE'!D59=0,"",'[1]BASE'!D59)</f>
        <v>LUJAN - GRAN MENDOZA</v>
      </c>
      <c r="E59" s="1021">
        <f>IF('[1]BASE'!E59=0,"",'[1]BASE'!E59)</f>
        <v>500</v>
      </c>
      <c r="F59" s="1021">
        <f>IF('[1]BASE'!F59=0,"",'[1]BASE'!F59)</f>
        <v>257</v>
      </c>
      <c r="G59" s="1022" t="str">
        <f>IF('[1]BASE'!G59=0,"",'[1]BASE'!G59)</f>
        <v>B</v>
      </c>
      <c r="H59" s="1017">
        <f>IF('[1]BASE'!FS59=0,"",'[1]BASE'!FS59)</f>
      </c>
      <c r="I59" s="1017">
        <f>IF('[1]BASE'!FT59=0,"",'[1]BASE'!FT59)</f>
      </c>
      <c r="J59" s="1017">
        <f>IF('[1]BASE'!FU59=0,"",'[1]BASE'!FU59)</f>
      </c>
      <c r="K59" s="1017">
        <f>IF('[1]BASE'!FV59=0,"",'[1]BASE'!FV59)</f>
      </c>
      <c r="L59" s="1017">
        <f>IF('[1]BASE'!FW59=0,"",'[1]BASE'!FW59)</f>
      </c>
      <c r="M59" s="1017">
        <f>IF('[1]BASE'!FX59=0,"",'[1]BASE'!FX59)</f>
      </c>
      <c r="N59" s="1017">
        <f>IF('[1]BASE'!FY59=0,"",'[1]BASE'!FY59)</f>
      </c>
      <c r="O59" s="1017">
        <f>IF('[1]BASE'!FZ59=0,"",'[1]BASE'!FZ59)</f>
      </c>
      <c r="P59" s="1017">
        <f>IF('[1]BASE'!GA59=0,"",'[1]BASE'!GA59)</f>
      </c>
      <c r="Q59" s="1017">
        <f>IF('[1]BASE'!GB59=0,"",'[1]BASE'!GB59)</f>
      </c>
      <c r="R59" s="1017">
        <f>IF('[1]BASE'!GC59=0,"",'[1]BASE'!GC59)</f>
      </c>
      <c r="S59" s="1017">
        <f>IF('[1]BASE'!GD59=0,"",'[1]BASE'!GD59)</f>
      </c>
      <c r="T59" s="1018"/>
      <c r="U59" s="1014"/>
    </row>
    <row r="60" spans="2:21" s="1008" customFormat="1" ht="19.5" customHeight="1">
      <c r="B60" s="1009"/>
      <c r="C60" s="1019">
        <f>IF('[1]BASE'!C60=0,"",'[1]BASE'!C60)</f>
        <v>44</v>
      </c>
      <c r="D60" s="1019" t="str">
        <f>IF('[1]BASE'!D60=0,"",'[1]BASE'!D60)</f>
        <v>ROMANG - RESISTENCIA</v>
      </c>
      <c r="E60" s="1019">
        <f>IF('[1]BASE'!E60=0,"",'[1]BASE'!E60)</f>
        <v>500</v>
      </c>
      <c r="F60" s="1019">
        <f>IF('[1]BASE'!F60=0,"",'[1]BASE'!F60)</f>
        <v>256</v>
      </c>
      <c r="G60" s="1020" t="str">
        <f>IF('[1]BASE'!G60=0,"",'[1]BASE'!G60)</f>
        <v>A</v>
      </c>
      <c r="H60" s="1017">
        <f>IF('[1]BASE'!FS60=0,"",'[1]BASE'!FS60)</f>
      </c>
      <c r="I60" s="1017">
        <f>IF('[1]BASE'!FT60=0,"",'[1]BASE'!FT60)</f>
      </c>
      <c r="J60" s="1017">
        <f>IF('[1]BASE'!FU60=0,"",'[1]BASE'!FU60)</f>
      </c>
      <c r="K60" s="1017">
        <f>IF('[1]BASE'!FV60=0,"",'[1]BASE'!FV60)</f>
      </c>
      <c r="L60" s="1017">
        <f>IF('[1]BASE'!FW60=0,"",'[1]BASE'!FW60)</f>
      </c>
      <c r="M60" s="1017">
        <f>IF('[1]BASE'!FX60=0,"",'[1]BASE'!FX60)</f>
      </c>
      <c r="N60" s="1017">
        <f>IF('[1]BASE'!FY60=0,"",'[1]BASE'!FY60)</f>
      </c>
      <c r="O60" s="1017">
        <f>IF('[1]BASE'!FZ60=0,"",'[1]BASE'!FZ60)</f>
      </c>
      <c r="P60" s="1017">
        <f>IF('[1]BASE'!GA60=0,"",'[1]BASE'!GA60)</f>
        <v>1</v>
      </c>
      <c r="Q60" s="1017">
        <f>IF('[1]BASE'!GB60=0,"",'[1]BASE'!GB60)</f>
        <v>1</v>
      </c>
      <c r="R60" s="1017">
        <f>IF('[1]BASE'!GC60=0,"",'[1]BASE'!GC60)</f>
      </c>
      <c r="S60" s="1017">
        <f>IF('[1]BASE'!GD60=0,"",'[1]BASE'!GD60)</f>
        <v>1</v>
      </c>
      <c r="T60" s="1018"/>
      <c r="U60" s="1014"/>
    </row>
    <row r="61" spans="2:21" s="1008" customFormat="1" ht="19.5" customHeight="1">
      <c r="B61" s="1009"/>
      <c r="C61" s="1021">
        <f>IF('[1]BASE'!C61=0,"",'[1]BASE'!C61)</f>
        <v>45</v>
      </c>
      <c r="D61" s="1021" t="str">
        <f>IF('[1]BASE'!D61=0,"",'[1]BASE'!D61)</f>
        <v>ROSARIO OESTE -SANTO TOME</v>
      </c>
      <c r="E61" s="1021">
        <f>IF('[1]BASE'!E61=0,"",'[1]BASE'!E61)</f>
        <v>500</v>
      </c>
      <c r="F61" s="1021">
        <f>IF('[1]BASE'!F61=0,"",'[1]BASE'!F61)</f>
        <v>159</v>
      </c>
      <c r="G61" s="1022" t="str">
        <f>IF('[1]BASE'!G61=0,"",'[1]BASE'!G61)</f>
        <v>C</v>
      </c>
      <c r="H61" s="1017">
        <f>IF('[1]BASE'!FS61=0,"",'[1]BASE'!FS61)</f>
      </c>
      <c r="I61" s="1017">
        <f>IF('[1]BASE'!FT61=0,"",'[1]BASE'!FT61)</f>
        <v>1</v>
      </c>
      <c r="J61" s="1017">
        <f>IF('[1]BASE'!FU61=0,"",'[1]BASE'!FU61)</f>
        <v>1</v>
      </c>
      <c r="K61" s="1017">
        <f>IF('[1]BASE'!FV61=0,"",'[1]BASE'!FV61)</f>
        <v>1</v>
      </c>
      <c r="L61" s="1017">
        <f>IF('[1]BASE'!FW61=0,"",'[1]BASE'!FW61)</f>
      </c>
      <c r="M61" s="1017">
        <f>IF('[1]BASE'!FX61=0,"",'[1]BASE'!FX61)</f>
      </c>
      <c r="N61" s="1017">
        <f>IF('[1]BASE'!FY61=0,"",'[1]BASE'!FY61)</f>
      </c>
      <c r="O61" s="1017">
        <f>IF('[1]BASE'!FZ61=0,"",'[1]BASE'!FZ61)</f>
      </c>
      <c r="P61" s="1017">
        <f>IF('[1]BASE'!GA61=0,"",'[1]BASE'!GA61)</f>
      </c>
      <c r="Q61" s="1017">
        <f>IF('[1]BASE'!GB61=0,"",'[1]BASE'!GB61)</f>
        <v>1</v>
      </c>
      <c r="R61" s="1017">
        <f>IF('[1]BASE'!GC61=0,"",'[1]BASE'!GC61)</f>
      </c>
      <c r="S61" s="1017">
        <f>IF('[1]BASE'!GD61=0,"",'[1]BASE'!GD61)</f>
      </c>
      <c r="T61" s="1018"/>
      <c r="U61" s="1014"/>
    </row>
    <row r="62" spans="2:21" s="1008" customFormat="1" ht="19.5" customHeight="1">
      <c r="B62" s="1009"/>
      <c r="C62" s="1019">
        <f>IF('[1]BASE'!C62=0,"",'[1]BASE'!C62)</f>
        <v>46</v>
      </c>
      <c r="D62" s="1019" t="str">
        <f>IF('[1]BASE'!D62=0,"",'[1]BASE'!D62)</f>
        <v>SALTO GRANDE - SANTO TOME </v>
      </c>
      <c r="E62" s="1019">
        <f>IF('[1]BASE'!E62=0,"",'[1]BASE'!E62)</f>
        <v>500</v>
      </c>
      <c r="F62" s="1019">
        <f>IF('[1]BASE'!F62=0,"",'[1]BASE'!F62)</f>
        <v>289</v>
      </c>
      <c r="G62" s="1020" t="str">
        <f>IF('[1]BASE'!G62=0,"",'[1]BASE'!G62)</f>
        <v>C</v>
      </c>
      <c r="H62" s="1017">
        <f>IF('[1]BASE'!FS62=0,"",'[1]BASE'!FS62)</f>
      </c>
      <c r="I62" s="1017">
        <f>IF('[1]BASE'!FT62=0,"",'[1]BASE'!FT62)</f>
      </c>
      <c r="J62" s="1017">
        <f>IF('[1]BASE'!FU62=0,"",'[1]BASE'!FU62)</f>
      </c>
      <c r="K62" s="1017">
        <f>IF('[1]BASE'!FV62=0,"",'[1]BASE'!FV62)</f>
      </c>
      <c r="L62" s="1017">
        <f>IF('[1]BASE'!FW62=0,"",'[1]BASE'!FW62)</f>
      </c>
      <c r="M62" s="1017">
        <f>IF('[1]BASE'!FX62=0,"",'[1]BASE'!FX62)</f>
      </c>
      <c r="N62" s="1017">
        <f>IF('[1]BASE'!FY62=0,"",'[1]BASE'!FY62)</f>
      </c>
      <c r="O62" s="1017">
        <f>IF('[1]BASE'!FZ62=0,"",'[1]BASE'!FZ62)</f>
      </c>
      <c r="P62" s="1017">
        <f>IF('[1]BASE'!GA62=0,"",'[1]BASE'!GA62)</f>
        <v>1</v>
      </c>
      <c r="Q62" s="1017">
        <f>IF('[1]BASE'!GB62=0,"",'[1]BASE'!GB62)</f>
      </c>
      <c r="R62" s="1017">
        <f>IF('[1]BASE'!GC62=0,"",'[1]BASE'!GC62)</f>
      </c>
      <c r="S62" s="1017">
        <f>IF('[1]BASE'!GD62=0,"",'[1]BASE'!GD62)</f>
      </c>
      <c r="T62" s="1018"/>
      <c r="U62" s="1014"/>
    </row>
    <row r="63" spans="2:21" s="1008" customFormat="1" ht="19.5" customHeight="1">
      <c r="B63" s="1009"/>
      <c r="C63" s="1021">
        <f>IF('[1]BASE'!C63=0,"",'[1]BASE'!C63)</f>
        <v>47</v>
      </c>
      <c r="D63" s="1021" t="str">
        <f>IF('[1]BASE'!D63=0,"",'[1]BASE'!D63)</f>
        <v>SANTO TOME - ROMANG </v>
      </c>
      <c r="E63" s="1021">
        <f>IF('[1]BASE'!E63=0,"",'[1]BASE'!E63)</f>
        <v>500</v>
      </c>
      <c r="F63" s="1021">
        <f>IF('[1]BASE'!F63=0,"",'[1]BASE'!F63)</f>
        <v>270</v>
      </c>
      <c r="G63" s="1022" t="str">
        <f>IF('[1]BASE'!G63=0,"",'[1]BASE'!G63)</f>
        <v>A</v>
      </c>
      <c r="H63" s="1017">
        <f>IF('[1]BASE'!FS63=0,"",'[1]BASE'!FS63)</f>
      </c>
      <c r="I63" s="1017">
        <f>IF('[1]BASE'!FT63=0,"",'[1]BASE'!FT63)</f>
      </c>
      <c r="J63" s="1017">
        <f>IF('[1]BASE'!FU63=0,"",'[1]BASE'!FU63)</f>
      </c>
      <c r="K63" s="1017">
        <f>IF('[1]BASE'!FV63=0,"",'[1]BASE'!FV63)</f>
      </c>
      <c r="L63" s="1017">
        <f>IF('[1]BASE'!FW63=0,"",'[1]BASE'!FW63)</f>
      </c>
      <c r="M63" s="1017">
        <f>IF('[1]BASE'!FX63=0,"",'[1]BASE'!FX63)</f>
      </c>
      <c r="N63" s="1017">
        <f>IF('[1]BASE'!FY63=0,"",'[1]BASE'!FY63)</f>
      </c>
      <c r="O63" s="1017">
        <f>IF('[1]BASE'!FZ63=0,"",'[1]BASE'!FZ63)</f>
      </c>
      <c r="P63" s="1017">
        <f>IF('[1]BASE'!GA63=0,"",'[1]BASE'!GA63)</f>
      </c>
      <c r="Q63" s="1017">
        <f>IF('[1]BASE'!GB63=0,"",'[1]BASE'!GB63)</f>
      </c>
      <c r="R63" s="1017">
        <f>IF('[1]BASE'!GC63=0,"",'[1]BASE'!GC63)</f>
      </c>
      <c r="S63" s="1017">
        <f>IF('[1]BASE'!GD63=0,"",'[1]BASE'!GD63)</f>
      </c>
      <c r="T63" s="1018"/>
      <c r="U63" s="1014"/>
    </row>
    <row r="64" spans="2:21" s="1008" customFormat="1" ht="9.75" customHeight="1">
      <c r="B64" s="1009"/>
      <c r="C64" s="1019">
        <f>IF('[1]BASE'!C64=0,"",'[1]BASE'!C64)</f>
      </c>
      <c r="D64" s="1019">
        <f>IF('[1]BASE'!D64=0,"",'[1]BASE'!D64)</f>
      </c>
      <c r="E64" s="1019">
        <f>IF('[1]BASE'!E64=0,"",'[1]BASE'!E64)</f>
      </c>
      <c r="F64" s="1019">
        <f>IF('[1]BASE'!F64=0,"",'[1]BASE'!F64)</f>
      </c>
      <c r="G64" s="1020">
        <f>IF('[1]BASE'!G64=0,"",'[1]BASE'!G64)</f>
      </c>
      <c r="H64" s="1017">
        <f>IF('[1]BASE'!FS64=0,"",'[1]BASE'!FS64)</f>
      </c>
      <c r="I64" s="1017">
        <f>IF('[1]BASE'!FT64=0,"",'[1]BASE'!FT64)</f>
      </c>
      <c r="J64" s="1017">
        <f>IF('[1]BASE'!FU64=0,"",'[1]BASE'!FU64)</f>
      </c>
      <c r="K64" s="1017">
        <f>IF('[1]BASE'!FV64=0,"",'[1]BASE'!FV64)</f>
      </c>
      <c r="L64" s="1017">
        <f>IF('[1]BASE'!FW64=0,"",'[1]BASE'!FW64)</f>
      </c>
      <c r="M64" s="1017">
        <f>IF('[1]BASE'!FX64=0,"",'[1]BASE'!FX64)</f>
      </c>
      <c r="N64" s="1017">
        <f>IF('[1]BASE'!FY64=0,"",'[1]BASE'!FY64)</f>
      </c>
      <c r="O64" s="1017">
        <f>IF('[1]BASE'!FZ64=0,"",'[1]BASE'!FZ64)</f>
      </c>
      <c r="P64" s="1017">
        <f>IF('[1]BASE'!GA64=0,"",'[1]BASE'!GA64)</f>
      </c>
      <c r="Q64" s="1017">
        <f>IF('[1]BASE'!GB64=0,"",'[1]BASE'!GB64)</f>
      </c>
      <c r="R64" s="1017">
        <f>IF('[1]BASE'!GC64=0,"",'[1]BASE'!GC64)</f>
      </c>
      <c r="S64" s="1017">
        <f>IF('[1]BASE'!GD64=0,"",'[1]BASE'!GD64)</f>
      </c>
      <c r="T64" s="1018"/>
      <c r="U64" s="1014"/>
    </row>
    <row r="65" spans="2:21" s="1008" customFormat="1" ht="19.5" customHeight="1">
      <c r="B65" s="1009"/>
      <c r="C65" s="1021">
        <f>IF('[1]BASE'!C65=0,"",'[1]BASE'!C65)</f>
        <v>48</v>
      </c>
      <c r="D65" s="1021" t="str">
        <f>IF('[1]BASE'!D65=0,"",'[1]BASE'!D65)</f>
        <v>GRAL. RODRIGUEZ - VILLA  LIA 1</v>
      </c>
      <c r="E65" s="1021">
        <f>IF('[1]BASE'!E65=0,"",'[1]BASE'!E65)</f>
        <v>220</v>
      </c>
      <c r="F65" s="1021">
        <f>IF('[1]BASE'!F65=0,"",'[1]BASE'!F65)</f>
        <v>61</v>
      </c>
      <c r="G65" s="1022" t="str">
        <f>IF('[1]BASE'!G65=0,"",'[1]BASE'!G65)</f>
        <v>C</v>
      </c>
      <c r="H65" s="1017">
        <f>IF('[1]BASE'!FS65=0,"",'[1]BASE'!FS65)</f>
      </c>
      <c r="I65" s="1017">
        <f>IF('[1]BASE'!FT65=0,"",'[1]BASE'!FT65)</f>
        <v>1</v>
      </c>
      <c r="J65" s="1017">
        <f>IF('[1]BASE'!FU65=0,"",'[1]BASE'!FU65)</f>
      </c>
      <c r="K65" s="1017">
        <f>IF('[1]BASE'!FV65=0,"",'[1]BASE'!FV65)</f>
        <v>1</v>
      </c>
      <c r="L65" s="1017">
        <f>IF('[1]BASE'!FW65=0,"",'[1]BASE'!FW65)</f>
      </c>
      <c r="M65" s="1017">
        <f>IF('[1]BASE'!FX65=0,"",'[1]BASE'!FX65)</f>
        <v>1</v>
      </c>
      <c r="N65" s="1017">
        <f>IF('[1]BASE'!FY65=0,"",'[1]BASE'!FY65)</f>
      </c>
      <c r="O65" s="1017">
        <f>IF('[1]BASE'!FZ65=0,"",'[1]BASE'!FZ65)</f>
      </c>
      <c r="P65" s="1017">
        <f>IF('[1]BASE'!GA65=0,"",'[1]BASE'!GA65)</f>
      </c>
      <c r="Q65" s="1017">
        <f>IF('[1]BASE'!GB65=0,"",'[1]BASE'!GB65)</f>
      </c>
      <c r="R65" s="1017">
        <f>IF('[1]BASE'!GC65=0,"",'[1]BASE'!GC65)</f>
      </c>
      <c r="S65" s="1017">
        <f>IF('[1]BASE'!GD65=0,"",'[1]BASE'!GD65)</f>
        <v>1</v>
      </c>
      <c r="T65" s="1018"/>
      <c r="U65" s="1014"/>
    </row>
    <row r="66" spans="2:21" s="1008" customFormat="1" ht="19.5" customHeight="1">
      <c r="B66" s="1009"/>
      <c r="C66" s="1019">
        <f>IF('[1]BASE'!C66=0,"",'[1]BASE'!C66)</f>
        <v>49</v>
      </c>
      <c r="D66" s="1019" t="str">
        <f>IF('[1]BASE'!D66=0,"",'[1]BASE'!D66)</f>
        <v>GRAL. RODRIGUEZ - VILLA  LIA 2</v>
      </c>
      <c r="E66" s="1019">
        <f>IF('[1]BASE'!E66=0,"",'[1]BASE'!E66)</f>
        <v>220</v>
      </c>
      <c r="F66" s="1019">
        <f>IF('[1]BASE'!F66=0,"",'[1]BASE'!F66)</f>
        <v>61</v>
      </c>
      <c r="G66" s="1020" t="str">
        <f>IF('[1]BASE'!G66=0,"",'[1]BASE'!G66)</f>
        <v>C</v>
      </c>
      <c r="H66" s="1017">
        <f>IF('[1]BASE'!FS66=0,"",'[1]BASE'!FS66)</f>
      </c>
      <c r="I66" s="1017">
        <f>IF('[1]BASE'!FT66=0,"",'[1]BASE'!FT66)</f>
      </c>
      <c r="J66" s="1017">
        <f>IF('[1]BASE'!FU66=0,"",'[1]BASE'!FU66)</f>
      </c>
      <c r="K66" s="1017">
        <f>IF('[1]BASE'!FV66=0,"",'[1]BASE'!FV66)</f>
      </c>
      <c r="L66" s="1017">
        <f>IF('[1]BASE'!FW66=0,"",'[1]BASE'!FW66)</f>
      </c>
      <c r="M66" s="1017">
        <f>IF('[1]BASE'!FX66=0,"",'[1]BASE'!FX66)</f>
      </c>
      <c r="N66" s="1017">
        <f>IF('[1]BASE'!FY66=0,"",'[1]BASE'!FY66)</f>
      </c>
      <c r="O66" s="1017">
        <f>IF('[1]BASE'!FZ66=0,"",'[1]BASE'!FZ66)</f>
      </c>
      <c r="P66" s="1017">
        <f>IF('[1]BASE'!GA66=0,"",'[1]BASE'!GA66)</f>
      </c>
      <c r="Q66" s="1017">
        <f>IF('[1]BASE'!GB66=0,"",'[1]BASE'!GB66)</f>
      </c>
      <c r="R66" s="1017">
        <f>IF('[1]BASE'!GC66=0,"",'[1]BASE'!GC66)</f>
      </c>
      <c r="S66" s="1017">
        <f>IF('[1]BASE'!GD66=0,"",'[1]BASE'!GD66)</f>
      </c>
      <c r="T66" s="1018"/>
      <c r="U66" s="1014"/>
    </row>
    <row r="67" spans="2:21" s="1008" customFormat="1" ht="19.5" customHeight="1">
      <c r="B67" s="1009"/>
      <c r="C67" s="1021">
        <f>IF('[1]BASE'!C67=0,"",'[1]BASE'!C67)</f>
        <v>50</v>
      </c>
      <c r="D67" s="1021" t="str">
        <f>IF('[1]BASE'!D67=0,"",'[1]BASE'!D67)</f>
        <v>RAMALLO - SAN NICOLAS (2)</v>
      </c>
      <c r="E67" s="1021">
        <f>IF('[1]BASE'!E67=0,"",'[1]BASE'!E67)</f>
        <v>220</v>
      </c>
      <c r="F67" s="1021">
        <f>IF('[1]BASE'!F67=0,"",'[1]BASE'!F67)</f>
        <v>6</v>
      </c>
      <c r="G67" s="1022" t="str">
        <f>IF('[1]BASE'!G67=0,"",'[1]BASE'!G67)</f>
        <v>C</v>
      </c>
      <c r="H67" s="1017">
        <f>IF('[1]BASE'!FS67=0,"",'[1]BASE'!FS67)</f>
      </c>
      <c r="I67" s="1017">
        <f>IF('[1]BASE'!FT67=0,"",'[1]BASE'!FT67)</f>
      </c>
      <c r="J67" s="1017">
        <f>IF('[1]BASE'!FU67=0,"",'[1]BASE'!FU67)</f>
      </c>
      <c r="K67" s="1017">
        <f>IF('[1]BASE'!FV67=0,"",'[1]BASE'!FV67)</f>
      </c>
      <c r="L67" s="1017">
        <f>IF('[1]BASE'!FW67=0,"",'[1]BASE'!FW67)</f>
      </c>
      <c r="M67" s="1017">
        <f>IF('[1]BASE'!FX67=0,"",'[1]BASE'!FX67)</f>
      </c>
      <c r="N67" s="1017">
        <f>IF('[1]BASE'!FY67=0,"",'[1]BASE'!FY67)</f>
      </c>
      <c r="O67" s="1017">
        <f>IF('[1]BASE'!FZ67=0,"",'[1]BASE'!FZ67)</f>
      </c>
      <c r="P67" s="1017">
        <f>IF('[1]BASE'!GA67=0,"",'[1]BASE'!GA67)</f>
      </c>
      <c r="Q67" s="1017">
        <f>IF('[1]BASE'!GB67=0,"",'[1]BASE'!GB67)</f>
      </c>
      <c r="R67" s="1017">
        <f>IF('[1]BASE'!GC67=0,"",'[1]BASE'!GC67)</f>
      </c>
      <c r="S67" s="1017">
        <f>IF('[1]BASE'!GD67=0,"",'[1]BASE'!GD67)</f>
      </c>
      <c r="T67" s="1018"/>
      <c r="U67" s="1014"/>
    </row>
    <row r="68" spans="2:21" s="1008" customFormat="1" ht="19.5" customHeight="1">
      <c r="B68" s="1009"/>
      <c r="C68" s="1019">
        <f>IF('[1]BASE'!C68=0,"",'[1]BASE'!C68)</f>
        <v>51</v>
      </c>
      <c r="D68" s="1019" t="str">
        <f>IF('[1]BASE'!D68=0,"",'[1]BASE'!D68)</f>
        <v>RAMALLO - SAN NICOLAS (1)</v>
      </c>
      <c r="E68" s="1019">
        <f>IF('[1]BASE'!E68=0,"",'[1]BASE'!E68)</f>
        <v>220</v>
      </c>
      <c r="F68" s="1019">
        <f>IF('[1]BASE'!F68=0,"",'[1]BASE'!F68)</f>
        <v>6</v>
      </c>
      <c r="G68" s="1020" t="str">
        <f>IF('[1]BASE'!G68=0,"",'[1]BASE'!G68)</f>
        <v>C</v>
      </c>
      <c r="H68" s="1017">
        <f>IF('[1]BASE'!FS68=0,"",'[1]BASE'!FS68)</f>
      </c>
      <c r="I68" s="1017">
        <f>IF('[1]BASE'!FT68=0,"",'[1]BASE'!FT68)</f>
      </c>
      <c r="J68" s="1017">
        <f>IF('[1]BASE'!FU68=0,"",'[1]BASE'!FU68)</f>
      </c>
      <c r="K68" s="1017">
        <f>IF('[1]BASE'!FV68=0,"",'[1]BASE'!FV68)</f>
      </c>
      <c r="L68" s="1017">
        <f>IF('[1]BASE'!FW68=0,"",'[1]BASE'!FW68)</f>
      </c>
      <c r="M68" s="1017">
        <f>IF('[1]BASE'!FX68=0,"",'[1]BASE'!FX68)</f>
      </c>
      <c r="N68" s="1017">
        <f>IF('[1]BASE'!FY68=0,"",'[1]BASE'!FY68)</f>
      </c>
      <c r="O68" s="1017">
        <f>IF('[1]BASE'!FZ68=0,"",'[1]BASE'!FZ68)</f>
      </c>
      <c r="P68" s="1017">
        <f>IF('[1]BASE'!GA68=0,"",'[1]BASE'!GA68)</f>
      </c>
      <c r="Q68" s="1017">
        <f>IF('[1]BASE'!GB68=0,"",'[1]BASE'!GB68)</f>
      </c>
      <c r="R68" s="1017">
        <f>IF('[1]BASE'!GC68=0,"",'[1]BASE'!GC68)</f>
      </c>
      <c r="S68" s="1017">
        <f>IF('[1]BASE'!GD68=0,"",'[1]BASE'!GD68)</f>
      </c>
      <c r="T68" s="1018"/>
      <c r="U68" s="1014"/>
    </row>
    <row r="69" spans="2:21" s="1008" customFormat="1" ht="19.5" customHeight="1">
      <c r="B69" s="1009"/>
      <c r="C69" s="1021">
        <f>IF('[1]BASE'!C69=0,"",'[1]BASE'!C69)</f>
        <v>52</v>
      </c>
      <c r="D69" s="1021" t="str">
        <f>IF('[1]BASE'!D69=0,"",'[1]BASE'!D69)</f>
        <v>RAMALLO - VILLA LIA  1</v>
      </c>
      <c r="E69" s="1021">
        <f>IF('[1]BASE'!E69=0,"",'[1]BASE'!E69)</f>
        <v>220</v>
      </c>
      <c r="F69" s="1022">
        <f>IF('[1]BASE'!F69=0,"",'[1]BASE'!F69)</f>
        <v>114</v>
      </c>
      <c r="G69" s="1022" t="str">
        <f>IF('[1]BASE'!G69=0,"",'[1]BASE'!G69)</f>
        <v>C</v>
      </c>
      <c r="H69" s="1017">
        <f>IF('[1]BASE'!FS69=0,"",'[1]BASE'!FS69)</f>
      </c>
      <c r="I69" s="1017">
        <f>IF('[1]BASE'!FT69=0,"",'[1]BASE'!FT69)</f>
      </c>
      <c r="J69" s="1017">
        <f>IF('[1]BASE'!FU69=0,"",'[1]BASE'!FU69)</f>
      </c>
      <c r="K69" s="1017">
        <f>IF('[1]BASE'!FV69=0,"",'[1]BASE'!FV69)</f>
      </c>
      <c r="L69" s="1017">
        <f>IF('[1]BASE'!FW69=0,"",'[1]BASE'!FW69)</f>
      </c>
      <c r="M69" s="1017">
        <f>IF('[1]BASE'!FX69=0,"",'[1]BASE'!FX69)</f>
      </c>
      <c r="N69" s="1017">
        <f>IF('[1]BASE'!FY69=0,"",'[1]BASE'!FY69)</f>
      </c>
      <c r="O69" s="1017">
        <f>IF('[1]BASE'!FZ69=0,"",'[1]BASE'!FZ69)</f>
      </c>
      <c r="P69" s="1017">
        <f>IF('[1]BASE'!GA69=0,"",'[1]BASE'!GA69)</f>
        <v>1</v>
      </c>
      <c r="Q69" s="1017">
        <f>IF('[1]BASE'!GB69=0,"",'[1]BASE'!GB69)</f>
      </c>
      <c r="R69" s="1017">
        <f>IF('[1]BASE'!GC69=0,"",'[1]BASE'!GC69)</f>
      </c>
      <c r="S69" s="1017">
        <f>IF('[1]BASE'!GD69=0,"",'[1]BASE'!GD69)</f>
        <v>2</v>
      </c>
      <c r="T69" s="1018"/>
      <c r="U69" s="1014"/>
    </row>
    <row r="70" spans="2:21" s="1008" customFormat="1" ht="19.5" customHeight="1">
      <c r="B70" s="1009"/>
      <c r="C70" s="1019">
        <f>IF('[1]BASE'!C70=0,"",'[1]BASE'!C70)</f>
        <v>53</v>
      </c>
      <c r="D70" s="1019" t="str">
        <f>IF('[1]BASE'!D70=0,"",'[1]BASE'!D70)</f>
        <v>RAMALLO - VILLA LIA  2</v>
      </c>
      <c r="E70" s="1019">
        <f>IF('[1]BASE'!E70=0,"",'[1]BASE'!E70)</f>
        <v>220</v>
      </c>
      <c r="F70" s="1020">
        <f>IF('[1]BASE'!F70=0,"",'[1]BASE'!F70)</f>
        <v>114</v>
      </c>
      <c r="G70" s="1020" t="str">
        <f>IF('[1]BASE'!G70=0,"",'[1]BASE'!G70)</f>
        <v>C</v>
      </c>
      <c r="H70" s="1017">
        <f>IF('[1]BASE'!FS70=0,"",'[1]BASE'!FS70)</f>
      </c>
      <c r="I70" s="1017">
        <f>IF('[1]BASE'!FT70=0,"",'[1]BASE'!FT70)</f>
      </c>
      <c r="J70" s="1017">
        <f>IF('[1]BASE'!FU70=0,"",'[1]BASE'!FU70)</f>
      </c>
      <c r="K70" s="1017">
        <f>IF('[1]BASE'!FV70=0,"",'[1]BASE'!FV70)</f>
      </c>
      <c r="L70" s="1017">
        <f>IF('[1]BASE'!FW70=0,"",'[1]BASE'!FW70)</f>
      </c>
      <c r="M70" s="1017">
        <f>IF('[1]BASE'!FX70=0,"",'[1]BASE'!FX70)</f>
        <v>1</v>
      </c>
      <c r="N70" s="1017">
        <f>IF('[1]BASE'!FY70=0,"",'[1]BASE'!FY70)</f>
      </c>
      <c r="O70" s="1017">
        <f>IF('[1]BASE'!FZ70=0,"",'[1]BASE'!FZ70)</f>
      </c>
      <c r="P70" s="1017">
        <f>IF('[1]BASE'!GA70=0,"",'[1]BASE'!GA70)</f>
      </c>
      <c r="Q70" s="1017">
        <f>IF('[1]BASE'!GB70=0,"",'[1]BASE'!GB70)</f>
      </c>
      <c r="R70" s="1017">
        <f>IF('[1]BASE'!GC70=0,"",'[1]BASE'!GC70)</f>
      </c>
      <c r="S70" s="1017">
        <f>IF('[1]BASE'!GD70=0,"",'[1]BASE'!GD70)</f>
      </c>
      <c r="T70" s="1018"/>
      <c r="U70" s="1014"/>
    </row>
    <row r="71" spans="2:21" s="1008" customFormat="1" ht="19.5" customHeight="1">
      <c r="B71" s="1009"/>
      <c r="C71" s="1021">
        <f>IF('[1]BASE'!C71=0,"",'[1]BASE'!C71)</f>
        <v>54</v>
      </c>
      <c r="D71" s="1021" t="str">
        <f>IF('[1]BASE'!D71=0,"",'[1]BASE'!D71)</f>
        <v>ROSARIO OESTE - RAMALLO  1</v>
      </c>
      <c r="E71" s="1021">
        <f>IF('[1]BASE'!E71=0,"",'[1]BASE'!E71)</f>
        <v>220</v>
      </c>
      <c r="F71" s="1022">
        <f>IF('[1]BASE'!F71=0,"",'[1]BASE'!F71)</f>
        <v>77</v>
      </c>
      <c r="G71" s="1022" t="str">
        <f>IF('[1]BASE'!G71=0,"",'[1]BASE'!G71)</f>
        <v>C</v>
      </c>
      <c r="H71" s="1017">
        <f>IF('[1]BASE'!FS71=0,"",'[1]BASE'!FS71)</f>
      </c>
      <c r="I71" s="1017">
        <f>IF('[1]BASE'!FT71=0,"",'[1]BASE'!FT71)</f>
      </c>
      <c r="J71" s="1017">
        <f>IF('[1]BASE'!FU71=0,"",'[1]BASE'!FU71)</f>
      </c>
      <c r="K71" s="1017">
        <f>IF('[1]BASE'!FV71=0,"",'[1]BASE'!FV71)</f>
      </c>
      <c r="L71" s="1017">
        <f>IF('[1]BASE'!FW71=0,"",'[1]BASE'!FW71)</f>
      </c>
      <c r="M71" s="1017">
        <f>IF('[1]BASE'!FX71=0,"",'[1]BASE'!FX71)</f>
      </c>
      <c r="N71" s="1017">
        <f>IF('[1]BASE'!FY71=0,"",'[1]BASE'!FY71)</f>
      </c>
      <c r="O71" s="1017">
        <f>IF('[1]BASE'!FZ71=0,"",'[1]BASE'!FZ71)</f>
      </c>
      <c r="P71" s="1017">
        <f>IF('[1]BASE'!GA71=0,"",'[1]BASE'!GA71)</f>
      </c>
      <c r="Q71" s="1017">
        <f>IF('[1]BASE'!GB71=0,"",'[1]BASE'!GB71)</f>
      </c>
      <c r="R71" s="1017">
        <f>IF('[1]BASE'!GC71=0,"",'[1]BASE'!GC71)</f>
      </c>
      <c r="S71" s="1017">
        <f>IF('[1]BASE'!GD71=0,"",'[1]BASE'!GD71)</f>
      </c>
      <c r="T71" s="1018"/>
      <c r="U71" s="1014"/>
    </row>
    <row r="72" spans="2:21" s="1008" customFormat="1" ht="19.5" customHeight="1">
      <c r="B72" s="1009"/>
      <c r="C72" s="1019">
        <f>IF('[1]BASE'!C72=0,"",'[1]BASE'!C72)</f>
        <v>55</v>
      </c>
      <c r="D72" s="1019" t="str">
        <f>IF('[1]BASE'!D72=0,"",'[1]BASE'!D72)</f>
        <v>ROSARIO OESTE - RAMALLO  2</v>
      </c>
      <c r="E72" s="1019">
        <f>IF('[1]BASE'!E72=0,"",'[1]BASE'!E72)</f>
        <v>220</v>
      </c>
      <c r="F72" s="1020">
        <f>IF('[1]BASE'!F72=0,"",'[1]BASE'!F72)</f>
        <v>77</v>
      </c>
      <c r="G72" s="1020" t="str">
        <f>IF('[1]BASE'!G72=0,"",'[1]BASE'!G72)</f>
        <v>C</v>
      </c>
      <c r="H72" s="1017">
        <f>IF('[1]BASE'!FS72=0,"",'[1]BASE'!FS72)</f>
      </c>
      <c r="I72" s="1017">
        <f>IF('[1]BASE'!FT72=0,"",'[1]BASE'!FT72)</f>
      </c>
      <c r="J72" s="1017">
        <f>IF('[1]BASE'!FU72=0,"",'[1]BASE'!FU72)</f>
      </c>
      <c r="K72" s="1017">
        <f>IF('[1]BASE'!FV72=0,"",'[1]BASE'!FV72)</f>
      </c>
      <c r="L72" s="1017">
        <f>IF('[1]BASE'!FW72=0,"",'[1]BASE'!FW72)</f>
      </c>
      <c r="M72" s="1017">
        <f>IF('[1]BASE'!FX72=0,"",'[1]BASE'!FX72)</f>
      </c>
      <c r="N72" s="1017">
        <f>IF('[1]BASE'!FY72=0,"",'[1]BASE'!FY72)</f>
      </c>
      <c r="O72" s="1017">
        <f>IF('[1]BASE'!FZ72=0,"",'[1]BASE'!FZ72)</f>
      </c>
      <c r="P72" s="1017">
        <f>IF('[1]BASE'!GA72=0,"",'[1]BASE'!GA72)</f>
      </c>
      <c r="Q72" s="1017">
        <f>IF('[1]BASE'!GB72=0,"",'[1]BASE'!GB72)</f>
      </c>
      <c r="R72" s="1017">
        <f>IF('[1]BASE'!GC72=0,"",'[1]BASE'!GC72)</f>
      </c>
      <c r="S72" s="1017">
        <f>IF('[1]BASE'!GD72=0,"",'[1]BASE'!GD72)</f>
      </c>
      <c r="T72" s="1018"/>
      <c r="U72" s="1014"/>
    </row>
    <row r="73" spans="2:21" s="1008" customFormat="1" ht="19.5" customHeight="1">
      <c r="B73" s="1009"/>
      <c r="C73" s="1021">
        <f>IF('[1]BASE'!C73=0,"",'[1]BASE'!C73)</f>
        <v>56</v>
      </c>
      <c r="D73" s="1021" t="str">
        <f>IF('[1]BASE'!D73=0,"",'[1]BASE'!D73)</f>
        <v>VILLA LIA - ATUCHA 1</v>
      </c>
      <c r="E73" s="1021">
        <f>IF('[1]BASE'!E73=0,"",'[1]BASE'!E73)</f>
        <v>220</v>
      </c>
      <c r="F73" s="1021">
        <f>IF('[1]BASE'!F73=0,"",'[1]BASE'!F73)</f>
        <v>26</v>
      </c>
      <c r="G73" s="1022" t="str">
        <f>IF('[1]BASE'!G73=0,"",'[1]BASE'!G73)</f>
        <v>C</v>
      </c>
      <c r="H73" s="1017">
        <f>IF('[1]BASE'!FS73=0,"",'[1]BASE'!FS73)</f>
      </c>
      <c r="I73" s="1017">
        <f>IF('[1]BASE'!FT73=0,"",'[1]BASE'!FT73)</f>
      </c>
      <c r="J73" s="1017">
        <f>IF('[1]BASE'!FU73=0,"",'[1]BASE'!FU73)</f>
      </c>
      <c r="K73" s="1017">
        <f>IF('[1]BASE'!FV73=0,"",'[1]BASE'!FV73)</f>
      </c>
      <c r="L73" s="1017">
        <f>IF('[1]BASE'!FW73=0,"",'[1]BASE'!FW73)</f>
      </c>
      <c r="M73" s="1017">
        <f>IF('[1]BASE'!FX73=0,"",'[1]BASE'!FX73)</f>
        <v>2</v>
      </c>
      <c r="N73" s="1017">
        <f>IF('[1]BASE'!FY73=0,"",'[1]BASE'!FY73)</f>
      </c>
      <c r="O73" s="1017">
        <f>IF('[1]BASE'!FZ73=0,"",'[1]BASE'!FZ73)</f>
      </c>
      <c r="P73" s="1017">
        <f>IF('[1]BASE'!GA73=0,"",'[1]BASE'!GA73)</f>
      </c>
      <c r="Q73" s="1017">
        <f>IF('[1]BASE'!GB73=0,"",'[1]BASE'!GB73)</f>
      </c>
      <c r="R73" s="1017">
        <f>IF('[1]BASE'!GC73=0,"",'[1]BASE'!GC73)</f>
      </c>
      <c r="S73" s="1017">
        <f>IF('[1]BASE'!GD73=0,"",'[1]BASE'!GD73)</f>
        <v>1</v>
      </c>
      <c r="T73" s="1018"/>
      <c r="U73" s="1014"/>
    </row>
    <row r="74" spans="2:21" s="1008" customFormat="1" ht="19.5" customHeight="1">
      <c r="B74" s="1009"/>
      <c r="C74" s="1019">
        <f>IF('[1]BASE'!C74=0,"",'[1]BASE'!C74)</f>
        <v>57</v>
      </c>
      <c r="D74" s="1019" t="str">
        <f>IF('[1]BASE'!D74=0,"",'[1]BASE'!D74)</f>
        <v>VILLA LIA - ATUCHA 2</v>
      </c>
      <c r="E74" s="1019">
        <f>IF('[1]BASE'!E74=0,"",'[1]BASE'!E74)</f>
        <v>220</v>
      </c>
      <c r="F74" s="1019">
        <f>IF('[1]BASE'!F74=0,"",'[1]BASE'!F74)</f>
        <v>26</v>
      </c>
      <c r="G74" s="1020" t="str">
        <f>IF('[1]BASE'!G74=0,"",'[1]BASE'!G74)</f>
        <v>C</v>
      </c>
      <c r="H74" s="1017">
        <f>IF('[1]BASE'!FS74=0,"",'[1]BASE'!FS74)</f>
      </c>
      <c r="I74" s="1017">
        <f>IF('[1]BASE'!FT74=0,"",'[1]BASE'!FT74)</f>
      </c>
      <c r="J74" s="1017">
        <f>IF('[1]BASE'!FU74=0,"",'[1]BASE'!FU74)</f>
      </c>
      <c r="K74" s="1017">
        <f>IF('[1]BASE'!FV74=0,"",'[1]BASE'!FV74)</f>
      </c>
      <c r="L74" s="1017">
        <f>IF('[1]BASE'!FW74=0,"",'[1]BASE'!FW74)</f>
      </c>
      <c r="M74" s="1017">
        <f>IF('[1]BASE'!FX74=0,"",'[1]BASE'!FX74)</f>
        <v>1</v>
      </c>
      <c r="N74" s="1017">
        <f>IF('[1]BASE'!FY74=0,"",'[1]BASE'!FY74)</f>
      </c>
      <c r="O74" s="1017">
        <f>IF('[1]BASE'!FZ74=0,"",'[1]BASE'!FZ74)</f>
      </c>
      <c r="P74" s="1017">
        <f>IF('[1]BASE'!GA74=0,"",'[1]BASE'!GA74)</f>
      </c>
      <c r="Q74" s="1017">
        <f>IF('[1]BASE'!GB74=0,"",'[1]BASE'!GB74)</f>
      </c>
      <c r="R74" s="1017">
        <f>IF('[1]BASE'!GC74=0,"",'[1]BASE'!GC74)</f>
      </c>
      <c r="S74" s="1017">
        <f>IF('[1]BASE'!GD74=0,"",'[1]BASE'!GD74)</f>
      </c>
      <c r="T74" s="1018"/>
      <c r="U74" s="1014"/>
    </row>
    <row r="75" spans="2:21" s="1008" customFormat="1" ht="9.75" customHeight="1">
      <c r="B75" s="1009"/>
      <c r="C75" s="1021">
        <f>IF('[1]BASE'!C75=0,"",'[1]BASE'!C75)</f>
      </c>
      <c r="D75" s="1021">
        <f>IF('[1]BASE'!D75=0,"",'[1]BASE'!D75)</f>
      </c>
      <c r="E75" s="1021">
        <f>IF('[1]BASE'!E75=0,"",'[1]BASE'!E75)</f>
      </c>
      <c r="F75" s="1021">
        <f>IF('[1]BASE'!F75=0,"",'[1]BASE'!F75)</f>
      </c>
      <c r="G75" s="1022">
        <f>IF('[1]BASE'!G75=0,"",'[1]BASE'!G75)</f>
      </c>
      <c r="H75" s="1017">
        <f>IF('[1]BASE'!FS75=0,"",'[1]BASE'!FS75)</f>
      </c>
      <c r="I75" s="1017">
        <f>IF('[1]BASE'!FT75=0,"",'[1]BASE'!FT75)</f>
      </c>
      <c r="J75" s="1017">
        <f>IF('[1]BASE'!FU75=0,"",'[1]BASE'!FU75)</f>
      </c>
      <c r="K75" s="1017">
        <f>IF('[1]BASE'!FV75=0,"",'[1]BASE'!FV75)</f>
      </c>
      <c r="L75" s="1017">
        <f>IF('[1]BASE'!FW75=0,"",'[1]BASE'!FW75)</f>
      </c>
      <c r="M75" s="1017">
        <f>IF('[1]BASE'!FX75=0,"",'[1]BASE'!FX75)</f>
      </c>
      <c r="N75" s="1017">
        <f>IF('[1]BASE'!FY75=0,"",'[1]BASE'!FY75)</f>
      </c>
      <c r="O75" s="1017">
        <f>IF('[1]BASE'!FZ75=0,"",'[1]BASE'!FZ75)</f>
      </c>
      <c r="P75" s="1017">
        <f>IF('[1]BASE'!GA75=0,"",'[1]BASE'!GA75)</f>
      </c>
      <c r="Q75" s="1017">
        <f>IF('[1]BASE'!GB75=0,"",'[1]BASE'!GB75)</f>
      </c>
      <c r="R75" s="1017">
        <f>IF('[1]BASE'!GC75=0,"",'[1]BASE'!GC75)</f>
      </c>
      <c r="S75" s="1017">
        <f>IF('[1]BASE'!GD75=0,"",'[1]BASE'!GD75)</f>
      </c>
      <c r="T75" s="1018"/>
      <c r="U75" s="1014"/>
    </row>
    <row r="76" spans="2:21" s="1008" customFormat="1" ht="19.5" customHeight="1">
      <c r="B76" s="1009"/>
      <c r="C76" s="1019">
        <f>IF('[1]BASE'!C76=0,"",'[1]BASE'!C76)</f>
        <v>58</v>
      </c>
      <c r="D76" s="1019" t="str">
        <f>IF('[1]BASE'!D76=0,"",'[1]BASE'!D76)</f>
        <v>GRAL RODRIGUEZ - RAMALLO</v>
      </c>
      <c r="E76" s="1019">
        <f>IF('[1]BASE'!E76=0,"",'[1]BASE'!E76)</f>
        <v>500</v>
      </c>
      <c r="F76" s="1020">
        <f>IF('[1]BASE'!F76=0,"",'[1]BASE'!F76)</f>
        <v>183.9</v>
      </c>
      <c r="G76" s="1020" t="str">
        <f>IF('[1]BASE'!G76=0,"",'[1]BASE'!G76)</f>
        <v>C</v>
      </c>
      <c r="H76" s="1017">
        <f>IF('[1]BASE'!FS76=0,"",'[1]BASE'!FS76)</f>
      </c>
      <c r="I76" s="1017">
        <f>IF('[1]BASE'!FT76=0,"",'[1]BASE'!FT76)</f>
      </c>
      <c r="J76" s="1017">
        <f>IF('[1]BASE'!FU76=0,"",'[1]BASE'!FU76)</f>
      </c>
      <c r="K76" s="1017">
        <f>IF('[1]BASE'!FV76=0,"",'[1]BASE'!FV76)</f>
      </c>
      <c r="L76" s="1017">
        <f>IF('[1]BASE'!FW76=0,"",'[1]BASE'!FW76)</f>
      </c>
      <c r="M76" s="1017">
        <f>IF('[1]BASE'!FX76=0,"",'[1]BASE'!FX76)</f>
      </c>
      <c r="N76" s="1017">
        <f>IF('[1]BASE'!FY76=0,"",'[1]BASE'!FY76)</f>
      </c>
      <c r="O76" s="1017">
        <f>IF('[1]BASE'!FZ76=0,"",'[1]BASE'!FZ76)</f>
      </c>
      <c r="P76" s="1017">
        <f>IF('[1]BASE'!GA76=0,"",'[1]BASE'!GA76)</f>
      </c>
      <c r="Q76" s="1017">
        <f>IF('[1]BASE'!GB76=0,"",'[1]BASE'!GB76)</f>
      </c>
      <c r="R76" s="1017">
        <f>IF('[1]BASE'!GC76=0,"",'[1]BASE'!GC76)</f>
        <v>1</v>
      </c>
      <c r="S76" s="1017">
        <f>IF('[1]BASE'!GD76=0,"",'[1]BASE'!GD76)</f>
      </c>
      <c r="T76" s="1018"/>
      <c r="U76" s="1014"/>
    </row>
    <row r="77" spans="2:21" s="1008" customFormat="1" ht="19.5" customHeight="1">
      <c r="B77" s="1009"/>
      <c r="C77" s="1021">
        <f>IF('[1]BASE'!C77=0,"",'[1]BASE'!C77)</f>
        <v>59</v>
      </c>
      <c r="D77" s="1021" t="str">
        <f>IF('[1]BASE'!D77=0,"",'[1]BASE'!D77)</f>
        <v>RAMALLO - ROSARIO OESTE</v>
      </c>
      <c r="E77" s="1021">
        <f>IF('[1]BASE'!E77=0,"",'[1]BASE'!E77)</f>
        <v>500</v>
      </c>
      <c r="F77" s="1022">
        <f>IF('[1]BASE'!F77=0,"",'[1]BASE'!F77)</f>
        <v>77</v>
      </c>
      <c r="G77" s="1022" t="str">
        <f>IF('[1]BASE'!G77=0,"",'[1]BASE'!G77)</f>
        <v>C</v>
      </c>
      <c r="H77" s="1017">
        <f>IF('[1]BASE'!FS77=0,"",'[1]BASE'!FS77)</f>
      </c>
      <c r="I77" s="1017">
        <f>IF('[1]BASE'!FT77=0,"",'[1]BASE'!FT77)</f>
      </c>
      <c r="J77" s="1017">
        <f>IF('[1]BASE'!FU77=0,"",'[1]BASE'!FU77)</f>
      </c>
      <c r="K77" s="1017">
        <f>IF('[1]BASE'!FV77=0,"",'[1]BASE'!FV77)</f>
      </c>
      <c r="L77" s="1017">
        <f>IF('[1]BASE'!FW77=0,"",'[1]BASE'!FW77)</f>
      </c>
      <c r="M77" s="1017">
        <f>IF('[1]BASE'!FX77=0,"",'[1]BASE'!FX77)</f>
      </c>
      <c r="N77" s="1017">
        <f>IF('[1]BASE'!FY77=0,"",'[1]BASE'!FY77)</f>
      </c>
      <c r="O77" s="1017">
        <f>IF('[1]BASE'!FZ77=0,"",'[1]BASE'!FZ77)</f>
      </c>
      <c r="P77" s="1017">
        <f>IF('[1]BASE'!GA77=0,"",'[1]BASE'!GA77)</f>
      </c>
      <c r="Q77" s="1017">
        <f>IF('[1]BASE'!GB77=0,"",'[1]BASE'!GB77)</f>
      </c>
      <c r="R77" s="1017">
        <f>IF('[1]BASE'!GC77=0,"",'[1]BASE'!GC77)</f>
      </c>
      <c r="S77" s="1017">
        <f>IF('[1]BASE'!GD77=0,"",'[1]BASE'!GD77)</f>
      </c>
      <c r="T77" s="1018"/>
      <c r="U77" s="1014"/>
    </row>
    <row r="78" spans="2:21" s="1008" customFormat="1" ht="19.5" customHeight="1">
      <c r="B78" s="1009"/>
      <c r="C78" s="1019">
        <f>IF('[1]BASE'!C78=0,"",'[1]BASE'!C78)</f>
        <v>60</v>
      </c>
      <c r="D78" s="1019" t="str">
        <f>IF('[1]BASE'!D78=0,"",'[1]BASE'!D78)</f>
        <v>MACACHIN - HENDERSON</v>
      </c>
      <c r="E78" s="1019">
        <f>IF('[1]BASE'!E78=0,"",'[1]BASE'!E78)</f>
        <v>500</v>
      </c>
      <c r="F78" s="1020">
        <f>IF('[1]BASE'!F78=0,"",'[1]BASE'!F78)</f>
        <v>194</v>
      </c>
      <c r="G78" s="1020" t="str">
        <f>IF('[1]BASE'!G78=0,"",'[1]BASE'!G78)</f>
        <v>A</v>
      </c>
      <c r="H78" s="1017">
        <f>IF('[1]BASE'!FS78=0,"",'[1]BASE'!FS78)</f>
      </c>
      <c r="I78" s="1017">
        <f>IF('[1]BASE'!FT78=0,"",'[1]BASE'!FT78)</f>
      </c>
      <c r="J78" s="1017">
        <f>IF('[1]BASE'!FU78=0,"",'[1]BASE'!FU78)</f>
      </c>
      <c r="K78" s="1017">
        <f>IF('[1]BASE'!FV78=0,"",'[1]BASE'!FV78)</f>
      </c>
      <c r="L78" s="1017">
        <f>IF('[1]BASE'!FW78=0,"",'[1]BASE'!FW78)</f>
      </c>
      <c r="M78" s="1017">
        <f>IF('[1]BASE'!FX78=0,"",'[1]BASE'!FX78)</f>
      </c>
      <c r="N78" s="1017">
        <f>IF('[1]BASE'!FY78=0,"",'[1]BASE'!FY78)</f>
      </c>
      <c r="O78" s="1017">
        <f>IF('[1]BASE'!FZ78=0,"",'[1]BASE'!FZ78)</f>
      </c>
      <c r="P78" s="1017">
        <f>IF('[1]BASE'!GA78=0,"",'[1]BASE'!GA78)</f>
      </c>
      <c r="Q78" s="1017">
        <f>IF('[1]BASE'!GB78=0,"",'[1]BASE'!GB78)</f>
      </c>
      <c r="R78" s="1017">
        <f>IF('[1]BASE'!GC78=0,"",'[1]BASE'!GC78)</f>
      </c>
      <c r="S78" s="1017">
        <f>IF('[1]BASE'!GD78=0,"",'[1]BASE'!GD78)</f>
      </c>
      <c r="T78" s="1018"/>
      <c r="U78" s="1014"/>
    </row>
    <row r="79" spans="2:21" s="1008" customFormat="1" ht="19.5" customHeight="1">
      <c r="B79" s="1009"/>
      <c r="C79" s="1021">
        <f>IF('[1]BASE'!C79=0,"",'[1]BASE'!C79)</f>
        <v>61</v>
      </c>
      <c r="D79" s="1021" t="str">
        <f>IF('[1]BASE'!D79=0,"",'[1]BASE'!D79)</f>
        <v>PUELCHES - MACACHIN</v>
      </c>
      <c r="E79" s="1021">
        <f>IF('[1]BASE'!E79=0,"",'[1]BASE'!E79)</f>
        <v>500</v>
      </c>
      <c r="F79" s="1021">
        <f>IF('[1]BASE'!F79=0,"",'[1]BASE'!F79)</f>
        <v>227</v>
      </c>
      <c r="G79" s="1022" t="str">
        <f>IF('[1]BASE'!G79=0,"",'[1]BASE'!G79)</f>
        <v>A</v>
      </c>
      <c r="H79" s="1017">
        <f>IF('[1]BASE'!FS79=0,"",'[1]BASE'!FS79)</f>
      </c>
      <c r="I79" s="1017">
        <f>IF('[1]BASE'!FT79=0,"",'[1]BASE'!FT79)</f>
      </c>
      <c r="J79" s="1017">
        <f>IF('[1]BASE'!FU79=0,"",'[1]BASE'!FU79)</f>
      </c>
      <c r="K79" s="1017">
        <f>IF('[1]BASE'!FV79=0,"",'[1]BASE'!FV79)</f>
      </c>
      <c r="L79" s="1017">
        <f>IF('[1]BASE'!FW79=0,"",'[1]BASE'!FW79)</f>
      </c>
      <c r="M79" s="1017">
        <f>IF('[1]BASE'!FX79=0,"",'[1]BASE'!FX79)</f>
      </c>
      <c r="N79" s="1017">
        <f>IF('[1]BASE'!FY79=0,"",'[1]BASE'!FY79)</f>
      </c>
      <c r="O79" s="1017">
        <f>IF('[1]BASE'!FZ79=0,"",'[1]BASE'!FZ79)</f>
      </c>
      <c r="P79" s="1017">
        <f>IF('[1]BASE'!GA79=0,"",'[1]BASE'!GA79)</f>
      </c>
      <c r="Q79" s="1017">
        <f>IF('[1]BASE'!GB79=0,"",'[1]BASE'!GB79)</f>
      </c>
      <c r="R79" s="1017">
        <f>IF('[1]BASE'!GC79=0,"",'[1]BASE'!GC79)</f>
        <v>1</v>
      </c>
      <c r="S79" s="1017">
        <f>IF('[1]BASE'!GD79=0,"",'[1]BASE'!GD79)</f>
      </c>
      <c r="T79" s="1018"/>
      <c r="U79" s="1014"/>
    </row>
    <row r="80" spans="2:21" s="1008" customFormat="1" ht="9.75" customHeight="1">
      <c r="B80" s="1009"/>
      <c r="C80" s="1019">
        <f>IF('[1]BASE'!C80=0,"",'[1]BASE'!C80)</f>
      </c>
      <c r="D80" s="1019">
        <f>IF('[1]BASE'!D80=0,"",'[1]BASE'!D80)</f>
      </c>
      <c r="E80" s="1019">
        <f>IF('[1]BASE'!E80=0,"",'[1]BASE'!E80)</f>
      </c>
      <c r="F80" s="1020">
        <f>IF('[1]BASE'!F80=0,"",'[1]BASE'!F80)</f>
      </c>
      <c r="G80" s="1020">
        <f>IF('[1]BASE'!G80=0,"",'[1]BASE'!G80)</f>
      </c>
      <c r="H80" s="1017">
        <f>IF('[1]BASE'!FS80=0,"",'[1]BASE'!FS80)</f>
      </c>
      <c r="I80" s="1017">
        <f>IF('[1]BASE'!FT80=0,"",'[1]BASE'!FT80)</f>
      </c>
      <c r="J80" s="1017">
        <f>IF('[1]BASE'!FU80=0,"",'[1]BASE'!FU80)</f>
      </c>
      <c r="K80" s="1017">
        <f>IF('[1]BASE'!FV80=0,"",'[1]BASE'!FV80)</f>
      </c>
      <c r="L80" s="1017">
        <f>IF('[1]BASE'!FW80=0,"",'[1]BASE'!FW80)</f>
      </c>
      <c r="M80" s="1017">
        <f>IF('[1]BASE'!FX80=0,"",'[1]BASE'!FX80)</f>
      </c>
      <c r="N80" s="1017">
        <f>IF('[1]BASE'!FY80=0,"",'[1]BASE'!FY80)</f>
      </c>
      <c r="O80" s="1017">
        <f>IF('[1]BASE'!FZ80=0,"",'[1]BASE'!FZ80)</f>
      </c>
      <c r="P80" s="1017">
        <f>IF('[1]BASE'!GA80=0,"",'[1]BASE'!GA80)</f>
      </c>
      <c r="Q80" s="1017">
        <f>IF('[1]BASE'!GB80=0,"",'[1]BASE'!GB80)</f>
      </c>
      <c r="R80" s="1017">
        <f>IF('[1]BASE'!GC80=0,"",'[1]BASE'!GC80)</f>
      </c>
      <c r="S80" s="1017">
        <f>IF('[1]BASE'!GD80=0,"",'[1]BASE'!GD80)</f>
      </c>
      <c r="T80" s="1018"/>
      <c r="U80" s="1014"/>
    </row>
    <row r="81" spans="2:21" s="1008" customFormat="1" ht="9.75" customHeight="1">
      <c r="B81" s="1009"/>
      <c r="C81" s="1021">
        <f>IF('[1]BASE'!C81=0,"",'[1]BASE'!C81)</f>
      </c>
      <c r="D81" s="1021">
        <f>IF('[1]BASE'!D81=0,"",'[1]BASE'!D81)</f>
      </c>
      <c r="E81" s="1021">
        <f>IF('[1]BASE'!E81=0,"",'[1]BASE'!E81)</f>
      </c>
      <c r="F81" s="1022">
        <f>IF('[1]BASE'!F81=0,"",'[1]BASE'!F81)</f>
      </c>
      <c r="G81" s="1022">
        <f>IF('[1]BASE'!G81=0,"",'[1]BASE'!G81)</f>
      </c>
      <c r="H81" s="1017">
        <f>IF('[1]BASE'!FS81=0,"",'[1]BASE'!FS81)</f>
      </c>
      <c r="I81" s="1017">
        <f>IF('[1]BASE'!FT81=0,"",'[1]BASE'!FT81)</f>
      </c>
      <c r="J81" s="1017">
        <f>IF('[1]BASE'!FU81=0,"",'[1]BASE'!FU81)</f>
      </c>
      <c r="K81" s="1017">
        <f>IF('[1]BASE'!FV81=0,"",'[1]BASE'!FV81)</f>
      </c>
      <c r="L81" s="1017">
        <f>IF('[1]BASE'!FW81=0,"",'[1]BASE'!FW81)</f>
      </c>
      <c r="M81" s="1017">
        <f>IF('[1]BASE'!FX81=0,"",'[1]BASE'!FX81)</f>
      </c>
      <c r="N81" s="1017">
        <f>IF('[1]BASE'!FY81=0,"",'[1]BASE'!FY81)</f>
      </c>
      <c r="O81" s="1017">
        <f>IF('[1]BASE'!FZ81=0,"",'[1]BASE'!FZ81)</f>
      </c>
      <c r="P81" s="1017">
        <f>IF('[1]BASE'!GA81=0,"",'[1]BASE'!GA81)</f>
      </c>
      <c r="Q81" s="1017">
        <f>IF('[1]BASE'!GB81=0,"",'[1]BASE'!GB81)</f>
      </c>
      <c r="R81" s="1017">
        <f>IF('[1]BASE'!GC81=0,"",'[1]BASE'!GC81)</f>
      </c>
      <c r="S81" s="1017">
        <f>IF('[1]BASE'!GD81=0,"",'[1]BASE'!GD81)</f>
      </c>
      <c r="T81" s="1018"/>
      <c r="U81" s="1014"/>
    </row>
    <row r="82" spans="2:21" s="1008" customFormat="1" ht="19.5" customHeight="1">
      <c r="B82" s="1009"/>
      <c r="C82" s="1019">
        <f>IF('[1]BASE'!C82=0,"",'[1]BASE'!C82)</f>
        <v>62</v>
      </c>
      <c r="D82" s="1019" t="str">
        <f>IF('[1]BASE'!D82=0,"",'[1]BASE'!D82)</f>
        <v>YACYRETÁ - RINCON I</v>
      </c>
      <c r="E82" s="1019">
        <f>IF('[1]BASE'!E82=0,"",'[1]BASE'!E82)</f>
        <v>500</v>
      </c>
      <c r="F82" s="1020">
        <f>IF('[1]BASE'!F82=0,"",'[1]BASE'!F82)</f>
        <v>3.6</v>
      </c>
      <c r="G82" s="1020" t="str">
        <f>IF('[1]BASE'!G82=0,"",'[1]BASE'!G82)</f>
        <v>B</v>
      </c>
      <c r="H82" s="1017">
        <f>IF('[1]BASE'!FS82=0,"",'[1]BASE'!FS82)</f>
      </c>
      <c r="I82" s="1017">
        <f>IF('[1]BASE'!FT82=0,"",'[1]BASE'!FT82)</f>
      </c>
      <c r="J82" s="1017">
        <f>IF('[1]BASE'!FU82=0,"",'[1]BASE'!FU82)</f>
      </c>
      <c r="K82" s="1017">
        <f>IF('[1]BASE'!FV82=0,"",'[1]BASE'!FV82)</f>
      </c>
      <c r="L82" s="1017">
        <f>IF('[1]BASE'!FW82=0,"",'[1]BASE'!FW82)</f>
      </c>
      <c r="M82" s="1017">
        <f>IF('[1]BASE'!FX82=0,"",'[1]BASE'!FX82)</f>
      </c>
      <c r="N82" s="1017">
        <f>IF('[1]BASE'!FY82=0,"",'[1]BASE'!FY82)</f>
      </c>
      <c r="O82" s="1017">
        <f>IF('[1]BASE'!FZ82=0,"",'[1]BASE'!FZ82)</f>
      </c>
      <c r="P82" s="1017">
        <f>IF('[1]BASE'!GA82=0,"",'[1]BASE'!GA82)</f>
      </c>
      <c r="Q82" s="1017">
        <f>IF('[1]BASE'!GB82=0,"",'[1]BASE'!GB82)</f>
      </c>
      <c r="R82" s="1017">
        <f>IF('[1]BASE'!GC82=0,"",'[1]BASE'!GC82)</f>
      </c>
      <c r="S82" s="1017">
        <f>IF('[1]BASE'!GD82=0,"",'[1]BASE'!GD82)</f>
      </c>
      <c r="T82" s="1018"/>
      <c r="U82" s="1014"/>
    </row>
    <row r="83" spans="2:21" s="1008" customFormat="1" ht="19.5" customHeight="1">
      <c r="B83" s="1009"/>
      <c r="C83" s="1021">
        <f>IF('[1]BASE'!C83=0,"",'[1]BASE'!C83)</f>
        <v>63</v>
      </c>
      <c r="D83" s="1021" t="str">
        <f>IF('[1]BASE'!D83=0,"",'[1]BASE'!D83)</f>
        <v>YACYRETÁ - RINCON II</v>
      </c>
      <c r="E83" s="1021">
        <f>IF('[1]BASE'!E83=0,"",'[1]BASE'!E83)</f>
        <v>500</v>
      </c>
      <c r="F83" s="1021">
        <f>IF('[1]BASE'!F83=0,"",'[1]BASE'!F83)</f>
        <v>3.6</v>
      </c>
      <c r="G83" s="1022" t="str">
        <f>IF('[1]BASE'!G83=0,"",'[1]BASE'!G83)</f>
        <v>B</v>
      </c>
      <c r="H83" s="1017">
        <f>IF('[1]BASE'!FS83=0,"",'[1]BASE'!FS83)</f>
      </c>
      <c r="I83" s="1017">
        <f>IF('[1]BASE'!FT83=0,"",'[1]BASE'!FT83)</f>
      </c>
      <c r="J83" s="1017">
        <f>IF('[1]BASE'!FU83=0,"",'[1]BASE'!FU83)</f>
      </c>
      <c r="K83" s="1017">
        <f>IF('[1]BASE'!FV83=0,"",'[1]BASE'!FV83)</f>
      </c>
      <c r="L83" s="1017">
        <f>IF('[1]BASE'!FW83=0,"",'[1]BASE'!FW83)</f>
      </c>
      <c r="M83" s="1017">
        <f>IF('[1]BASE'!FX83=0,"",'[1]BASE'!FX83)</f>
      </c>
      <c r="N83" s="1017">
        <f>IF('[1]BASE'!FY83=0,"",'[1]BASE'!FY83)</f>
      </c>
      <c r="O83" s="1017">
        <f>IF('[1]BASE'!FZ83=0,"",'[1]BASE'!FZ83)</f>
      </c>
      <c r="P83" s="1017">
        <f>IF('[1]BASE'!GA83=0,"",'[1]BASE'!GA83)</f>
      </c>
      <c r="Q83" s="1017">
        <f>IF('[1]BASE'!GB83=0,"",'[1]BASE'!GB83)</f>
      </c>
      <c r="R83" s="1017">
        <f>IF('[1]BASE'!GC83=0,"",'[1]BASE'!GC83)</f>
      </c>
      <c r="S83" s="1017">
        <f>IF('[1]BASE'!GD83=0,"",'[1]BASE'!GD83)</f>
      </c>
      <c r="T83" s="1018"/>
      <c r="U83" s="1014"/>
    </row>
    <row r="84" spans="2:21" s="1008" customFormat="1" ht="19.5" customHeight="1">
      <c r="B84" s="1009"/>
      <c r="C84" s="1019">
        <f>IF('[1]BASE'!C84=0,"",'[1]BASE'!C84)</f>
        <v>64</v>
      </c>
      <c r="D84" s="1019" t="str">
        <f>IF('[1]BASE'!D84=0,"",'[1]BASE'!D84)</f>
        <v>YACYRETÁ - RINCON III</v>
      </c>
      <c r="E84" s="1019">
        <f>IF('[1]BASE'!E84=0,"",'[1]BASE'!E84)</f>
        <v>500</v>
      </c>
      <c r="F84" s="1020">
        <f>IF('[1]BASE'!F84=0,"",'[1]BASE'!F84)</f>
        <v>3.6</v>
      </c>
      <c r="G84" s="1020" t="str">
        <f>IF('[1]BASE'!G84=0,"",'[1]BASE'!G84)</f>
        <v>B</v>
      </c>
      <c r="H84" s="1017">
        <f>IF('[1]BASE'!FS84=0,"",'[1]BASE'!FS84)</f>
      </c>
      <c r="I84" s="1017">
        <f>IF('[1]BASE'!FT84=0,"",'[1]BASE'!FT84)</f>
      </c>
      <c r="J84" s="1017">
        <f>IF('[1]BASE'!FU84=0,"",'[1]BASE'!FU84)</f>
      </c>
      <c r="K84" s="1017">
        <f>IF('[1]BASE'!FV84=0,"",'[1]BASE'!FV84)</f>
      </c>
      <c r="L84" s="1017">
        <f>IF('[1]BASE'!FW84=0,"",'[1]BASE'!FW84)</f>
      </c>
      <c r="M84" s="1017">
        <f>IF('[1]BASE'!FX84=0,"",'[1]BASE'!FX84)</f>
      </c>
      <c r="N84" s="1017">
        <f>IF('[1]BASE'!FY84=0,"",'[1]BASE'!FY84)</f>
      </c>
      <c r="O84" s="1017">
        <f>IF('[1]BASE'!FZ84=0,"",'[1]BASE'!FZ84)</f>
      </c>
      <c r="P84" s="1017">
        <f>IF('[1]BASE'!GA84=0,"",'[1]BASE'!GA84)</f>
      </c>
      <c r="Q84" s="1017">
        <f>IF('[1]BASE'!GB84=0,"",'[1]BASE'!GB84)</f>
      </c>
      <c r="R84" s="1017">
        <f>IF('[1]BASE'!GC84=0,"",'[1]BASE'!GC84)</f>
      </c>
      <c r="S84" s="1017">
        <f>IF('[1]BASE'!GD84=0,"",'[1]BASE'!GD84)</f>
      </c>
      <c r="T84" s="1018"/>
      <c r="U84" s="1014"/>
    </row>
    <row r="85" spans="2:21" s="1008" customFormat="1" ht="19.5" customHeight="1">
      <c r="B85" s="1009"/>
      <c r="C85" s="1021">
        <f>IF('[1]BASE'!C85=0,"",'[1]BASE'!C85)</f>
        <v>65</v>
      </c>
      <c r="D85" s="1021" t="str">
        <f>IF('[1]BASE'!D85=0,"",'[1]BASE'!D85)</f>
        <v>RINCON - PASO DE LA PATRIA</v>
      </c>
      <c r="E85" s="1021">
        <f>IF('[1]BASE'!E85=0,"",'[1]BASE'!E85)</f>
        <v>500</v>
      </c>
      <c r="F85" s="1022">
        <f>IF('[1]BASE'!F85=0,"",'[1]BASE'!F85)</f>
        <v>227</v>
      </c>
      <c r="G85" s="1022" t="str">
        <f>IF('[1]BASE'!G85=0,"",'[1]BASE'!G85)</f>
        <v>A</v>
      </c>
      <c r="H85" s="1017">
        <f>IF('[1]BASE'!FS85=0,"",'[1]BASE'!FS85)</f>
      </c>
      <c r="I85" s="1017">
        <f>IF('[1]BASE'!FT85=0,"",'[1]BASE'!FT85)</f>
      </c>
      <c r="J85" s="1017">
        <f>IF('[1]BASE'!FU85=0,"",'[1]BASE'!FU85)</f>
      </c>
      <c r="K85" s="1017">
        <f>IF('[1]BASE'!FV85=0,"",'[1]BASE'!FV85)</f>
      </c>
      <c r="L85" s="1017">
        <f>IF('[1]BASE'!FW85=0,"",'[1]BASE'!FW85)</f>
      </c>
      <c r="M85" s="1017">
        <f>IF('[1]BASE'!FX85=0,"",'[1]BASE'!FX85)</f>
      </c>
      <c r="N85" s="1017">
        <f>IF('[1]BASE'!FY85=0,"",'[1]BASE'!FY85)</f>
      </c>
      <c r="O85" s="1017">
        <f>IF('[1]BASE'!FZ85=0,"",'[1]BASE'!FZ85)</f>
      </c>
      <c r="P85" s="1017">
        <f>IF('[1]BASE'!GA85=0,"",'[1]BASE'!GA85)</f>
      </c>
      <c r="Q85" s="1017">
        <f>IF('[1]BASE'!GB85=0,"",'[1]BASE'!GB85)</f>
      </c>
      <c r="R85" s="1017">
        <f>IF('[1]BASE'!GC85=0,"",'[1]BASE'!GC85)</f>
      </c>
      <c r="S85" s="1017">
        <f>IF('[1]BASE'!GD85=0,"",'[1]BASE'!GD85)</f>
      </c>
      <c r="T85" s="1018"/>
      <c r="U85" s="1014"/>
    </row>
    <row r="86" spans="2:21" s="1008" customFormat="1" ht="19.5" customHeight="1">
      <c r="B86" s="1009"/>
      <c r="C86" s="1019">
        <f>IF('[1]BASE'!C86=0,"",'[1]BASE'!C86)</f>
        <v>66</v>
      </c>
      <c r="D86" s="1019" t="str">
        <f>IF('[1]BASE'!D86=0,"",'[1]BASE'!D86)</f>
        <v>PASO DE LA PATRIA - RESISTENCIA</v>
      </c>
      <c r="E86" s="1019">
        <f>IF('[1]BASE'!E86=0,"",'[1]BASE'!E86)</f>
        <v>500</v>
      </c>
      <c r="F86" s="1020">
        <f>IF('[1]BASE'!F86=0,"",'[1]BASE'!F86)</f>
        <v>40</v>
      </c>
      <c r="G86" s="1020" t="str">
        <f>IF('[1]BASE'!G86=0,"",'[1]BASE'!G86)</f>
        <v>C</v>
      </c>
      <c r="H86" s="1017">
        <f>IF('[1]BASE'!FS86=0,"",'[1]BASE'!FS86)</f>
      </c>
      <c r="I86" s="1017">
        <f>IF('[1]BASE'!FT86=0,"",'[1]BASE'!FT86)</f>
      </c>
      <c r="J86" s="1017">
        <f>IF('[1]BASE'!FU86=0,"",'[1]BASE'!FU86)</f>
      </c>
      <c r="K86" s="1017">
        <f>IF('[1]BASE'!FV86=0,"",'[1]BASE'!FV86)</f>
      </c>
      <c r="L86" s="1017">
        <f>IF('[1]BASE'!FW86=0,"",'[1]BASE'!FW86)</f>
      </c>
      <c r="M86" s="1017">
        <f>IF('[1]BASE'!FX86=0,"",'[1]BASE'!FX86)</f>
      </c>
      <c r="N86" s="1017">
        <f>IF('[1]BASE'!FY86=0,"",'[1]BASE'!FY86)</f>
      </c>
      <c r="O86" s="1017">
        <f>IF('[1]BASE'!FZ86=0,"",'[1]BASE'!FZ86)</f>
      </c>
      <c r="P86" s="1017">
        <f>IF('[1]BASE'!GA86=0,"",'[1]BASE'!GA86)</f>
      </c>
      <c r="Q86" s="1017">
        <f>IF('[1]BASE'!GB86=0,"",'[1]BASE'!GB86)</f>
      </c>
      <c r="R86" s="1017">
        <f>IF('[1]BASE'!GC86=0,"",'[1]BASE'!GC86)</f>
      </c>
      <c r="S86" s="1017">
        <f>IF('[1]BASE'!GD86=0,"",'[1]BASE'!GD86)</f>
      </c>
      <c r="T86" s="1018"/>
      <c r="U86" s="1014"/>
    </row>
    <row r="87" spans="2:21" s="1008" customFormat="1" ht="19.5" customHeight="1">
      <c r="B87" s="1009"/>
      <c r="C87" s="1021">
        <f>IF('[1]BASE'!C87=0,"",'[1]BASE'!C87)</f>
        <v>67</v>
      </c>
      <c r="D87" s="1021" t="str">
        <f>IF('[1]BASE'!D87=0,"",'[1]BASE'!D87)</f>
        <v>RINCON - RESISTENCIA</v>
      </c>
      <c r="E87" s="1021">
        <f>IF('[1]BASE'!E87=0,"",'[1]BASE'!E87)</f>
        <v>500</v>
      </c>
      <c r="F87" s="1021">
        <f>IF('[1]BASE'!F87=0,"",'[1]BASE'!F87)</f>
        <v>267</v>
      </c>
      <c r="G87" s="1022" t="str">
        <f>IF('[1]BASE'!G87=0,"",'[1]BASE'!G87)</f>
        <v>B</v>
      </c>
      <c r="H87" s="1017" t="str">
        <f>IF('[1]BASE'!FS87=0,"",'[1]BASE'!FS87)</f>
        <v>XXXX</v>
      </c>
      <c r="I87" s="1017" t="str">
        <f>IF('[1]BASE'!FT87=0,"",'[1]BASE'!FT87)</f>
        <v>XXXX</v>
      </c>
      <c r="J87" s="1017" t="str">
        <f>IF('[1]BASE'!FU87=0,"",'[1]BASE'!FU87)</f>
        <v>XXXX</v>
      </c>
      <c r="K87" s="1017" t="str">
        <f>IF('[1]BASE'!FV87=0,"",'[1]BASE'!FV87)</f>
        <v>XXXX</v>
      </c>
      <c r="L87" s="1017" t="str">
        <f>IF('[1]BASE'!FW87=0,"",'[1]BASE'!FW87)</f>
        <v>XXXX</v>
      </c>
      <c r="M87" s="1017" t="str">
        <f>IF('[1]BASE'!FX87=0,"",'[1]BASE'!FX87)</f>
        <v>XXXX</v>
      </c>
      <c r="N87" s="1017" t="str">
        <f>IF('[1]BASE'!FY87=0,"",'[1]BASE'!FY87)</f>
        <v>XXXX</v>
      </c>
      <c r="O87" s="1017" t="str">
        <f>IF('[1]BASE'!FZ87=0,"",'[1]BASE'!FZ87)</f>
        <v>XXXX</v>
      </c>
      <c r="P87" s="1017" t="str">
        <f>IF('[1]BASE'!GA87=0,"",'[1]BASE'!GA87)</f>
        <v>XXXX</v>
      </c>
      <c r="Q87" s="1017" t="str">
        <f>IF('[1]BASE'!GB87=0,"",'[1]BASE'!GB87)</f>
        <v>XXXX</v>
      </c>
      <c r="R87" s="1017" t="str">
        <f>IF('[1]BASE'!GC87=0,"",'[1]BASE'!GC87)</f>
        <v>XXXX</v>
      </c>
      <c r="S87" s="1017" t="str">
        <f>IF('[1]BASE'!GD87=0,"",'[1]BASE'!GD87)</f>
        <v>XXXX</v>
      </c>
      <c r="T87" s="1018"/>
      <c r="U87" s="1014"/>
    </row>
    <row r="88" spans="2:21" s="1008" customFormat="1" ht="9.75" customHeight="1">
      <c r="B88" s="1009"/>
      <c r="C88" s="1019">
        <f>IF('[1]BASE'!C88=0,"",'[1]BASE'!C88)</f>
      </c>
      <c r="D88" s="1019">
        <f>IF('[1]BASE'!D88=0,"",'[1]BASE'!D88)</f>
      </c>
      <c r="E88" s="1019">
        <f>IF('[1]BASE'!E88=0,"",'[1]BASE'!E88)</f>
      </c>
      <c r="F88" s="1020">
        <f>IF('[1]BASE'!F88=0,"",'[1]BASE'!F88)</f>
      </c>
      <c r="G88" s="1020">
        <f>IF('[1]BASE'!G88=0,"",'[1]BASE'!G88)</f>
      </c>
      <c r="H88" s="1017">
        <f>IF('[1]BASE'!FS88=0,"",'[1]BASE'!FS88)</f>
      </c>
      <c r="I88" s="1017">
        <f>IF('[1]BASE'!FT88=0,"",'[1]BASE'!FT88)</f>
      </c>
      <c r="J88" s="1017">
        <f>IF('[1]BASE'!FU88=0,"",'[1]BASE'!FU88)</f>
      </c>
      <c r="K88" s="1017">
        <f>IF('[1]BASE'!FV88=0,"",'[1]BASE'!FV88)</f>
      </c>
      <c r="L88" s="1017">
        <f>IF('[1]BASE'!FW88=0,"",'[1]BASE'!FW88)</f>
      </c>
      <c r="M88" s="1017">
        <f>IF('[1]BASE'!FX88=0,"",'[1]BASE'!FX88)</f>
      </c>
      <c r="N88" s="1017">
        <f>IF('[1]BASE'!FY88=0,"",'[1]BASE'!FY88)</f>
      </c>
      <c r="O88" s="1017">
        <f>IF('[1]BASE'!FZ88=0,"",'[1]BASE'!FZ88)</f>
      </c>
      <c r="P88" s="1017">
        <f>IF('[1]BASE'!GA88=0,"",'[1]BASE'!GA88)</f>
      </c>
      <c r="Q88" s="1017">
        <f>IF('[1]BASE'!GB88=0,"",'[1]BASE'!GB88)</f>
      </c>
      <c r="R88" s="1017">
        <f>IF('[1]BASE'!GC88=0,"",'[1]BASE'!GC88)</f>
      </c>
      <c r="S88" s="1017">
        <f>IF('[1]BASE'!GD88=0,"",'[1]BASE'!GD88)</f>
      </c>
      <c r="T88" s="1018"/>
      <c r="U88" s="1014"/>
    </row>
    <row r="89" spans="2:21" s="1008" customFormat="1" ht="19.5" customHeight="1">
      <c r="B89" s="1009"/>
      <c r="C89" s="1021">
        <f>IF('[1]BASE'!C89=0,"",'[1]BASE'!C89)</f>
        <v>68</v>
      </c>
      <c r="D89" s="1021" t="str">
        <f>IF('[1]BASE'!D89=0,"",'[1]BASE'!D89)</f>
        <v>RINCON - SALTO GRANDE</v>
      </c>
      <c r="E89" s="1021">
        <f>IF('[1]BASE'!E89=0,"",'[1]BASE'!E89)</f>
        <v>500</v>
      </c>
      <c r="F89" s="1022">
        <f>IF('[1]BASE'!F89=0,"",'[1]BASE'!F89)</f>
        <v>506</v>
      </c>
      <c r="G89" s="1022" t="str">
        <f>IF('[1]BASE'!G89=0,"",'[1]BASE'!G89)</f>
        <v>A</v>
      </c>
      <c r="H89" s="1017">
        <f>IF('[1]BASE'!FS89=0,"",'[1]BASE'!FS89)</f>
      </c>
      <c r="I89" s="1017">
        <f>IF('[1]BASE'!FT89=0,"",'[1]BASE'!FT89)</f>
      </c>
      <c r="J89" s="1017">
        <f>IF('[1]BASE'!FU89=0,"",'[1]BASE'!FU89)</f>
      </c>
      <c r="K89" s="1017">
        <f>IF('[1]BASE'!FV89=0,"",'[1]BASE'!FV89)</f>
      </c>
      <c r="L89" s="1017">
        <f>IF('[1]BASE'!FW89=0,"",'[1]BASE'!FW89)</f>
      </c>
      <c r="M89" s="1017">
        <f>IF('[1]BASE'!FX89=0,"",'[1]BASE'!FX89)</f>
      </c>
      <c r="N89" s="1017">
        <f>IF('[1]BASE'!FY89=0,"",'[1]BASE'!FY89)</f>
      </c>
      <c r="O89" s="1017">
        <f>IF('[1]BASE'!FZ89=0,"",'[1]BASE'!FZ89)</f>
      </c>
      <c r="P89" s="1017">
        <f>IF('[1]BASE'!GA89=0,"",'[1]BASE'!GA89)</f>
      </c>
      <c r="Q89" s="1017">
        <f>IF('[1]BASE'!GB89=0,"",'[1]BASE'!GB89)</f>
      </c>
      <c r="R89" s="1017">
        <f>IF('[1]BASE'!GC89=0,"",'[1]BASE'!GC89)</f>
      </c>
      <c r="S89" s="1017">
        <f>IF('[1]BASE'!GD89=0,"",'[1]BASE'!GD89)</f>
      </c>
      <c r="T89" s="1018"/>
      <c r="U89" s="1014"/>
    </row>
    <row r="90" spans="2:21" s="1008" customFormat="1" ht="19.5" customHeight="1">
      <c r="B90" s="1009"/>
      <c r="C90" s="1019">
        <f>IF('[1]BASE'!C90=0,"",'[1]BASE'!C90)</f>
        <v>69</v>
      </c>
      <c r="D90" s="1019" t="str">
        <f>IF('[1]BASE'!D90=0,"",'[1]BASE'!D90)</f>
        <v>RINCON - SAN ISIDRO</v>
      </c>
      <c r="E90" s="1019">
        <f>IF('[1]BASE'!E90=0,"",'[1]BASE'!E90)</f>
        <v>500</v>
      </c>
      <c r="F90" s="1020">
        <f>IF('[1]BASE'!F90=0,"",'[1]BASE'!F90)</f>
        <v>85</v>
      </c>
      <c r="G90" s="1020" t="str">
        <f>IF('[1]BASE'!G90=0,"",'[1]BASE'!G90)</f>
        <v>C</v>
      </c>
      <c r="H90" s="1017">
        <f>IF('[1]BASE'!FS90=0,"",'[1]BASE'!FS90)</f>
      </c>
      <c r="I90" s="1017">
        <f>IF('[1]BASE'!FT90=0,"",'[1]BASE'!FT90)</f>
      </c>
      <c r="J90" s="1017">
        <f>IF('[1]BASE'!FU90=0,"",'[1]BASE'!FU90)</f>
      </c>
      <c r="K90" s="1017">
        <f>IF('[1]BASE'!FV90=0,"",'[1]BASE'!FV90)</f>
      </c>
      <c r="L90" s="1017">
        <f>IF('[1]BASE'!FW90=0,"",'[1]BASE'!FW90)</f>
      </c>
      <c r="M90" s="1017">
        <f>IF('[1]BASE'!FX90=0,"",'[1]BASE'!FX90)</f>
      </c>
      <c r="N90" s="1017">
        <f>IF('[1]BASE'!FY90=0,"",'[1]BASE'!FY90)</f>
      </c>
      <c r="O90" s="1017">
        <f>IF('[1]BASE'!FZ90=0,"",'[1]BASE'!FZ90)</f>
      </c>
      <c r="P90" s="1017">
        <f>IF('[1]BASE'!GA90=0,"",'[1]BASE'!GA90)</f>
      </c>
      <c r="Q90" s="1017">
        <f>IF('[1]BASE'!GB90=0,"",'[1]BASE'!GB90)</f>
      </c>
      <c r="R90" s="1017">
        <f>IF('[1]BASE'!GC90=0,"",'[1]BASE'!GC90)</f>
      </c>
      <c r="S90" s="1017">
        <f>IF('[1]BASE'!GD90=0,"",'[1]BASE'!GD90)</f>
      </c>
      <c r="T90" s="1018"/>
      <c r="U90" s="1014"/>
    </row>
    <row r="91" spans="2:21" s="1008" customFormat="1" ht="9.75" customHeight="1">
      <c r="B91" s="1009"/>
      <c r="C91" s="1021">
        <f>IF('[1]BASE'!C91=0,"",'[1]BASE'!C91)</f>
      </c>
      <c r="D91" s="1021">
        <f>IF('[1]BASE'!D91=0,"",'[1]BASE'!D91)</f>
      </c>
      <c r="E91" s="1021">
        <f>IF('[1]BASE'!E91=0,"",'[1]BASE'!E91)</f>
      </c>
      <c r="F91" s="1021">
        <f>IF('[1]BASE'!F91=0,"",'[1]BASE'!F91)</f>
      </c>
      <c r="G91" s="1022">
        <f>IF('[1]BASE'!G91=0,"",'[1]BASE'!G91)</f>
      </c>
      <c r="H91" s="1017">
        <f>IF('[1]BASE'!FS91=0,"",'[1]BASE'!FS91)</f>
      </c>
      <c r="I91" s="1017">
        <f>IF('[1]BASE'!FT91=0,"",'[1]BASE'!FT91)</f>
      </c>
      <c r="J91" s="1017">
        <f>IF('[1]BASE'!FU91=0,"",'[1]BASE'!FU91)</f>
      </c>
      <c r="K91" s="1017">
        <f>IF('[1]BASE'!FV91=0,"",'[1]BASE'!FV91)</f>
      </c>
      <c r="L91" s="1017">
        <f>IF('[1]BASE'!FW91=0,"",'[1]BASE'!FW91)</f>
      </c>
      <c r="M91" s="1017">
        <f>IF('[1]BASE'!FX91=0,"",'[1]BASE'!FX91)</f>
      </c>
      <c r="N91" s="1017">
        <f>IF('[1]BASE'!FY91=0,"",'[1]BASE'!FY91)</f>
      </c>
      <c r="O91" s="1017">
        <f>IF('[1]BASE'!FZ91=0,"",'[1]BASE'!FZ91)</f>
      </c>
      <c r="P91" s="1017">
        <f>IF('[1]BASE'!GA91=0,"",'[1]BASE'!GA91)</f>
      </c>
      <c r="Q91" s="1017">
        <f>IF('[1]BASE'!GB91=0,"",'[1]BASE'!GB91)</f>
      </c>
      <c r="R91" s="1017">
        <f>IF('[1]BASE'!GC91=0,"",'[1]BASE'!GC91)</f>
      </c>
      <c r="S91" s="1017">
        <f>IF('[1]BASE'!GD91=0,"",'[1]BASE'!GD91)</f>
      </c>
      <c r="T91" s="1018"/>
      <c r="U91" s="1014"/>
    </row>
    <row r="92" spans="2:21" s="1008" customFormat="1" ht="9.75" customHeight="1" thickBot="1">
      <c r="B92" s="1009"/>
      <c r="C92" s="1023"/>
      <c r="D92" s="1023"/>
      <c r="E92" s="1023"/>
      <c r="F92" s="1023"/>
      <c r="G92" s="1024"/>
      <c r="H92" s="1025"/>
      <c r="I92" s="1025"/>
      <c r="J92" s="1025"/>
      <c r="K92" s="1025"/>
      <c r="L92" s="1025"/>
      <c r="M92" s="1025"/>
      <c r="N92" s="1025"/>
      <c r="O92" s="1025"/>
      <c r="P92" s="1025"/>
      <c r="Q92" s="1025"/>
      <c r="R92" s="1025"/>
      <c r="S92" s="1025"/>
      <c r="T92" s="1018"/>
      <c r="U92" s="1014"/>
    </row>
    <row r="93" spans="2:21" s="1008" customFormat="1" ht="19.5" customHeight="1" thickBot="1" thickTop="1">
      <c r="B93" s="1009"/>
      <c r="C93" s="1026"/>
      <c r="D93" s="1027"/>
      <c r="E93" s="1028" t="s">
        <v>378</v>
      </c>
      <c r="F93" s="1029">
        <f>SUM(F16:F92)-F46-F57-F78-F79-F87</f>
        <v>9666.7</v>
      </c>
      <c r="G93" s="1030"/>
      <c r="H93" s="1031"/>
      <c r="I93" s="1031"/>
      <c r="J93" s="1031"/>
      <c r="K93" s="1031"/>
      <c r="L93" s="1031"/>
      <c r="M93" s="1031"/>
      <c r="N93" s="1031"/>
      <c r="O93" s="1031"/>
      <c r="P93" s="1031"/>
      <c r="Q93" s="1031"/>
      <c r="R93" s="1031"/>
      <c r="S93" s="1031"/>
      <c r="T93" s="1018"/>
      <c r="U93" s="1014"/>
    </row>
    <row r="94" spans="2:21" s="1008" customFormat="1" ht="19.5" customHeight="1" thickBot="1" thickTop="1">
      <c r="B94" s="1009"/>
      <c r="C94" s="1032"/>
      <c r="D94" s="1033"/>
      <c r="E94" s="1034"/>
      <c r="F94" s="1035" t="s">
        <v>379</v>
      </c>
      <c r="H94" s="1036">
        <f aca="true" t="shared" si="0" ref="H94:S94">SUM(H17:H92)</f>
        <v>4</v>
      </c>
      <c r="I94" s="1036">
        <f t="shared" si="0"/>
        <v>3</v>
      </c>
      <c r="J94" s="1036">
        <f t="shared" si="0"/>
        <v>1</v>
      </c>
      <c r="K94" s="1036">
        <f t="shared" si="0"/>
        <v>2</v>
      </c>
      <c r="L94" s="1036">
        <f t="shared" si="0"/>
        <v>1</v>
      </c>
      <c r="M94" s="1036">
        <f t="shared" si="0"/>
        <v>8</v>
      </c>
      <c r="N94" s="1036">
        <f t="shared" si="0"/>
        <v>2</v>
      </c>
      <c r="O94" s="1036">
        <f t="shared" si="0"/>
        <v>0</v>
      </c>
      <c r="P94" s="1036">
        <f t="shared" si="0"/>
        <v>5</v>
      </c>
      <c r="Q94" s="1036">
        <f t="shared" si="0"/>
        <v>6</v>
      </c>
      <c r="R94" s="1036">
        <f t="shared" si="0"/>
        <v>6</v>
      </c>
      <c r="S94" s="1036">
        <f t="shared" si="0"/>
        <v>6</v>
      </c>
      <c r="T94" s="1018"/>
      <c r="U94" s="1014"/>
    </row>
    <row r="95" spans="2:21" s="1008" customFormat="1" ht="19.5" customHeight="1" thickBot="1" thickTop="1">
      <c r="B95" s="1009"/>
      <c r="E95" s="1034"/>
      <c r="F95" s="1035" t="s">
        <v>380</v>
      </c>
      <c r="H95" s="1037">
        <f>'[1]BASE'!FS100</f>
        <v>0.38</v>
      </c>
      <c r="I95" s="1037">
        <f>'[1]BASE'!FT100</f>
        <v>0.37</v>
      </c>
      <c r="J95" s="1037">
        <f>'[1]BASE'!FU100</f>
        <v>0.35</v>
      </c>
      <c r="K95" s="1037">
        <f>'[1]BASE'!FV100</f>
        <v>0.34</v>
      </c>
      <c r="L95" s="1037">
        <f>'[1]BASE'!FW100</f>
        <v>0.36</v>
      </c>
      <c r="M95" s="1037">
        <f>'[1]BASE'!FX100</f>
        <v>0.33</v>
      </c>
      <c r="N95" s="1037">
        <f>'[1]BASE'!FY100</f>
        <v>0.38</v>
      </c>
      <c r="O95" s="1037">
        <f>'[1]BASE'!FZ100</f>
        <v>0.36</v>
      </c>
      <c r="P95" s="1037">
        <f>'[1]BASE'!GA100</f>
        <v>0.35</v>
      </c>
      <c r="Q95" s="1037">
        <f>'[1]BASE'!GB100</f>
        <v>0.35</v>
      </c>
      <c r="R95" s="1037">
        <f>'[1]BASE'!GC100</f>
        <v>0.37</v>
      </c>
      <c r="S95" s="1037">
        <f>'[1]BASE'!GD100</f>
        <v>0.43</v>
      </c>
      <c r="T95" s="1037">
        <f>'[1]BASE'!GE100</f>
        <v>0.46</v>
      </c>
      <c r="U95" s="1014"/>
    </row>
    <row r="96" spans="2:21" s="955" customFormat="1" ht="9.75" customHeight="1" thickBot="1" thickTop="1">
      <c r="B96" s="1038"/>
      <c r="C96"/>
      <c r="D96" s="1039"/>
      <c r="E96" s="1040"/>
      <c r="F96" s="1041"/>
      <c r="G96"/>
      <c r="H96" s="1042"/>
      <c r="I96" s="1042"/>
      <c r="J96" s="1042"/>
      <c r="K96" s="1042"/>
      <c r="L96" s="1042"/>
      <c r="M96" s="1042"/>
      <c r="N96" s="1042"/>
      <c r="O96" s="1042"/>
      <c r="P96" s="1042"/>
      <c r="Q96" s="1042"/>
      <c r="R96" s="1042"/>
      <c r="S96" s="1042"/>
      <c r="T96" s="1042"/>
      <c r="U96" s="1043"/>
    </row>
    <row r="97" spans="2:21" ht="15.75" customHeight="1" thickBot="1">
      <c r="B97" s="50"/>
      <c r="C97" s="1044"/>
      <c r="D97" s="15" t="s">
        <v>381</v>
      </c>
      <c r="E97" s="4"/>
      <c r="F97" s="4"/>
      <c r="G97" s="66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6"/>
    </row>
    <row r="98" spans="2:21" ht="20.25" thickBot="1" thickTop="1">
      <c r="B98" s="50"/>
      <c r="C98" s="66"/>
      <c r="D98" s="4"/>
      <c r="H98" s="209" t="s">
        <v>382</v>
      </c>
      <c r="I98" s="1045"/>
      <c r="J98" s="1046">
        <f>T95</f>
        <v>0.46</v>
      </c>
      <c r="K98" s="1047" t="s">
        <v>383</v>
      </c>
      <c r="L98" s="210"/>
      <c r="M98" s="1048"/>
      <c r="N98" s="4"/>
      <c r="O98" s="4"/>
      <c r="P98" s="4"/>
      <c r="Q98" s="4"/>
      <c r="R98" s="4"/>
      <c r="S98" s="4"/>
      <c r="T98" s="4"/>
      <c r="U98" s="6"/>
    </row>
    <row r="99" spans="2:21" s="32" customFormat="1" ht="9.75" customHeight="1" thickBot="1" thickTop="1">
      <c r="B99" s="57"/>
      <c r="C99" s="1049"/>
      <c r="D99" s="59"/>
      <c r="E99" s="59"/>
      <c r="F99" s="1049"/>
      <c r="G99" s="104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60"/>
    </row>
    <row r="100" spans="3:7" ht="13.5" thickTop="1">
      <c r="C100" s="1050"/>
      <c r="F100" s="1050"/>
      <c r="G100" s="1050"/>
    </row>
    <row r="101" spans="3:194" ht="12.75">
      <c r="C101" s="1050"/>
      <c r="D101" s="66"/>
      <c r="E101" s="66"/>
      <c r="F101" s="66"/>
      <c r="G101" s="66"/>
      <c r="H101" s="1051"/>
      <c r="I101" s="1051"/>
      <c r="J101" s="1051"/>
      <c r="K101" s="1051"/>
      <c r="L101" s="1051"/>
      <c r="M101" s="1051"/>
      <c r="N101" s="1051"/>
      <c r="O101" s="1051"/>
      <c r="P101" s="1051"/>
      <c r="Q101" s="1051"/>
      <c r="R101" s="1051"/>
      <c r="S101" s="1051"/>
      <c r="T101" s="1051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</row>
    <row r="102" spans="3:194" ht="12.75">
      <c r="C102" s="1050"/>
      <c r="D102" s="66"/>
      <c r="E102" s="66"/>
      <c r="F102" s="66"/>
      <c r="G102" s="66"/>
      <c r="H102" s="1051"/>
      <c r="I102" s="1051"/>
      <c r="J102" s="1051"/>
      <c r="K102" s="1051"/>
      <c r="L102" s="1051"/>
      <c r="M102" s="1051"/>
      <c r="N102" s="1051"/>
      <c r="O102" s="1051"/>
      <c r="P102" s="1051"/>
      <c r="Q102" s="1051"/>
      <c r="R102" s="1051"/>
      <c r="S102" s="1051"/>
      <c r="T102" s="1051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</row>
    <row r="103" spans="3:194" ht="12.75">
      <c r="C103" s="1050"/>
      <c r="D103" s="66"/>
      <c r="E103" s="66"/>
      <c r="F103" s="66"/>
      <c r="G103" s="66"/>
      <c r="H103" s="1052"/>
      <c r="I103" s="1052"/>
      <c r="J103" s="1052"/>
      <c r="K103" s="1052"/>
      <c r="L103" s="1052"/>
      <c r="M103" s="1052"/>
      <c r="N103" s="1052"/>
      <c r="O103" s="1052"/>
      <c r="P103" s="1052"/>
      <c r="Q103" s="1052"/>
      <c r="R103" s="1052"/>
      <c r="S103" s="1052"/>
      <c r="T103" s="1052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</row>
    <row r="104" spans="3:194" ht="12.75">
      <c r="C104" s="1050"/>
      <c r="D104" s="66"/>
      <c r="E104" s="66"/>
      <c r="F104" s="66"/>
      <c r="G104" s="66"/>
      <c r="H104" s="1051"/>
      <c r="I104" s="1051"/>
      <c r="J104" s="1051"/>
      <c r="K104" s="1051"/>
      <c r="L104" s="1051"/>
      <c r="M104" s="1051"/>
      <c r="N104" s="1051"/>
      <c r="O104" s="1051"/>
      <c r="P104" s="1051"/>
      <c r="Q104" s="1051"/>
      <c r="R104" s="1051"/>
      <c r="S104" s="1051"/>
      <c r="T104" s="1051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</row>
    <row r="105" spans="3:194" ht="12.75">
      <c r="C105" s="1050"/>
      <c r="D105" s="66"/>
      <c r="E105" s="66"/>
      <c r="F105" s="66"/>
      <c r="G105" s="66"/>
      <c r="H105" s="1051"/>
      <c r="I105" s="1051"/>
      <c r="J105" s="1051"/>
      <c r="K105" s="1051"/>
      <c r="L105" s="1051"/>
      <c r="M105" s="1051"/>
      <c r="N105" s="1051"/>
      <c r="O105" s="1051"/>
      <c r="P105" s="1051"/>
      <c r="Q105" s="1051"/>
      <c r="R105" s="1051"/>
      <c r="S105" s="1051"/>
      <c r="T105" s="1051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</row>
    <row r="106" spans="3:194" ht="12.75">
      <c r="C106" s="1050"/>
      <c r="D106" s="66"/>
      <c r="E106" s="66"/>
      <c r="F106" s="66"/>
      <c r="G106" s="66"/>
      <c r="H106" s="1051"/>
      <c r="I106" s="1051"/>
      <c r="J106" s="1051"/>
      <c r="K106" s="1051"/>
      <c r="L106" s="1051"/>
      <c r="M106" s="1051"/>
      <c r="N106" s="1051"/>
      <c r="O106" s="1051"/>
      <c r="P106" s="1051"/>
      <c r="Q106" s="1051"/>
      <c r="R106" s="1051"/>
      <c r="S106" s="1051"/>
      <c r="T106" s="1051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</row>
    <row r="107" spans="3:194" ht="12.75">
      <c r="C107" s="1050"/>
      <c r="D107" s="66"/>
      <c r="E107" s="66"/>
      <c r="F107" s="66"/>
      <c r="G107" s="66"/>
      <c r="H107" s="1051"/>
      <c r="I107" s="1051"/>
      <c r="J107" s="1051"/>
      <c r="K107" s="1051"/>
      <c r="L107" s="1051"/>
      <c r="M107" s="1051"/>
      <c r="N107" s="1051"/>
      <c r="O107" s="1051"/>
      <c r="P107" s="1051"/>
      <c r="Q107" s="1051"/>
      <c r="R107" s="1051"/>
      <c r="S107" s="1051"/>
      <c r="T107" s="1051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</row>
    <row r="108" spans="3:194" ht="12.75">
      <c r="C108" s="1050"/>
      <c r="D108" s="66"/>
      <c r="E108" s="66"/>
      <c r="F108" s="66"/>
      <c r="G108" s="66"/>
      <c r="H108" s="1051"/>
      <c r="I108" s="1051"/>
      <c r="J108" s="1051"/>
      <c r="K108" s="1051"/>
      <c r="L108" s="1051"/>
      <c r="M108" s="1051"/>
      <c r="N108" s="1051"/>
      <c r="O108" s="1051"/>
      <c r="P108" s="1051"/>
      <c r="Q108" s="1051"/>
      <c r="R108" s="1051"/>
      <c r="S108" s="1051"/>
      <c r="T108" s="1051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</row>
    <row r="109" spans="3:194" ht="12.75">
      <c r="C109" s="1050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</row>
    <row r="110" spans="3:194" ht="12.75">
      <c r="C110" s="1050"/>
      <c r="D110" s="4"/>
      <c r="E110" s="4"/>
      <c r="F110" s="66"/>
      <c r="G110" s="66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</row>
    <row r="111" spans="3:7" ht="12.75">
      <c r="C111" s="1050"/>
      <c r="F111" s="1050"/>
      <c r="G111" s="1050"/>
    </row>
    <row r="112" spans="3:7" ht="12.75">
      <c r="C112" s="1050"/>
      <c r="F112" s="1050"/>
      <c r="G112" s="1050"/>
    </row>
    <row r="113" spans="3:7" ht="12.75">
      <c r="C113" s="1050"/>
      <c r="F113" s="1050"/>
      <c r="G113" s="1050"/>
    </row>
    <row r="114" spans="6:7" ht="12.75">
      <c r="F114" s="1050"/>
      <c r="G114" s="1050"/>
    </row>
  </sheetData>
  <printOptions horizontalCentered="1"/>
  <pageMargins left="0.3937007874015748" right="0.1968503937007874" top="0.2755905511811024" bottom="0.4330708661417323" header="0.2755905511811024" footer="0.31496062992125984"/>
  <pageSetup fitToHeight="1" fitToWidth="1" horizontalDpi="300" verticalDpi="300" orientation="portrait" paperSize="9" scale="34" r:id="rId2"/>
  <headerFooter alignWithMargins="0">
    <oddFooter>&amp;L&amp;"Times New Roman,Normal"&amp;5&amp;F  - TRANSPORTE de ENERGÍA ELÉCTRICA - PJL - JI -JM - &amp;P/&amp;N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AC39"/>
  <sheetViews>
    <sheetView workbookViewId="0" topLeftCell="A1">
      <pane xSplit="1" ySplit="1" topLeftCell="B2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B2" sqref="B2"/>
    </sheetView>
  </sheetViews>
  <sheetFormatPr defaultColWidth="11.421875" defaultRowHeight="12.75"/>
  <cols>
    <col min="1" max="1" width="23.00390625" style="886" bestFit="1" customWidth="1"/>
    <col min="2" max="2" width="9.28125" style="886" customWidth="1"/>
    <col min="3" max="3" width="11.8515625" style="886" bestFit="1" customWidth="1"/>
    <col min="4" max="4" width="9.57421875" style="886" bestFit="1" customWidth="1"/>
    <col min="5" max="5" width="17.140625" style="886" bestFit="1" customWidth="1"/>
    <col min="6" max="6" width="71.8515625" style="886" bestFit="1" customWidth="1"/>
    <col min="7" max="9" width="5.8515625" style="886" customWidth="1"/>
    <col min="10" max="22" width="5.8515625" style="886" bestFit="1" customWidth="1"/>
    <col min="23" max="24" width="11.00390625" style="886" customWidth="1"/>
    <col min="25" max="16384" width="11.421875" style="886" customWidth="1"/>
  </cols>
  <sheetData>
    <row r="1" spans="1:4" ht="12.75">
      <c r="A1" s="891" t="s">
        <v>177</v>
      </c>
      <c r="B1" s="891" t="s">
        <v>177</v>
      </c>
      <c r="C1" s="891" t="s">
        <v>178</v>
      </c>
      <c r="D1" s="891" t="s">
        <v>179</v>
      </c>
    </row>
    <row r="2" spans="1:4" ht="12.75">
      <c r="A2" s="890" t="s">
        <v>46</v>
      </c>
      <c r="B2" s="906" t="s">
        <v>183</v>
      </c>
      <c r="C2" s="890">
        <v>31</v>
      </c>
      <c r="D2" s="890">
        <v>2006</v>
      </c>
    </row>
    <row r="3" spans="1:4" ht="12.75">
      <c r="A3" s="890" t="s">
        <v>47</v>
      </c>
      <c r="B3" s="906" t="s">
        <v>184</v>
      </c>
      <c r="C3" s="890">
        <f>IF(MOD(E14,4)=0,29,28)</f>
        <v>29</v>
      </c>
      <c r="D3" s="890">
        <f>+D2+1</f>
        <v>2007</v>
      </c>
    </row>
    <row r="4" spans="1:4" ht="12.75">
      <c r="A4" s="890" t="s">
        <v>48</v>
      </c>
      <c r="B4" s="906" t="s">
        <v>185</v>
      </c>
      <c r="C4" s="890">
        <v>31</v>
      </c>
      <c r="D4" s="890">
        <v>2008</v>
      </c>
    </row>
    <row r="5" spans="1:4" ht="12.75">
      <c r="A5" s="890" t="s">
        <v>49</v>
      </c>
      <c r="B5" s="906" t="s">
        <v>186</v>
      </c>
      <c r="C5" s="890">
        <v>30</v>
      </c>
      <c r="D5" s="890"/>
    </row>
    <row r="6" spans="1:4" ht="12.75">
      <c r="A6" s="890" t="s">
        <v>50</v>
      </c>
      <c r="B6" s="906" t="s">
        <v>187</v>
      </c>
      <c r="C6" s="890">
        <v>31</v>
      </c>
      <c r="D6" s="890"/>
    </row>
    <row r="7" spans="1:4" ht="12.75">
      <c r="A7" s="890" t="s">
        <v>51</v>
      </c>
      <c r="B7" s="906" t="s">
        <v>188</v>
      </c>
      <c r="C7" s="890">
        <v>30</v>
      </c>
      <c r="D7" s="890"/>
    </row>
    <row r="8" spans="1:4" ht="12.75">
      <c r="A8" s="890" t="s">
        <v>52</v>
      </c>
      <c r="B8" s="906" t="s">
        <v>189</v>
      </c>
      <c r="C8" s="890">
        <v>31</v>
      </c>
      <c r="D8" s="890"/>
    </row>
    <row r="9" spans="1:4" ht="12.75">
      <c r="A9" s="890" t="s">
        <v>53</v>
      </c>
      <c r="B9" s="906" t="s">
        <v>190</v>
      </c>
      <c r="C9" s="890">
        <v>31</v>
      </c>
      <c r="D9" s="890"/>
    </row>
    <row r="10" spans="1:4" ht="12.75">
      <c r="A10" s="890" t="s">
        <v>54</v>
      </c>
      <c r="B10" s="906" t="s">
        <v>191</v>
      </c>
      <c r="C10" s="890">
        <v>30</v>
      </c>
      <c r="D10" s="890"/>
    </row>
    <row r="11" spans="1:4" ht="12.75">
      <c r="A11" s="890" t="s">
        <v>55</v>
      </c>
      <c r="B11" s="906" t="s">
        <v>192</v>
      </c>
      <c r="C11" s="890">
        <v>31</v>
      </c>
      <c r="D11" s="890"/>
    </row>
    <row r="12" spans="1:4" ht="12.75">
      <c r="A12" s="890" t="s">
        <v>56</v>
      </c>
      <c r="B12" s="906" t="s">
        <v>193</v>
      </c>
      <c r="C12" s="890">
        <v>30</v>
      </c>
      <c r="D12" s="890"/>
    </row>
    <row r="13" spans="1:9" ht="12.75">
      <c r="A13" s="890" t="s">
        <v>57</v>
      </c>
      <c r="B13" s="906" t="s">
        <v>194</v>
      </c>
      <c r="C13" s="890">
        <v>31</v>
      </c>
      <c r="D13" s="890"/>
      <c r="E13" s="989"/>
      <c r="I13" s="922" t="s">
        <v>252</v>
      </c>
    </row>
    <row r="14" spans="1:9" ht="12.75">
      <c r="A14" s="887">
        <v>3</v>
      </c>
      <c r="B14" s="888">
        <v>11</v>
      </c>
      <c r="C14" s="887" t="str">
        <f ca="1">CELL("CONTENIDO",OFFSET(A1,B14,0))</f>
        <v>noviembre</v>
      </c>
      <c r="D14" s="887">
        <f ca="1">CELL("CONTENIDO",OFFSET(C1,B14,0))</f>
        <v>30</v>
      </c>
      <c r="E14" s="887">
        <f ca="1">CELL("CONTENIDO",OFFSET(D1,A14,0))</f>
        <v>2008</v>
      </c>
      <c r="F14" s="887" t="str">
        <f>"Desde el 01 al "&amp;D14&amp;" de "&amp;C14&amp;" de "&amp;E14</f>
        <v>Desde el 01 al 30 de noviembre de 2008</v>
      </c>
      <c r="G14" s="887" t="str">
        <f ca="1">CELL("CONTENIDO",OFFSET(B1,B14,0))</f>
        <v>11</v>
      </c>
      <c r="H14" s="887" t="str">
        <f>RIGHT(E14,2)</f>
        <v>08</v>
      </c>
      <c r="I14" s="923" t="s">
        <v>246</v>
      </c>
    </row>
    <row r="15" spans="1:8" ht="12.75">
      <c r="A15" s="887"/>
      <c r="B15" s="889" t="str">
        <f>"\\fileserver\files\Transporte\transporte\AA PROCESO AUT\TRANSENER\"&amp;E14</f>
        <v>\\fileserver\files\Transporte\transporte\AA PROCESO AUT\TRANSENER\2008</v>
      </c>
      <c r="C15" s="887"/>
      <c r="D15" s="887"/>
      <c r="E15" s="887"/>
      <c r="F15" s="887"/>
      <c r="G15" s="887" t="str">
        <f>"J"&amp;G14&amp;H14&amp;"NER"</f>
        <v>J1108NER</v>
      </c>
      <c r="H15" s="887"/>
    </row>
    <row r="16" spans="1:8" ht="12.75">
      <c r="A16" s="887"/>
      <c r="B16" s="889" t="str">
        <f>"\\fileserver\files\Transporte\transporte\AA PROCESO AUT\NERNOANEA\"&amp;H14&amp;G14</f>
        <v>\\fileserver\files\Transporte\transporte\AA PROCESO AUT\NERNOANEA\0811</v>
      </c>
      <c r="C16" s="887"/>
      <c r="D16" s="887"/>
      <c r="E16" s="887"/>
      <c r="F16" s="887"/>
      <c r="G16" s="887"/>
      <c r="H16" s="887"/>
    </row>
    <row r="17" spans="1:29" ht="12.75">
      <c r="A17" s="891" t="s">
        <v>165</v>
      </c>
      <c r="B17" s="891" t="s">
        <v>216</v>
      </c>
      <c r="C17" s="891" t="s">
        <v>198</v>
      </c>
      <c r="D17" s="891" t="s">
        <v>197</v>
      </c>
      <c r="E17" s="891" t="s">
        <v>182</v>
      </c>
      <c r="F17" s="891" t="s">
        <v>195</v>
      </c>
      <c r="G17" s="891" t="s">
        <v>213</v>
      </c>
      <c r="H17" s="891" t="s">
        <v>199</v>
      </c>
      <c r="I17" s="891" t="s">
        <v>200</v>
      </c>
      <c r="J17" s="891" t="s">
        <v>201</v>
      </c>
      <c r="K17" s="891" t="s">
        <v>202</v>
      </c>
      <c r="L17" s="891" t="s">
        <v>203</v>
      </c>
      <c r="M17" s="891" t="s">
        <v>204</v>
      </c>
      <c r="N17" s="891" t="s">
        <v>205</v>
      </c>
      <c r="O17" s="891" t="s">
        <v>206</v>
      </c>
      <c r="P17" s="891" t="s">
        <v>274</v>
      </c>
      <c r="Q17" s="891" t="s">
        <v>207</v>
      </c>
      <c r="R17" s="891" t="s">
        <v>208</v>
      </c>
      <c r="S17" s="891" t="s">
        <v>209</v>
      </c>
      <c r="T17" s="891" t="s">
        <v>210</v>
      </c>
      <c r="U17" s="891" t="s">
        <v>211</v>
      </c>
      <c r="V17" s="891" t="s">
        <v>212</v>
      </c>
      <c r="W17" s="891" t="s">
        <v>253</v>
      </c>
      <c r="X17" s="891" t="s">
        <v>254</v>
      </c>
      <c r="Y17" s="891" t="s">
        <v>256</v>
      </c>
      <c r="Z17" s="891" t="s">
        <v>255</v>
      </c>
      <c r="AA17" s="891" t="s">
        <v>258</v>
      </c>
      <c r="AB17" s="891" t="s">
        <v>257</v>
      </c>
      <c r="AC17" s="891" t="s">
        <v>275</v>
      </c>
    </row>
    <row r="18" spans="1:29" ht="12.75">
      <c r="A18" s="929" t="s">
        <v>166</v>
      </c>
      <c r="B18" s="910">
        <v>22</v>
      </c>
      <c r="C18" s="910">
        <v>20</v>
      </c>
      <c r="D18" s="910">
        <v>11</v>
      </c>
      <c r="E18" s="929" t="str">
        <f>"LI-"&amp;$G$14</f>
        <v>LI-11</v>
      </c>
      <c r="F18" s="929" t="s">
        <v>196</v>
      </c>
      <c r="G18" s="910">
        <v>3</v>
      </c>
      <c r="H18" s="911">
        <v>0</v>
      </c>
      <c r="I18" s="911">
        <v>0</v>
      </c>
      <c r="J18" s="910">
        <v>4</v>
      </c>
      <c r="K18" s="910">
        <v>5</v>
      </c>
      <c r="L18" s="910">
        <v>6</v>
      </c>
      <c r="M18" s="910">
        <v>7</v>
      </c>
      <c r="N18" s="910">
        <v>10</v>
      </c>
      <c r="O18" s="910">
        <v>11</v>
      </c>
      <c r="P18" s="910">
        <v>14</v>
      </c>
      <c r="Q18" s="910">
        <v>17</v>
      </c>
      <c r="R18" s="910">
        <v>28</v>
      </c>
      <c r="S18" s="910">
        <v>0</v>
      </c>
      <c r="T18" s="910">
        <v>0</v>
      </c>
      <c r="U18" s="910">
        <v>0</v>
      </c>
      <c r="V18" s="910">
        <v>0</v>
      </c>
      <c r="W18" s="929">
        <v>17</v>
      </c>
      <c r="X18" s="929">
        <v>9</v>
      </c>
      <c r="Y18" s="929">
        <v>43</v>
      </c>
      <c r="Z18" s="933">
        <v>29</v>
      </c>
      <c r="AA18" s="929">
        <v>20</v>
      </c>
      <c r="AB18" s="933">
        <v>29</v>
      </c>
      <c r="AC18" s="929">
        <v>14</v>
      </c>
    </row>
    <row r="19" spans="1:29" ht="12.75">
      <c r="A19" s="929" t="s">
        <v>228</v>
      </c>
      <c r="B19" s="910">
        <v>22</v>
      </c>
      <c r="C19" s="910">
        <v>20</v>
      </c>
      <c r="D19" s="910">
        <v>11</v>
      </c>
      <c r="E19" s="929" t="str">
        <f>"LI-IV-"&amp;$G$14</f>
        <v>LI-IV-11</v>
      </c>
      <c r="F19" s="929" t="s">
        <v>229</v>
      </c>
      <c r="G19" s="910">
        <v>3</v>
      </c>
      <c r="H19" s="911">
        <v>0</v>
      </c>
      <c r="I19" s="911">
        <v>0</v>
      </c>
      <c r="J19" s="910">
        <v>4</v>
      </c>
      <c r="K19" s="910">
        <v>5</v>
      </c>
      <c r="L19" s="910">
        <v>6</v>
      </c>
      <c r="M19" s="910">
        <v>7</v>
      </c>
      <c r="N19" s="910">
        <v>10</v>
      </c>
      <c r="O19" s="910">
        <v>11</v>
      </c>
      <c r="P19" s="910">
        <v>14</v>
      </c>
      <c r="Q19" s="910">
        <v>17</v>
      </c>
      <c r="R19" s="910">
        <v>28</v>
      </c>
      <c r="S19" s="910">
        <v>0</v>
      </c>
      <c r="T19" s="910">
        <v>0</v>
      </c>
      <c r="U19" s="910">
        <v>0</v>
      </c>
      <c r="V19" s="910">
        <v>0</v>
      </c>
      <c r="W19" s="929">
        <v>20</v>
      </c>
      <c r="X19" s="929">
        <v>9</v>
      </c>
      <c r="Y19" s="929">
        <v>43</v>
      </c>
      <c r="Z19" s="933">
        <v>29</v>
      </c>
      <c r="AA19" s="929">
        <v>20</v>
      </c>
      <c r="AB19" s="933">
        <v>29</v>
      </c>
      <c r="AC19" s="929">
        <v>14</v>
      </c>
    </row>
    <row r="20" spans="1:29" ht="12.75">
      <c r="A20" s="930" t="s">
        <v>167</v>
      </c>
      <c r="B20" s="912">
        <v>22</v>
      </c>
      <c r="C20" s="912">
        <v>20</v>
      </c>
      <c r="D20" s="912">
        <v>12</v>
      </c>
      <c r="E20" s="930" t="str">
        <f>"TR-"&amp;$G$14</f>
        <v>TR-11</v>
      </c>
      <c r="F20" s="930" t="s">
        <v>217</v>
      </c>
      <c r="G20" s="910">
        <v>3</v>
      </c>
      <c r="H20" s="911">
        <v>0</v>
      </c>
      <c r="I20" s="911">
        <v>0</v>
      </c>
      <c r="J20" s="912">
        <v>4</v>
      </c>
      <c r="K20" s="912">
        <v>5</v>
      </c>
      <c r="L20" s="912">
        <v>6</v>
      </c>
      <c r="M20" s="912">
        <v>7</v>
      </c>
      <c r="N20" s="912">
        <v>9</v>
      </c>
      <c r="O20" s="912">
        <v>10</v>
      </c>
      <c r="P20" s="912">
        <v>13</v>
      </c>
      <c r="Q20" s="912">
        <v>15</v>
      </c>
      <c r="R20" s="912">
        <v>16</v>
      </c>
      <c r="S20" s="912">
        <v>26</v>
      </c>
      <c r="T20" s="912">
        <v>0</v>
      </c>
      <c r="U20" s="912">
        <v>0</v>
      </c>
      <c r="V20" s="912">
        <v>0</v>
      </c>
      <c r="W20" s="930">
        <v>26</v>
      </c>
      <c r="X20" s="930">
        <v>9</v>
      </c>
      <c r="Y20" s="930">
        <v>43</v>
      </c>
      <c r="Z20" s="930">
        <v>27</v>
      </c>
      <c r="AA20" s="930">
        <v>20</v>
      </c>
      <c r="AB20" s="930">
        <v>27</v>
      </c>
      <c r="AC20" s="930">
        <v>13</v>
      </c>
    </row>
    <row r="21" spans="1:29" ht="12.75">
      <c r="A21" s="929" t="s">
        <v>168</v>
      </c>
      <c r="B21" s="910">
        <v>24</v>
      </c>
      <c r="C21" s="910">
        <v>20</v>
      </c>
      <c r="D21" s="910">
        <v>9</v>
      </c>
      <c r="E21" s="929" t="str">
        <f>"SA-"&amp;$G$14</f>
        <v>SA-11</v>
      </c>
      <c r="F21" s="929" t="s">
        <v>221</v>
      </c>
      <c r="G21" s="910">
        <v>3</v>
      </c>
      <c r="H21" s="911">
        <v>0</v>
      </c>
      <c r="I21" s="911">
        <v>0</v>
      </c>
      <c r="J21" s="910">
        <v>4</v>
      </c>
      <c r="K21" s="910">
        <v>5</v>
      </c>
      <c r="L21" s="910">
        <v>6</v>
      </c>
      <c r="M21" s="910">
        <v>8</v>
      </c>
      <c r="N21" s="910">
        <v>9</v>
      </c>
      <c r="O21" s="910">
        <v>12</v>
      </c>
      <c r="P21" s="910">
        <v>13</v>
      </c>
      <c r="Q21" s="910">
        <v>18</v>
      </c>
      <c r="R21" s="910">
        <v>0</v>
      </c>
      <c r="S21" s="910">
        <v>0</v>
      </c>
      <c r="T21" s="910">
        <v>0</v>
      </c>
      <c r="U21" s="910">
        <v>0</v>
      </c>
      <c r="V21" s="910">
        <v>0</v>
      </c>
      <c r="W21" s="929">
        <v>31</v>
      </c>
      <c r="X21" s="929">
        <v>9</v>
      </c>
      <c r="Y21" s="929">
        <v>45</v>
      </c>
      <c r="Z21" s="929">
        <v>20</v>
      </c>
      <c r="AA21" s="929">
        <v>22</v>
      </c>
      <c r="AB21" s="929">
        <v>20</v>
      </c>
      <c r="AC21" s="929">
        <v>12</v>
      </c>
    </row>
    <row r="22" spans="1:29" ht="12.75">
      <c r="A22" s="929" t="s">
        <v>176</v>
      </c>
      <c r="B22" s="910">
        <v>22</v>
      </c>
      <c r="C22" s="910">
        <v>20</v>
      </c>
      <c r="D22" s="910">
        <v>10</v>
      </c>
      <c r="E22" s="929" t="str">
        <f>"RE-"&amp;$G$14</f>
        <v>RE-11</v>
      </c>
      <c r="F22" s="929" t="s">
        <v>224</v>
      </c>
      <c r="G22" s="910">
        <v>3</v>
      </c>
      <c r="H22" s="911">
        <v>0</v>
      </c>
      <c r="I22" s="911">
        <v>0</v>
      </c>
      <c r="J22" s="910">
        <v>4</v>
      </c>
      <c r="K22" s="910">
        <v>5</v>
      </c>
      <c r="L22" s="910">
        <v>6</v>
      </c>
      <c r="M22" s="910">
        <v>8</v>
      </c>
      <c r="N22" s="910">
        <v>9</v>
      </c>
      <c r="O22" s="910">
        <v>12</v>
      </c>
      <c r="P22" s="910">
        <v>14</v>
      </c>
      <c r="Q22" s="910">
        <v>20</v>
      </c>
      <c r="R22" s="910">
        <v>0</v>
      </c>
      <c r="S22" s="910">
        <v>0</v>
      </c>
      <c r="T22" s="910">
        <v>0</v>
      </c>
      <c r="U22" s="910">
        <v>0</v>
      </c>
      <c r="V22" s="910">
        <v>0</v>
      </c>
      <c r="W22" s="929">
        <v>39</v>
      </c>
      <c r="X22" s="929">
        <v>9</v>
      </c>
      <c r="Y22" s="929">
        <v>43</v>
      </c>
      <c r="Z22" s="929">
        <v>21</v>
      </c>
      <c r="AA22" s="929">
        <v>20</v>
      </c>
      <c r="AB22" s="929">
        <v>21</v>
      </c>
      <c r="AC22" s="929">
        <v>12</v>
      </c>
    </row>
    <row r="23" spans="1:29" ht="12.75">
      <c r="A23" s="929" t="s">
        <v>249</v>
      </c>
      <c r="B23" s="910">
        <v>22</v>
      </c>
      <c r="C23" s="910">
        <v>20</v>
      </c>
      <c r="D23" s="910">
        <v>10</v>
      </c>
      <c r="E23" s="929" t="str">
        <f>"RE-IV-"&amp;$G$14</f>
        <v>RE-IV-11</v>
      </c>
      <c r="F23" s="929" t="s">
        <v>250</v>
      </c>
      <c r="G23" s="910">
        <v>3</v>
      </c>
      <c r="H23" s="911">
        <v>0</v>
      </c>
      <c r="I23" s="911">
        <v>0</v>
      </c>
      <c r="J23" s="910">
        <v>4</v>
      </c>
      <c r="K23" s="910">
        <v>5</v>
      </c>
      <c r="L23" s="910">
        <v>6</v>
      </c>
      <c r="M23" s="910">
        <v>8</v>
      </c>
      <c r="N23" s="910">
        <v>9</v>
      </c>
      <c r="O23" s="910">
        <v>12</v>
      </c>
      <c r="P23" s="910">
        <v>14</v>
      </c>
      <c r="Q23" s="910">
        <v>20</v>
      </c>
      <c r="R23" s="910">
        <v>0</v>
      </c>
      <c r="S23" s="910">
        <v>0</v>
      </c>
      <c r="T23" s="910">
        <v>0</v>
      </c>
      <c r="U23" s="910">
        <v>0</v>
      </c>
      <c r="V23" s="910">
        <v>0</v>
      </c>
      <c r="W23" s="929">
        <v>43</v>
      </c>
      <c r="X23" s="929">
        <v>9</v>
      </c>
      <c r="Y23" s="929">
        <v>43</v>
      </c>
      <c r="Z23" s="929">
        <v>21</v>
      </c>
      <c r="AA23" s="929">
        <v>20</v>
      </c>
      <c r="AB23" s="929">
        <v>21</v>
      </c>
      <c r="AC23" s="929">
        <v>12</v>
      </c>
    </row>
    <row r="24" spans="1:29" ht="12.75">
      <c r="A24" s="929" t="s">
        <v>169</v>
      </c>
      <c r="B24" s="910">
        <v>19</v>
      </c>
      <c r="C24" s="910">
        <v>20</v>
      </c>
      <c r="D24" s="910">
        <v>11</v>
      </c>
      <c r="E24" s="929" t="str">
        <f>"LI-YACY-"&amp;$G$14</f>
        <v>LI-YACY-11</v>
      </c>
      <c r="F24" s="929" t="s">
        <v>214</v>
      </c>
      <c r="G24" s="910">
        <v>3</v>
      </c>
      <c r="H24" s="911">
        <v>0</v>
      </c>
      <c r="I24" s="911">
        <v>0</v>
      </c>
      <c r="J24" s="910">
        <v>4</v>
      </c>
      <c r="K24" s="910">
        <v>5</v>
      </c>
      <c r="L24" s="910">
        <v>6</v>
      </c>
      <c r="M24" s="910">
        <v>0</v>
      </c>
      <c r="N24" s="910">
        <v>7</v>
      </c>
      <c r="O24" s="910">
        <v>8</v>
      </c>
      <c r="P24" s="910">
        <v>11</v>
      </c>
      <c r="Q24" s="910">
        <v>0</v>
      </c>
      <c r="R24" s="910">
        <v>0</v>
      </c>
      <c r="S24" s="910">
        <v>0</v>
      </c>
      <c r="T24" s="910">
        <v>0</v>
      </c>
      <c r="U24" s="910">
        <v>0</v>
      </c>
      <c r="V24" s="910">
        <v>0</v>
      </c>
      <c r="W24" s="929">
        <v>18</v>
      </c>
      <c r="X24" s="929">
        <v>9</v>
      </c>
      <c r="Y24" s="929">
        <v>40</v>
      </c>
      <c r="Z24" s="933">
        <v>22</v>
      </c>
      <c r="AA24" s="929">
        <v>17</v>
      </c>
      <c r="AB24" s="933">
        <v>22</v>
      </c>
      <c r="AC24" s="929">
        <v>11</v>
      </c>
    </row>
    <row r="25" spans="1:29" ht="12.75">
      <c r="A25" s="929" t="s">
        <v>180</v>
      </c>
      <c r="B25" s="910">
        <v>21</v>
      </c>
      <c r="C25" s="910">
        <v>20</v>
      </c>
      <c r="D25" s="910">
        <v>8</v>
      </c>
      <c r="E25" s="929" t="str">
        <f>"RE-YACY-"&amp;$G$14</f>
        <v>RE-YACY-11</v>
      </c>
      <c r="F25" s="929" t="s">
        <v>225</v>
      </c>
      <c r="G25" s="910">
        <v>3</v>
      </c>
      <c r="H25" s="911">
        <v>0</v>
      </c>
      <c r="I25" s="911">
        <v>0</v>
      </c>
      <c r="J25" s="910">
        <v>4</v>
      </c>
      <c r="K25" s="910">
        <v>5</v>
      </c>
      <c r="L25" s="910">
        <v>6</v>
      </c>
      <c r="M25" s="910">
        <v>7</v>
      </c>
      <c r="N25" s="910">
        <v>8</v>
      </c>
      <c r="O25" s="910">
        <v>11</v>
      </c>
      <c r="P25" s="910">
        <v>0</v>
      </c>
      <c r="Q25" s="910">
        <v>0</v>
      </c>
      <c r="R25" s="910">
        <v>0</v>
      </c>
      <c r="S25" s="910">
        <v>0</v>
      </c>
      <c r="T25" s="910">
        <v>0</v>
      </c>
      <c r="U25" s="910">
        <v>0</v>
      </c>
      <c r="V25" s="910">
        <v>0</v>
      </c>
      <c r="W25" s="929">
        <v>41</v>
      </c>
      <c r="X25" s="929">
        <v>9</v>
      </c>
      <c r="Y25" s="929">
        <v>42</v>
      </c>
      <c r="Z25" s="929">
        <v>22</v>
      </c>
      <c r="AA25" s="929">
        <v>19</v>
      </c>
      <c r="AB25" s="929">
        <v>22</v>
      </c>
      <c r="AC25" s="929">
        <v>11</v>
      </c>
    </row>
    <row r="26" spans="1:29" ht="12.75">
      <c r="A26" s="929" t="s">
        <v>170</v>
      </c>
      <c r="B26" s="910">
        <v>22</v>
      </c>
      <c r="C26" s="910">
        <v>20</v>
      </c>
      <c r="D26" s="910">
        <v>11</v>
      </c>
      <c r="E26" s="929" t="str">
        <f>"LI-LITSA-"&amp;$G$14</f>
        <v>LI-LITSA-11</v>
      </c>
      <c r="F26" s="929" t="s">
        <v>215</v>
      </c>
      <c r="G26" s="910">
        <v>3</v>
      </c>
      <c r="H26" s="911">
        <v>0</v>
      </c>
      <c r="I26" s="911">
        <v>0</v>
      </c>
      <c r="J26" s="910">
        <v>4</v>
      </c>
      <c r="K26" s="910">
        <v>5</v>
      </c>
      <c r="L26" s="910">
        <v>6</v>
      </c>
      <c r="M26" s="910">
        <v>7</v>
      </c>
      <c r="N26" s="910">
        <v>10</v>
      </c>
      <c r="O26" s="910">
        <v>11</v>
      </c>
      <c r="P26" s="910">
        <v>14</v>
      </c>
      <c r="Q26" s="910">
        <v>17</v>
      </c>
      <c r="R26" s="910">
        <v>28</v>
      </c>
      <c r="S26" s="910">
        <v>0</v>
      </c>
      <c r="T26" s="910">
        <v>0</v>
      </c>
      <c r="U26" s="910">
        <v>0</v>
      </c>
      <c r="V26" s="910">
        <v>0</v>
      </c>
      <c r="W26" s="929">
        <v>19</v>
      </c>
      <c r="X26" s="929">
        <v>9</v>
      </c>
      <c r="Y26" s="929">
        <v>43</v>
      </c>
      <c r="Z26" s="933">
        <v>30</v>
      </c>
      <c r="AA26" s="929">
        <v>20</v>
      </c>
      <c r="AB26" s="933">
        <v>30</v>
      </c>
      <c r="AC26" s="929">
        <v>14</v>
      </c>
    </row>
    <row r="27" spans="1:29" ht="12.75">
      <c r="A27" s="929" t="s">
        <v>171</v>
      </c>
      <c r="B27" s="910">
        <v>22</v>
      </c>
      <c r="C27" s="910">
        <v>20</v>
      </c>
      <c r="D27" s="912">
        <v>12</v>
      </c>
      <c r="E27" s="929" t="str">
        <f>"TR-LITSA-"&amp;$G$14</f>
        <v>TR-LITSA-11</v>
      </c>
      <c r="F27" s="929" t="s">
        <v>218</v>
      </c>
      <c r="G27" s="910">
        <v>3</v>
      </c>
      <c r="H27" s="911">
        <v>0</v>
      </c>
      <c r="I27" s="911">
        <v>0</v>
      </c>
      <c r="J27" s="912">
        <v>4</v>
      </c>
      <c r="K27" s="912">
        <v>5</v>
      </c>
      <c r="L27" s="912">
        <v>6</v>
      </c>
      <c r="M27" s="912">
        <v>7</v>
      </c>
      <c r="N27" s="912">
        <v>9</v>
      </c>
      <c r="O27" s="912">
        <v>10</v>
      </c>
      <c r="P27" s="912">
        <v>13</v>
      </c>
      <c r="Q27" s="912">
        <v>15</v>
      </c>
      <c r="R27" s="912">
        <v>16</v>
      </c>
      <c r="S27" s="912">
        <v>26</v>
      </c>
      <c r="T27" s="912">
        <v>0</v>
      </c>
      <c r="U27" s="912">
        <v>0</v>
      </c>
      <c r="V27" s="912">
        <v>0</v>
      </c>
      <c r="W27" s="930">
        <v>27</v>
      </c>
      <c r="X27" s="930">
        <v>9</v>
      </c>
      <c r="Y27" s="930">
        <v>43</v>
      </c>
      <c r="Z27" s="930">
        <v>27</v>
      </c>
      <c r="AA27" s="930">
        <v>20</v>
      </c>
      <c r="AB27" s="930">
        <v>27</v>
      </c>
      <c r="AC27" s="930">
        <v>13</v>
      </c>
    </row>
    <row r="28" spans="1:29" ht="12.75">
      <c r="A28" s="929" t="s">
        <v>181</v>
      </c>
      <c r="B28" s="910">
        <v>24</v>
      </c>
      <c r="C28" s="910">
        <v>20</v>
      </c>
      <c r="D28" s="910">
        <v>10</v>
      </c>
      <c r="E28" s="929" t="str">
        <f>"RE-LITSA-"&amp;$G$14</f>
        <v>RE-LITSA-11</v>
      </c>
      <c r="F28" s="929" t="s">
        <v>226</v>
      </c>
      <c r="G28" s="910">
        <v>3</v>
      </c>
      <c r="H28" s="911">
        <v>0</v>
      </c>
      <c r="I28" s="911">
        <v>0</v>
      </c>
      <c r="J28" s="910">
        <v>4</v>
      </c>
      <c r="K28" s="910">
        <v>5</v>
      </c>
      <c r="L28" s="910">
        <v>6</v>
      </c>
      <c r="M28" s="910">
        <v>8</v>
      </c>
      <c r="N28" s="910">
        <v>9</v>
      </c>
      <c r="O28" s="910">
        <v>12</v>
      </c>
      <c r="P28" s="910">
        <v>14</v>
      </c>
      <c r="Q28" s="910">
        <v>20</v>
      </c>
      <c r="R28" s="910">
        <v>0</v>
      </c>
      <c r="S28" s="910">
        <v>0</v>
      </c>
      <c r="T28" s="910">
        <v>0</v>
      </c>
      <c r="U28" s="910">
        <v>0</v>
      </c>
      <c r="V28" s="910">
        <v>0</v>
      </c>
      <c r="W28" s="929">
        <v>42</v>
      </c>
      <c r="X28" s="929">
        <v>9</v>
      </c>
      <c r="Y28" s="929">
        <v>45</v>
      </c>
      <c r="Z28" s="929">
        <v>22</v>
      </c>
      <c r="AA28" s="929">
        <v>22</v>
      </c>
      <c r="AB28" s="929">
        <v>22</v>
      </c>
      <c r="AC28" s="929">
        <v>13</v>
      </c>
    </row>
    <row r="29" spans="1:29" ht="12.75">
      <c r="A29" s="929" t="s">
        <v>172</v>
      </c>
      <c r="B29" s="910">
        <v>20</v>
      </c>
      <c r="C29" s="910">
        <v>20</v>
      </c>
      <c r="D29" s="912">
        <v>12</v>
      </c>
      <c r="E29" s="929" t="str">
        <f>"TR-TIBA-"&amp;$G$14</f>
        <v>TR-TIBA-11</v>
      </c>
      <c r="F29" s="929" t="s">
        <v>220</v>
      </c>
      <c r="G29" s="910">
        <v>3</v>
      </c>
      <c r="H29" s="911">
        <v>0</v>
      </c>
      <c r="I29" s="911">
        <v>0</v>
      </c>
      <c r="J29" s="912">
        <v>4</v>
      </c>
      <c r="K29" s="912">
        <v>5</v>
      </c>
      <c r="L29" s="912">
        <v>6</v>
      </c>
      <c r="M29" s="912">
        <v>7</v>
      </c>
      <c r="N29" s="912">
        <v>9</v>
      </c>
      <c r="O29" s="912">
        <v>10</v>
      </c>
      <c r="P29" s="912">
        <v>13</v>
      </c>
      <c r="Q29" s="912">
        <v>15</v>
      </c>
      <c r="R29" s="912">
        <v>16</v>
      </c>
      <c r="S29" s="912">
        <v>26</v>
      </c>
      <c r="T29" s="912">
        <v>0</v>
      </c>
      <c r="U29" s="912">
        <v>0</v>
      </c>
      <c r="V29" s="912">
        <v>0</v>
      </c>
      <c r="W29" s="930">
        <v>28</v>
      </c>
      <c r="X29" s="930">
        <v>9</v>
      </c>
      <c r="Y29" s="930">
        <v>41</v>
      </c>
      <c r="Z29" s="930">
        <v>27</v>
      </c>
      <c r="AA29" s="930">
        <v>18</v>
      </c>
      <c r="AB29" s="930">
        <v>27</v>
      </c>
      <c r="AC29" s="930">
        <v>13</v>
      </c>
    </row>
    <row r="30" spans="1:29" ht="12.75">
      <c r="A30" s="929" t="s">
        <v>174</v>
      </c>
      <c r="B30" s="910">
        <v>22</v>
      </c>
      <c r="C30" s="910">
        <v>20</v>
      </c>
      <c r="D30" s="910">
        <v>9</v>
      </c>
      <c r="E30" s="929" t="str">
        <f>"SA-TIBA-"&amp;$G$14</f>
        <v>SA-TIBA-11</v>
      </c>
      <c r="F30" s="929" t="s">
        <v>222</v>
      </c>
      <c r="G30" s="910">
        <v>3</v>
      </c>
      <c r="H30" s="911">
        <v>0</v>
      </c>
      <c r="I30" s="911">
        <v>0</v>
      </c>
      <c r="J30" s="910">
        <v>4</v>
      </c>
      <c r="K30" s="910">
        <v>5</v>
      </c>
      <c r="L30" s="910">
        <v>6</v>
      </c>
      <c r="M30" s="910">
        <v>8</v>
      </c>
      <c r="N30" s="910">
        <v>9</v>
      </c>
      <c r="O30" s="910">
        <v>12</v>
      </c>
      <c r="P30" s="910">
        <v>13</v>
      </c>
      <c r="Q30" s="910">
        <v>18</v>
      </c>
      <c r="R30" s="910">
        <v>0</v>
      </c>
      <c r="S30" s="910">
        <v>0</v>
      </c>
      <c r="T30" s="910">
        <v>0</v>
      </c>
      <c r="U30" s="910">
        <v>0</v>
      </c>
      <c r="V30" s="910">
        <v>0</v>
      </c>
      <c r="W30" s="929">
        <v>32</v>
      </c>
      <c r="X30" s="929">
        <v>9</v>
      </c>
      <c r="Y30" s="929">
        <v>43</v>
      </c>
      <c r="Z30" s="929">
        <v>20</v>
      </c>
      <c r="AA30" s="929">
        <v>20</v>
      </c>
      <c r="AB30" s="929">
        <v>20</v>
      </c>
      <c r="AC30" s="929">
        <v>12</v>
      </c>
    </row>
    <row r="31" spans="1:29" ht="12.75">
      <c r="A31" s="929" t="s">
        <v>173</v>
      </c>
      <c r="B31" s="910">
        <v>20</v>
      </c>
      <c r="C31" s="910">
        <v>20</v>
      </c>
      <c r="D31" s="912">
        <v>12</v>
      </c>
      <c r="E31" s="929" t="str">
        <f>"TR-ENECOR-"&amp;$G$14</f>
        <v>TR-ENECOR-11</v>
      </c>
      <c r="F31" s="929" t="s">
        <v>219</v>
      </c>
      <c r="G31" s="910">
        <v>3</v>
      </c>
      <c r="H31" s="911">
        <v>0</v>
      </c>
      <c r="I31" s="911">
        <v>0</v>
      </c>
      <c r="J31" s="912">
        <v>4</v>
      </c>
      <c r="K31" s="912">
        <v>5</v>
      </c>
      <c r="L31" s="912">
        <v>6</v>
      </c>
      <c r="M31" s="912">
        <v>7</v>
      </c>
      <c r="N31" s="912">
        <v>9</v>
      </c>
      <c r="O31" s="912">
        <v>10</v>
      </c>
      <c r="P31" s="912">
        <v>13</v>
      </c>
      <c r="Q31" s="912">
        <v>15</v>
      </c>
      <c r="R31" s="912">
        <v>16</v>
      </c>
      <c r="S31" s="912">
        <v>26</v>
      </c>
      <c r="T31" s="912">
        <v>0</v>
      </c>
      <c r="U31" s="912">
        <v>0</v>
      </c>
      <c r="V31" s="912">
        <v>0</v>
      </c>
      <c r="W31" s="930">
        <v>29</v>
      </c>
      <c r="X31" s="930">
        <v>9</v>
      </c>
      <c r="Y31" s="930">
        <v>41</v>
      </c>
      <c r="Z31" s="930">
        <v>27</v>
      </c>
      <c r="AA31" s="930">
        <v>20</v>
      </c>
      <c r="AB31" s="930">
        <v>27</v>
      </c>
      <c r="AC31" s="930">
        <v>13</v>
      </c>
    </row>
    <row r="32" spans="1:29" ht="12.75">
      <c r="A32" s="929" t="s">
        <v>175</v>
      </c>
      <c r="B32" s="910">
        <v>22</v>
      </c>
      <c r="C32" s="910">
        <v>20</v>
      </c>
      <c r="D32" s="910">
        <v>9</v>
      </c>
      <c r="E32" s="929" t="str">
        <f>"SA-ENECOR-"&amp;$G$14</f>
        <v>SA-ENECOR-11</v>
      </c>
      <c r="F32" s="929" t="s">
        <v>223</v>
      </c>
      <c r="G32" s="910">
        <v>3</v>
      </c>
      <c r="H32" s="911">
        <v>0</v>
      </c>
      <c r="I32" s="911">
        <v>0</v>
      </c>
      <c r="J32" s="910">
        <v>4</v>
      </c>
      <c r="K32" s="910">
        <v>5</v>
      </c>
      <c r="L32" s="910">
        <v>6</v>
      </c>
      <c r="M32" s="910">
        <v>8</v>
      </c>
      <c r="N32" s="910">
        <v>9</v>
      </c>
      <c r="O32" s="910">
        <v>12</v>
      </c>
      <c r="P32" s="910">
        <v>13</v>
      </c>
      <c r="Q32" s="910">
        <v>18</v>
      </c>
      <c r="R32" s="910">
        <v>0</v>
      </c>
      <c r="S32" s="910">
        <v>0</v>
      </c>
      <c r="T32" s="910">
        <v>0</v>
      </c>
      <c r="U32" s="910">
        <v>0</v>
      </c>
      <c r="V32" s="910">
        <v>0</v>
      </c>
      <c r="W32" s="929">
        <v>33</v>
      </c>
      <c r="X32" s="929">
        <v>9</v>
      </c>
      <c r="Y32" s="929">
        <v>43</v>
      </c>
      <c r="Z32" s="929">
        <v>20</v>
      </c>
      <c r="AA32" s="929">
        <v>20</v>
      </c>
      <c r="AB32" s="929">
        <v>20</v>
      </c>
      <c r="AC32" s="929">
        <v>12</v>
      </c>
    </row>
    <row r="33" spans="1:29" ht="12.75">
      <c r="A33" s="932" t="s">
        <v>230</v>
      </c>
      <c r="B33" s="927">
        <v>32</v>
      </c>
      <c r="C33" s="927">
        <v>25</v>
      </c>
      <c r="D33" s="927">
        <v>11</v>
      </c>
      <c r="E33" s="932" t="s">
        <v>230</v>
      </c>
      <c r="F33" s="931" t="s">
        <v>214</v>
      </c>
      <c r="G33" s="927">
        <v>0</v>
      </c>
      <c r="H33" s="927">
        <v>0</v>
      </c>
      <c r="I33" s="927">
        <v>0</v>
      </c>
      <c r="J33" s="927">
        <v>4</v>
      </c>
      <c r="K33" s="927">
        <v>5</v>
      </c>
      <c r="L33" s="927">
        <v>6</v>
      </c>
      <c r="M33" s="927">
        <v>7</v>
      </c>
      <c r="N33" s="927">
        <v>10</v>
      </c>
      <c r="O33" s="927">
        <v>11</v>
      </c>
      <c r="P33" s="927">
        <v>14</v>
      </c>
      <c r="Q33" s="927">
        <v>17</v>
      </c>
      <c r="R33" s="927">
        <v>28</v>
      </c>
      <c r="S33" s="927">
        <v>0</v>
      </c>
      <c r="T33" s="927">
        <v>0</v>
      </c>
      <c r="U33" s="927">
        <v>0</v>
      </c>
      <c r="V33" s="927">
        <v>0</v>
      </c>
      <c r="W33" s="931">
        <v>0</v>
      </c>
      <c r="X33" s="931">
        <v>0</v>
      </c>
      <c r="Y33" s="931">
        <v>0</v>
      </c>
      <c r="Z33" s="931">
        <v>0</v>
      </c>
      <c r="AA33" s="931">
        <v>0</v>
      </c>
      <c r="AB33" s="931">
        <v>0</v>
      </c>
      <c r="AC33" s="931">
        <v>0</v>
      </c>
    </row>
    <row r="34" spans="1:29" ht="12.75">
      <c r="A34" s="932" t="s">
        <v>243</v>
      </c>
      <c r="B34" s="927">
        <v>61</v>
      </c>
      <c r="C34" s="927">
        <v>25</v>
      </c>
      <c r="D34" s="928">
        <v>12</v>
      </c>
      <c r="E34" s="932" t="s">
        <v>243</v>
      </c>
      <c r="F34" s="931" t="s">
        <v>218</v>
      </c>
      <c r="G34" s="927">
        <v>0</v>
      </c>
      <c r="H34" s="927">
        <v>0</v>
      </c>
      <c r="I34" s="927">
        <v>0</v>
      </c>
      <c r="J34" s="927">
        <v>4</v>
      </c>
      <c r="K34" s="927">
        <v>5</v>
      </c>
      <c r="L34" s="927">
        <v>6</v>
      </c>
      <c r="M34" s="927">
        <v>8</v>
      </c>
      <c r="N34" s="927">
        <v>9</v>
      </c>
      <c r="O34" s="927">
        <v>10</v>
      </c>
      <c r="P34" s="927">
        <v>13</v>
      </c>
      <c r="Q34" s="927">
        <v>15</v>
      </c>
      <c r="R34" s="927">
        <v>16</v>
      </c>
      <c r="S34" s="927">
        <v>0</v>
      </c>
      <c r="T34" s="927">
        <v>0</v>
      </c>
      <c r="U34" s="927">
        <v>0</v>
      </c>
      <c r="V34" s="927">
        <v>0</v>
      </c>
      <c r="W34" s="931">
        <v>0</v>
      </c>
      <c r="X34" s="931">
        <v>0</v>
      </c>
      <c r="Y34" s="931">
        <v>0</v>
      </c>
      <c r="Z34" s="931">
        <v>0</v>
      </c>
      <c r="AA34" s="931">
        <v>0</v>
      </c>
      <c r="AB34" s="931">
        <v>0</v>
      </c>
      <c r="AC34" s="931">
        <v>0</v>
      </c>
    </row>
    <row r="35" spans="1:29" ht="12.75">
      <c r="A35" s="932" t="s">
        <v>243</v>
      </c>
      <c r="B35" s="927">
        <v>32</v>
      </c>
      <c r="C35" s="927">
        <v>25</v>
      </c>
      <c r="D35" s="927">
        <v>11</v>
      </c>
      <c r="E35" s="932" t="s">
        <v>243</v>
      </c>
      <c r="F35" s="931" t="s">
        <v>215</v>
      </c>
      <c r="G35" s="927">
        <v>0</v>
      </c>
      <c r="H35" s="927">
        <v>0</v>
      </c>
      <c r="I35" s="927">
        <v>0</v>
      </c>
      <c r="J35" s="927">
        <v>4</v>
      </c>
      <c r="K35" s="927">
        <v>5</v>
      </c>
      <c r="L35" s="927">
        <v>6</v>
      </c>
      <c r="M35" s="927">
        <v>7</v>
      </c>
      <c r="N35" s="927">
        <v>10</v>
      </c>
      <c r="O35" s="927">
        <v>11</v>
      </c>
      <c r="P35" s="927">
        <v>14</v>
      </c>
      <c r="Q35" s="927">
        <v>17</v>
      </c>
      <c r="R35" s="927">
        <v>28</v>
      </c>
      <c r="S35" s="927">
        <v>0</v>
      </c>
      <c r="T35" s="927">
        <v>0</v>
      </c>
      <c r="U35" s="927">
        <v>0</v>
      </c>
      <c r="V35" s="927">
        <v>0</v>
      </c>
      <c r="W35" s="931">
        <v>0</v>
      </c>
      <c r="X35" s="931">
        <v>0</v>
      </c>
      <c r="Y35" s="931">
        <v>0</v>
      </c>
      <c r="Z35" s="931">
        <v>0</v>
      </c>
      <c r="AA35" s="931">
        <v>0</v>
      </c>
      <c r="AB35" s="931">
        <v>0</v>
      </c>
      <c r="AC35" s="931">
        <v>0</v>
      </c>
    </row>
    <row r="36" spans="1:29" ht="12.75">
      <c r="A36" s="932" t="s">
        <v>244</v>
      </c>
      <c r="B36" s="927">
        <v>60</v>
      </c>
      <c r="C36" s="927">
        <v>36</v>
      </c>
      <c r="D36" s="927">
        <v>9</v>
      </c>
      <c r="E36" s="932" t="s">
        <v>244</v>
      </c>
      <c r="F36" s="931" t="s">
        <v>222</v>
      </c>
      <c r="G36" s="927">
        <v>0</v>
      </c>
      <c r="H36" s="927">
        <v>0</v>
      </c>
      <c r="I36" s="927">
        <v>0</v>
      </c>
      <c r="J36" s="927">
        <v>4</v>
      </c>
      <c r="K36" s="927">
        <v>5</v>
      </c>
      <c r="L36" s="927">
        <v>7</v>
      </c>
      <c r="M36" s="927">
        <v>9</v>
      </c>
      <c r="N36" s="927">
        <v>10</v>
      </c>
      <c r="O36" s="927">
        <v>13</v>
      </c>
      <c r="P36" s="927">
        <v>14</v>
      </c>
      <c r="Q36" s="927">
        <v>21</v>
      </c>
      <c r="R36" s="927">
        <v>0</v>
      </c>
      <c r="S36" s="927">
        <v>0</v>
      </c>
      <c r="T36" s="927">
        <v>0</v>
      </c>
      <c r="U36" s="927">
        <v>0</v>
      </c>
      <c r="V36" s="927">
        <v>0</v>
      </c>
      <c r="W36" s="931">
        <v>0</v>
      </c>
      <c r="X36" s="931">
        <v>0</v>
      </c>
      <c r="Y36" s="931">
        <v>0</v>
      </c>
      <c r="Z36" s="931">
        <v>0</v>
      </c>
      <c r="AA36" s="931">
        <v>0</v>
      </c>
      <c r="AB36" s="931">
        <v>0</v>
      </c>
      <c r="AC36" s="931">
        <v>0</v>
      </c>
    </row>
    <row r="37" spans="1:29" ht="12.75">
      <c r="A37" s="932" t="s">
        <v>244</v>
      </c>
      <c r="B37" s="927">
        <v>31</v>
      </c>
      <c r="C37" s="927">
        <v>25</v>
      </c>
      <c r="D37" s="928">
        <v>12</v>
      </c>
      <c r="E37" s="932" t="s">
        <v>244</v>
      </c>
      <c r="F37" s="931" t="s">
        <v>220</v>
      </c>
      <c r="G37" s="927">
        <v>0</v>
      </c>
      <c r="H37" s="927">
        <v>0</v>
      </c>
      <c r="I37" s="927">
        <v>0</v>
      </c>
      <c r="J37" s="927">
        <v>4</v>
      </c>
      <c r="K37" s="927">
        <v>5</v>
      </c>
      <c r="L37" s="927">
        <v>6</v>
      </c>
      <c r="M37" s="927">
        <v>7</v>
      </c>
      <c r="N37" s="927">
        <v>9</v>
      </c>
      <c r="O37" s="927">
        <v>10</v>
      </c>
      <c r="P37" s="927">
        <v>13</v>
      </c>
      <c r="Q37" s="927">
        <v>15</v>
      </c>
      <c r="R37" s="927">
        <v>16</v>
      </c>
      <c r="S37" s="927">
        <v>0</v>
      </c>
      <c r="T37" s="927">
        <v>0</v>
      </c>
      <c r="U37" s="927">
        <v>0</v>
      </c>
      <c r="V37" s="927">
        <v>0</v>
      </c>
      <c r="W37" s="931">
        <v>0</v>
      </c>
      <c r="X37" s="931">
        <v>0</v>
      </c>
      <c r="Y37" s="931">
        <v>0</v>
      </c>
      <c r="Z37" s="931">
        <v>0</v>
      </c>
      <c r="AA37" s="931">
        <v>0</v>
      </c>
      <c r="AB37" s="931">
        <v>0</v>
      </c>
      <c r="AC37" s="931">
        <v>0</v>
      </c>
    </row>
    <row r="38" spans="1:29" ht="12.75">
      <c r="A38" s="932" t="s">
        <v>245</v>
      </c>
      <c r="B38" s="927">
        <v>60</v>
      </c>
      <c r="C38" s="927">
        <v>25</v>
      </c>
      <c r="D38" s="927">
        <v>9</v>
      </c>
      <c r="E38" s="932" t="s">
        <v>245</v>
      </c>
      <c r="F38" s="931" t="s">
        <v>223</v>
      </c>
      <c r="G38" s="927">
        <v>0</v>
      </c>
      <c r="H38" s="927">
        <v>0</v>
      </c>
      <c r="I38" s="927">
        <v>0</v>
      </c>
      <c r="J38" s="927">
        <v>4</v>
      </c>
      <c r="K38" s="927">
        <v>5</v>
      </c>
      <c r="L38" s="927">
        <v>7</v>
      </c>
      <c r="M38" s="927">
        <v>9</v>
      </c>
      <c r="N38" s="927">
        <v>10</v>
      </c>
      <c r="O38" s="927">
        <v>13</v>
      </c>
      <c r="P38" s="927">
        <v>14</v>
      </c>
      <c r="Q38" s="927">
        <v>21</v>
      </c>
      <c r="R38" s="927">
        <v>0</v>
      </c>
      <c r="S38" s="927">
        <v>0</v>
      </c>
      <c r="T38" s="927">
        <v>0</v>
      </c>
      <c r="U38" s="927">
        <v>0</v>
      </c>
      <c r="V38" s="927">
        <v>0</v>
      </c>
      <c r="W38" s="931">
        <v>0</v>
      </c>
      <c r="X38" s="931">
        <v>0</v>
      </c>
      <c r="Y38" s="931">
        <v>0</v>
      </c>
      <c r="Z38" s="931">
        <v>0</v>
      </c>
      <c r="AA38" s="931">
        <v>0</v>
      </c>
      <c r="AB38" s="931">
        <v>0</v>
      </c>
      <c r="AC38" s="931">
        <v>0</v>
      </c>
    </row>
    <row r="39" spans="1:29" ht="12.75">
      <c r="A39" s="932" t="s">
        <v>245</v>
      </c>
      <c r="B39" s="927">
        <v>31</v>
      </c>
      <c r="C39" s="927">
        <v>25</v>
      </c>
      <c r="D39" s="928">
        <v>12</v>
      </c>
      <c r="E39" s="932" t="s">
        <v>245</v>
      </c>
      <c r="F39" s="931" t="s">
        <v>219</v>
      </c>
      <c r="G39" s="927">
        <v>0</v>
      </c>
      <c r="H39" s="927">
        <v>0</v>
      </c>
      <c r="I39" s="927">
        <v>0</v>
      </c>
      <c r="J39" s="927">
        <v>4</v>
      </c>
      <c r="K39" s="927">
        <v>5</v>
      </c>
      <c r="L39" s="927">
        <v>6</v>
      </c>
      <c r="M39" s="927">
        <v>7</v>
      </c>
      <c r="N39" s="927">
        <v>9</v>
      </c>
      <c r="O39" s="927">
        <v>10</v>
      </c>
      <c r="P39" s="927">
        <v>13</v>
      </c>
      <c r="Q39" s="927">
        <v>15</v>
      </c>
      <c r="R39" s="927">
        <v>16</v>
      </c>
      <c r="S39" s="927">
        <v>0</v>
      </c>
      <c r="T39" s="927">
        <v>0</v>
      </c>
      <c r="U39" s="927">
        <v>0</v>
      </c>
      <c r="V39" s="927">
        <v>0</v>
      </c>
      <c r="W39" s="931">
        <v>0</v>
      </c>
      <c r="X39" s="931">
        <v>0</v>
      </c>
      <c r="Y39" s="931">
        <v>0</v>
      </c>
      <c r="Z39" s="931">
        <v>0</v>
      </c>
      <c r="AA39" s="931">
        <v>0</v>
      </c>
      <c r="AB39" s="931">
        <v>0</v>
      </c>
      <c r="AC39" s="931">
        <v>0</v>
      </c>
    </row>
  </sheetData>
  <printOptions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46" r:id="rId1"/>
  <headerFooter alignWithMargins="0">
    <oddFooter>&amp;L&amp;"Times New Roman,Normal"&amp;5&amp;F  - TRANSPORTE de ENERGÍA ELÉCTRICA - PJL - JI -JM -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AD45"/>
  <sheetViews>
    <sheetView zoomScale="75" zoomScaleNormal="75" workbookViewId="0" topLeftCell="C1">
      <selection activeCell="N30" sqref="N30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4" width="45.7109375" style="0" customWidth="1"/>
    <col min="5" max="6" width="9.7109375" style="0" customWidth="1"/>
    <col min="7" max="7" width="3.8515625" style="0" customWidth="1"/>
    <col min="8" max="8" width="3.140625" style="0" hidden="1" customWidth="1"/>
    <col min="9" max="9" width="6.00390625" style="0" hidden="1" customWidth="1"/>
    <col min="10" max="11" width="15.7109375" style="0" customWidth="1"/>
    <col min="12" max="14" width="9.7109375" style="0" customWidth="1"/>
    <col min="15" max="15" width="8.7109375" style="0" customWidth="1"/>
    <col min="16" max="16" width="5.421875" style="0" customWidth="1"/>
    <col min="17" max="17" width="6.00390625" style="0" customWidth="1"/>
    <col min="18" max="19" width="12.28125" style="0" hidden="1" customWidth="1"/>
    <col min="20" max="25" width="5.7109375" style="0" hidden="1" customWidth="1"/>
    <col min="26" max="26" width="12.28125" style="0" hidden="1" customWidth="1"/>
    <col min="27" max="27" width="13.421875" style="0" hidden="1" customWidth="1"/>
    <col min="28" max="28" width="9.7109375" style="0" customWidth="1"/>
    <col min="29" max="30" width="15.7109375" style="0" customWidth="1"/>
    <col min="31" max="31" width="30.421875" style="0" customWidth="1"/>
    <col min="32" max="32" width="3.140625" style="0" customWidth="1"/>
    <col min="33" max="33" width="3.57421875" style="0" customWidth="1"/>
    <col min="34" max="34" width="24.28125" style="0" customWidth="1"/>
    <col min="35" max="35" width="4.7109375" style="0" customWidth="1"/>
    <col min="36" max="36" width="7.57421875" style="0" customWidth="1"/>
    <col min="37" max="38" width="4.140625" style="0" customWidth="1"/>
    <col min="39" max="39" width="7.140625" style="0" customWidth="1"/>
    <col min="40" max="40" width="5.28125" style="0" customWidth="1"/>
    <col min="41" max="41" width="5.421875" style="0" customWidth="1"/>
    <col min="42" max="42" width="4.7109375" style="0" customWidth="1"/>
    <col min="43" max="43" width="5.28125" style="0" customWidth="1"/>
    <col min="44" max="45" width="13.28125" style="0" customWidth="1"/>
    <col min="46" max="46" width="6.57421875" style="0" customWidth="1"/>
    <col min="47" max="47" width="6.421875" style="0" customWidth="1"/>
    <col min="52" max="52" width="12.7109375" style="0" customWidth="1"/>
    <col min="56" max="56" width="21.00390625" style="0" customWidth="1"/>
  </cols>
  <sheetData>
    <row r="1" spans="1:30" s="18" customFormat="1" ht="26.25">
      <c r="A1"/>
      <c r="C1"/>
      <c r="E1"/>
      <c r="G1"/>
      <c r="I1"/>
      <c r="K1"/>
      <c r="M1"/>
      <c r="O1"/>
      <c r="Q1"/>
      <c r="S1"/>
      <c r="U1"/>
      <c r="W1"/>
      <c r="Y1"/>
      <c r="AD1" s="146"/>
    </row>
    <row r="2" spans="1:30" s="18" customFormat="1" ht="26.25">
      <c r="A2" s="91"/>
      <c r="B2" s="19" t="str">
        <f>+'TOT-1108'!B2</f>
        <v>ANEXO VI al Memoràndum D.T.E.E. N°  366 / 2010          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="5" customFormat="1" ht="12.75">
      <c r="A3" s="90"/>
    </row>
    <row r="4" spans="1:2" s="25" customFormat="1" ht="11.25">
      <c r="A4" s="23" t="s">
        <v>2</v>
      </c>
      <c r="B4" s="125"/>
    </row>
    <row r="5" spans="1:2" s="25" customFormat="1" ht="11.25">
      <c r="A5" s="23" t="s">
        <v>3</v>
      </c>
      <c r="B5" s="125"/>
    </row>
    <row r="6" s="5" customFormat="1" ht="13.5" thickBot="1"/>
    <row r="7" spans="2:30" s="5" customFormat="1" ht="13.5" thickTop="1">
      <c r="B7" s="69"/>
      <c r="C7" s="70"/>
      <c r="D7" s="70"/>
      <c r="E7" s="201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94"/>
    </row>
    <row r="8" spans="2:30" s="29" customFormat="1" ht="20.25">
      <c r="B8" s="79"/>
      <c r="C8" s="30"/>
      <c r="D8" s="178" t="s">
        <v>70</v>
      </c>
      <c r="E8" s="30"/>
      <c r="F8" s="30"/>
      <c r="G8" s="30"/>
      <c r="H8" s="30"/>
      <c r="N8" s="30"/>
      <c r="O8" s="30"/>
      <c r="P8" s="11"/>
      <c r="Q8" s="11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108"/>
    </row>
    <row r="9" spans="2:30" s="5" customFormat="1" ht="12.75">
      <c r="B9" s="5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17"/>
    </row>
    <row r="10" spans="2:30" s="29" customFormat="1" ht="20.25">
      <c r="B10" s="79"/>
      <c r="C10" s="30"/>
      <c r="D10" s="11" t="s">
        <v>12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108"/>
    </row>
    <row r="11" spans="2:30" s="5" customFormat="1" ht="12.75">
      <c r="B11" s="50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17"/>
    </row>
    <row r="12" spans="2:30" s="29" customFormat="1" ht="20.25">
      <c r="B12" s="79"/>
      <c r="C12" s="30"/>
      <c r="D12" s="11" t="s">
        <v>163</v>
      </c>
      <c r="E12" s="30"/>
      <c r="F12" s="30"/>
      <c r="G12" s="30"/>
      <c r="I12" s="30"/>
      <c r="J12" s="30"/>
      <c r="K12" s="30"/>
      <c r="L12" s="30"/>
      <c r="M12" s="30"/>
      <c r="N12" s="30"/>
      <c r="O12" s="30"/>
      <c r="P12" s="11"/>
      <c r="Q12" s="11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108"/>
    </row>
    <row r="13" spans="2:30" s="5" customFormat="1" ht="12.75">
      <c r="B13" s="50"/>
      <c r="C13" s="4"/>
      <c r="D13" s="4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17"/>
    </row>
    <row r="14" spans="2:30" s="36" customFormat="1" ht="19.5">
      <c r="B14" s="37" t="str">
        <f>'TOT-1108'!B14</f>
        <v>Desde el 01 al 30 de noviembre de 2008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204"/>
      <c r="O14" s="204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139"/>
    </row>
    <row r="15" spans="2:30" s="5" customFormat="1" ht="16.5" customHeight="1" thickBot="1">
      <c r="B15" s="50"/>
      <c r="C15" s="4"/>
      <c r="D15" s="4"/>
      <c r="E15" s="66"/>
      <c r="F15" s="66"/>
      <c r="G15" s="4"/>
      <c r="H15" s="4"/>
      <c r="I15" s="4"/>
      <c r="J15" s="205"/>
      <c r="K15" s="4"/>
      <c r="L15" s="4"/>
      <c r="M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17"/>
    </row>
    <row r="16" spans="2:30" s="5" customFormat="1" ht="16.5" customHeight="1" thickBot="1" thickTop="1">
      <c r="B16" s="50"/>
      <c r="C16" s="4"/>
      <c r="D16" s="82" t="s">
        <v>97</v>
      </c>
      <c r="E16" s="914">
        <v>117.179</v>
      </c>
      <c r="F16" s="208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17"/>
    </row>
    <row r="17" spans="2:30" s="5" customFormat="1" ht="16.5" customHeight="1" thickBot="1" thickTop="1">
      <c r="B17" s="50"/>
      <c r="C17" s="4"/>
      <c r="D17" s="82" t="s">
        <v>98</v>
      </c>
      <c r="E17" s="914">
        <v>97.649</v>
      </c>
      <c r="F17" s="208"/>
      <c r="G17" s="4"/>
      <c r="H17" s="4"/>
      <c r="I17" s="4"/>
      <c r="J17" s="214"/>
      <c r="K17" s="215"/>
      <c r="L17" s="4"/>
      <c r="M17" s="4"/>
      <c r="N17" s="4"/>
      <c r="O17" s="4"/>
      <c r="P17" s="4"/>
      <c r="Q17" s="4"/>
      <c r="R17" s="4"/>
      <c r="S17" s="4"/>
      <c r="T17" s="4"/>
      <c r="U17" s="4"/>
      <c r="V17" s="116"/>
      <c r="W17" s="116"/>
      <c r="X17" s="116"/>
      <c r="Y17" s="116"/>
      <c r="Z17" s="116"/>
      <c r="AA17" s="116"/>
      <c r="AB17" s="116"/>
      <c r="AD17" s="17"/>
    </row>
    <row r="18" spans="2:30" s="5" customFormat="1" ht="16.5" customHeight="1" thickBot="1" thickTop="1">
      <c r="B18" s="50"/>
      <c r="C18" s="4"/>
      <c r="D18" s="4"/>
      <c r="E18" s="217"/>
      <c r="F18" s="4"/>
      <c r="G18" s="4"/>
      <c r="H18" s="4"/>
      <c r="I18" s="4"/>
      <c r="J18" s="4"/>
      <c r="K18" s="4"/>
      <c r="L18" s="4"/>
      <c r="M18" s="4"/>
      <c r="N18" s="2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17"/>
    </row>
    <row r="19" spans="2:30" s="5" customFormat="1" ht="33.75" customHeight="1" thickBot="1" thickTop="1">
      <c r="B19" s="50"/>
      <c r="C19" s="84" t="s">
        <v>13</v>
      </c>
      <c r="D19" s="85" t="s">
        <v>0</v>
      </c>
      <c r="E19" s="837" t="s">
        <v>14</v>
      </c>
      <c r="F19" s="86" t="s">
        <v>15</v>
      </c>
      <c r="G19" s="220" t="s">
        <v>77</v>
      </c>
      <c r="H19" s="838" t="s">
        <v>37</v>
      </c>
      <c r="I19" s="839" t="s">
        <v>16</v>
      </c>
      <c r="J19" s="85" t="s">
        <v>17</v>
      </c>
      <c r="K19" s="183" t="s">
        <v>18</v>
      </c>
      <c r="L19" s="88" t="s">
        <v>36</v>
      </c>
      <c r="M19" s="86" t="s">
        <v>31</v>
      </c>
      <c r="N19" s="88" t="s">
        <v>19</v>
      </c>
      <c r="O19" s="86" t="s">
        <v>58</v>
      </c>
      <c r="P19" s="183" t="s">
        <v>59</v>
      </c>
      <c r="Q19" s="85" t="s">
        <v>32</v>
      </c>
      <c r="R19" s="137" t="s">
        <v>20</v>
      </c>
      <c r="S19" s="840" t="s">
        <v>21</v>
      </c>
      <c r="T19" s="222" t="s">
        <v>60</v>
      </c>
      <c r="U19" s="223"/>
      <c r="V19" s="224"/>
      <c r="W19" s="841" t="s">
        <v>164</v>
      </c>
      <c r="X19" s="842"/>
      <c r="Y19" s="843"/>
      <c r="Z19" s="225" t="s">
        <v>22</v>
      </c>
      <c r="AA19" s="226" t="s">
        <v>79</v>
      </c>
      <c r="AB19" s="133" t="s">
        <v>80</v>
      </c>
      <c r="AC19" s="133" t="s">
        <v>24</v>
      </c>
      <c r="AD19" s="227"/>
    </row>
    <row r="20" spans="2:30" s="5" customFormat="1" ht="16.5" customHeight="1" thickTop="1">
      <c r="B20" s="50"/>
      <c r="C20" s="185"/>
      <c r="D20" s="893"/>
      <c r="E20" s="893"/>
      <c r="F20" s="915"/>
      <c r="G20" s="892"/>
      <c r="H20" s="894"/>
      <c r="I20" s="895"/>
      <c r="J20" s="907"/>
      <c r="K20" s="907"/>
      <c r="L20" s="892"/>
      <c r="M20" s="892"/>
      <c r="N20" s="892"/>
      <c r="O20" s="892"/>
      <c r="P20" s="892"/>
      <c r="Q20" s="892"/>
      <c r="R20" s="896"/>
      <c r="S20" s="897"/>
      <c r="T20" s="898"/>
      <c r="U20" s="899"/>
      <c r="V20" s="900"/>
      <c r="W20" s="901"/>
      <c r="X20" s="902"/>
      <c r="Y20" s="903"/>
      <c r="Z20" s="904"/>
      <c r="AA20" s="905"/>
      <c r="AB20" s="892"/>
      <c r="AC20" s="844">
        <f>'LI-11 (1)'!AC37</f>
        <v>41552.72</v>
      </c>
      <c r="AD20" s="17"/>
    </row>
    <row r="21" spans="2:30" s="5" customFormat="1" ht="16.5" customHeight="1">
      <c r="B21" s="50"/>
      <c r="C21" s="289"/>
      <c r="D21" s="187"/>
      <c r="E21" s="7"/>
      <c r="F21" s="916"/>
      <c r="G21" s="187"/>
      <c r="H21" s="845"/>
      <c r="I21" s="846"/>
      <c r="J21" s="228"/>
      <c r="K21" s="116"/>
      <c r="L21" s="187"/>
      <c r="M21" s="187"/>
      <c r="N21" s="188"/>
      <c r="O21" s="187"/>
      <c r="P21" s="187"/>
      <c r="Q21" s="187"/>
      <c r="R21" s="847"/>
      <c r="S21" s="848"/>
      <c r="T21" s="849"/>
      <c r="U21" s="850"/>
      <c r="V21" s="851"/>
      <c r="W21" s="852"/>
      <c r="X21" s="853"/>
      <c r="Y21" s="854"/>
      <c r="Z21" s="229"/>
      <c r="AA21" s="230"/>
      <c r="AB21" s="187"/>
      <c r="AC21" s="231"/>
      <c r="AD21" s="17"/>
    </row>
    <row r="22" spans="2:30" s="5" customFormat="1" ht="16.5" customHeight="1">
      <c r="B22" s="50"/>
      <c r="C22" s="157">
        <v>23</v>
      </c>
      <c r="D22" s="157" t="s">
        <v>287</v>
      </c>
      <c r="E22" s="190">
        <v>500</v>
      </c>
      <c r="F22" s="917">
        <v>52</v>
      </c>
      <c r="G22" s="190" t="s">
        <v>259</v>
      </c>
      <c r="H22" s="855">
        <f aca="true" t="shared" si="0" ref="H22:H41">IF(G22="A",200,IF(G22="B",60,20))</f>
        <v>20</v>
      </c>
      <c r="I22" s="856">
        <f aca="true" t="shared" si="1" ref="I22:I41">IF(E22=500,IF(F22&lt;100,100*$E$16/100,F22*$E$16/100),IF(F22&lt;100,100*$E$17/100,F22*$E$17/100))</f>
        <v>117.179</v>
      </c>
      <c r="J22" s="857">
        <v>39774.42013888889</v>
      </c>
      <c r="K22" s="858">
        <v>39774.79791666667</v>
      </c>
      <c r="L22" s="193">
        <f aca="true" t="shared" si="2" ref="L22:L41">IF(D22="","",(K22-J22)*24)</f>
        <v>9.066666666709352</v>
      </c>
      <c r="M22" s="194">
        <f aca="true" t="shared" si="3" ref="M22:M41">IF(D22="","",ROUND((K22-J22)*24*60,0))</f>
        <v>544</v>
      </c>
      <c r="N22" s="234" t="s">
        <v>251</v>
      </c>
      <c r="O22" s="195" t="str">
        <f aca="true" t="shared" si="4" ref="O22:O41">IF(D22="","","--")</f>
        <v>--</v>
      </c>
      <c r="P22" s="155" t="str">
        <f aca="true" t="shared" si="5" ref="P22:P41">IF(D22="","","NO")</f>
        <v>NO</v>
      </c>
      <c r="Q22" s="155" t="str">
        <f aca="true" t="shared" si="6" ref="Q22:Q41">IF(D22="","",IF(OR(N22="P",N22="RP"),"--","NO"))</f>
        <v>--</v>
      </c>
      <c r="R22" s="859">
        <f aca="true" t="shared" si="7" ref="R22:R41">IF(N22="P",I22*H22*ROUND(M22/60,2)*0.01,"--")</f>
        <v>212.562706</v>
      </c>
      <c r="S22" s="860" t="str">
        <f aca="true" t="shared" si="8" ref="S22:S41">IF(N22="RP",I22*H22*ROUND(M22/60,2)*0.01*O22/100,"--")</f>
        <v>--</v>
      </c>
      <c r="T22" s="237" t="str">
        <f aca="true" t="shared" si="9" ref="T22:T41">IF(AND(N22="F",Q22="NO"),I22*H22*IF(P22="SI",1.2,1),"--")</f>
        <v>--</v>
      </c>
      <c r="U22" s="238" t="str">
        <f aca="true" t="shared" si="10" ref="U22:U41">IF(AND(N22="F",M22&gt;=10),I22*H22*IF(P22="SI",1.2,1)*IF(M22&lt;=300,ROUND(M22/60,2),5),"--")</f>
        <v>--</v>
      </c>
      <c r="V22" s="239" t="str">
        <f aca="true" t="shared" si="11" ref="V22:V41">IF(AND(N22="F",M22&gt;300),(ROUND(M22/60,2)-5)*I22*H22*0.1*IF(P22="SI",1.2,1),"--")</f>
        <v>--</v>
      </c>
      <c r="W22" s="861" t="str">
        <f aca="true" t="shared" si="12" ref="W22:W41">IF(AND(N22="R",Q22="NO"),I22*H22*O22/100*IF(P22="SI",1.2,1),"--")</f>
        <v>--</v>
      </c>
      <c r="X22" s="862" t="str">
        <f aca="true" t="shared" si="13" ref="X22:X41">IF(AND(N22="R",M22&gt;=10),I22*H22*O22/100*IF(P22="SI",1.2,1)*IF(M22&lt;=300,ROUND(M22/60,2),5),"--")</f>
        <v>--</v>
      </c>
      <c r="Y22" s="863" t="str">
        <f aca="true" t="shared" si="14" ref="Y22:Y41">IF(AND(N22="R",M22&gt;300),(ROUND(M22/60,2)-5)*I22*H22*0.1*O22/100*IF(P22="SI",1.2,1),"--")</f>
        <v>--</v>
      </c>
      <c r="Z22" s="240" t="str">
        <f aca="true" t="shared" si="15" ref="Z22:Z41">IF(N22="RF",ROUND(M22/60,2)*I22*H22*0.1*IF(P22="SI",1.2,1),"--")</f>
        <v>--</v>
      </c>
      <c r="AA22" s="241" t="str">
        <f aca="true" t="shared" si="16" ref="AA22:AA41">IF(N22="RR",ROUND(M22/60,2)*I22*H22*0.1*O22/100*IF(P22="SI",1.2,1),"--")</f>
        <v>--</v>
      </c>
      <c r="AB22" s="864" t="s">
        <v>248</v>
      </c>
      <c r="AC22" s="16">
        <f aca="true" t="shared" si="17" ref="AC22:AC41">IF(D22="","",SUM(R22:AA22)*IF(AB22="SI",1,2))</f>
        <v>212.562706</v>
      </c>
      <c r="AD22" s="865"/>
    </row>
    <row r="23" spans="2:30" s="5" customFormat="1" ht="16.5" customHeight="1">
      <c r="B23" s="50"/>
      <c r="C23" s="289">
        <v>24</v>
      </c>
      <c r="D23" s="157" t="s">
        <v>289</v>
      </c>
      <c r="E23" s="190">
        <v>500</v>
      </c>
      <c r="F23" s="917">
        <v>289</v>
      </c>
      <c r="G23" s="190" t="s">
        <v>259</v>
      </c>
      <c r="H23" s="855">
        <f t="shared" si="0"/>
        <v>20</v>
      </c>
      <c r="I23" s="856">
        <f t="shared" si="1"/>
        <v>338.64731</v>
      </c>
      <c r="J23" s="857">
        <v>39775.131944444445</v>
      </c>
      <c r="K23" s="858">
        <v>39775.15694444445</v>
      </c>
      <c r="L23" s="193">
        <f t="shared" si="2"/>
        <v>0.6000000000349246</v>
      </c>
      <c r="M23" s="194">
        <f t="shared" si="3"/>
        <v>36</v>
      </c>
      <c r="N23" s="234" t="s">
        <v>251</v>
      </c>
      <c r="O23" s="195" t="str">
        <f t="shared" si="4"/>
        <v>--</v>
      </c>
      <c r="P23" s="155" t="str">
        <f t="shared" si="5"/>
        <v>NO</v>
      </c>
      <c r="Q23" s="155" t="str">
        <f t="shared" si="6"/>
        <v>--</v>
      </c>
      <c r="R23" s="859">
        <f t="shared" si="7"/>
        <v>40.6376772</v>
      </c>
      <c r="S23" s="860" t="str">
        <f t="shared" si="8"/>
        <v>--</v>
      </c>
      <c r="T23" s="237" t="str">
        <f t="shared" si="9"/>
        <v>--</v>
      </c>
      <c r="U23" s="238" t="str">
        <f t="shared" si="10"/>
        <v>--</v>
      </c>
      <c r="V23" s="239" t="str">
        <f t="shared" si="11"/>
        <v>--</v>
      </c>
      <c r="W23" s="861" t="str">
        <f t="shared" si="12"/>
        <v>--</v>
      </c>
      <c r="X23" s="862" t="str">
        <f t="shared" si="13"/>
        <v>--</v>
      </c>
      <c r="Y23" s="863" t="str">
        <f t="shared" si="14"/>
        <v>--</v>
      </c>
      <c r="Z23" s="240" t="str">
        <f t="shared" si="15"/>
        <v>--</v>
      </c>
      <c r="AA23" s="241" t="str">
        <f t="shared" si="16"/>
        <v>--</v>
      </c>
      <c r="AB23" s="864" t="s">
        <v>248</v>
      </c>
      <c r="AC23" s="16">
        <v>0</v>
      </c>
      <c r="AD23" s="865"/>
    </row>
    <row r="24" spans="2:30" s="5" customFormat="1" ht="16.5" customHeight="1">
      <c r="B24" s="50"/>
      <c r="C24" s="157">
        <v>25</v>
      </c>
      <c r="D24" s="866" t="s">
        <v>290</v>
      </c>
      <c r="E24" s="867">
        <v>220</v>
      </c>
      <c r="F24" s="918">
        <v>26</v>
      </c>
      <c r="G24" s="867" t="s">
        <v>259</v>
      </c>
      <c r="H24" s="855">
        <f t="shared" si="0"/>
        <v>20</v>
      </c>
      <c r="I24" s="856">
        <f t="shared" si="1"/>
        <v>97.649</v>
      </c>
      <c r="J24" s="868">
        <v>39775.3125</v>
      </c>
      <c r="K24" s="869">
        <v>39775.7125</v>
      </c>
      <c r="L24" s="193">
        <f t="shared" si="2"/>
        <v>9.600000000034925</v>
      </c>
      <c r="M24" s="194">
        <f t="shared" si="3"/>
        <v>576</v>
      </c>
      <c r="N24" s="234" t="s">
        <v>251</v>
      </c>
      <c r="O24" s="195" t="str">
        <f t="shared" si="4"/>
        <v>--</v>
      </c>
      <c r="P24" s="155" t="str">
        <f t="shared" si="5"/>
        <v>NO</v>
      </c>
      <c r="Q24" s="155" t="str">
        <f t="shared" si="6"/>
        <v>--</v>
      </c>
      <c r="R24" s="859">
        <f t="shared" si="7"/>
        <v>187.48608000000002</v>
      </c>
      <c r="S24" s="860" t="str">
        <f t="shared" si="8"/>
        <v>--</v>
      </c>
      <c r="T24" s="237" t="str">
        <f t="shared" si="9"/>
        <v>--</v>
      </c>
      <c r="U24" s="238" t="str">
        <f t="shared" si="10"/>
        <v>--</v>
      </c>
      <c r="V24" s="239" t="str">
        <f t="shared" si="11"/>
        <v>--</v>
      </c>
      <c r="W24" s="861" t="str">
        <f t="shared" si="12"/>
        <v>--</v>
      </c>
      <c r="X24" s="862" t="str">
        <f t="shared" si="13"/>
        <v>--</v>
      </c>
      <c r="Y24" s="863" t="str">
        <f t="shared" si="14"/>
        <v>--</v>
      </c>
      <c r="Z24" s="240" t="str">
        <f t="shared" si="15"/>
        <v>--</v>
      </c>
      <c r="AA24" s="241" t="str">
        <f t="shared" si="16"/>
        <v>--</v>
      </c>
      <c r="AB24" s="864" t="s">
        <v>248</v>
      </c>
      <c r="AC24" s="16">
        <f t="shared" si="17"/>
        <v>187.48608000000002</v>
      </c>
      <c r="AD24" s="865"/>
    </row>
    <row r="25" spans="2:30" s="5" customFormat="1" ht="16.5" customHeight="1">
      <c r="B25" s="50"/>
      <c r="C25" s="289">
        <v>26</v>
      </c>
      <c r="D25" s="866" t="s">
        <v>287</v>
      </c>
      <c r="E25" s="867">
        <v>500</v>
      </c>
      <c r="F25" s="918">
        <v>52</v>
      </c>
      <c r="G25" s="867" t="s">
        <v>259</v>
      </c>
      <c r="H25" s="855">
        <f t="shared" si="0"/>
        <v>20</v>
      </c>
      <c r="I25" s="856">
        <f t="shared" si="1"/>
        <v>117.179</v>
      </c>
      <c r="J25" s="868">
        <v>39775.42083333333</v>
      </c>
      <c r="K25" s="869">
        <v>39775.79375</v>
      </c>
      <c r="L25" s="193">
        <f t="shared" si="2"/>
        <v>8.950000000011642</v>
      </c>
      <c r="M25" s="194">
        <f t="shared" si="3"/>
        <v>537</v>
      </c>
      <c r="N25" s="234" t="s">
        <v>251</v>
      </c>
      <c r="O25" s="195" t="str">
        <f t="shared" si="4"/>
        <v>--</v>
      </c>
      <c r="P25" s="155" t="str">
        <f t="shared" si="5"/>
        <v>NO</v>
      </c>
      <c r="Q25" s="155" t="str">
        <f t="shared" si="6"/>
        <v>--</v>
      </c>
      <c r="R25" s="859">
        <f t="shared" si="7"/>
        <v>209.75041</v>
      </c>
      <c r="S25" s="860" t="str">
        <f t="shared" si="8"/>
        <v>--</v>
      </c>
      <c r="T25" s="237" t="str">
        <f t="shared" si="9"/>
        <v>--</v>
      </c>
      <c r="U25" s="238" t="str">
        <f t="shared" si="10"/>
        <v>--</v>
      </c>
      <c r="V25" s="239" t="str">
        <f t="shared" si="11"/>
        <v>--</v>
      </c>
      <c r="W25" s="861" t="str">
        <f t="shared" si="12"/>
        <v>--</v>
      </c>
      <c r="X25" s="862" t="str">
        <f t="shared" si="13"/>
        <v>--</v>
      </c>
      <c r="Y25" s="863" t="str">
        <f t="shared" si="14"/>
        <v>--</v>
      </c>
      <c r="Z25" s="240" t="str">
        <f t="shared" si="15"/>
        <v>--</v>
      </c>
      <c r="AA25" s="241" t="str">
        <f t="shared" si="16"/>
        <v>--</v>
      </c>
      <c r="AB25" s="864" t="s">
        <v>248</v>
      </c>
      <c r="AC25" s="16">
        <f t="shared" si="17"/>
        <v>209.75041</v>
      </c>
      <c r="AD25" s="865"/>
    </row>
    <row r="26" spans="2:30" s="5" customFormat="1" ht="16.5" customHeight="1">
      <c r="B26" s="50"/>
      <c r="C26" s="157">
        <v>27</v>
      </c>
      <c r="D26" s="157" t="s">
        <v>291</v>
      </c>
      <c r="E26" s="190">
        <v>500</v>
      </c>
      <c r="F26" s="917">
        <v>150</v>
      </c>
      <c r="G26" s="190" t="s">
        <v>259</v>
      </c>
      <c r="H26" s="855">
        <f t="shared" si="0"/>
        <v>20</v>
      </c>
      <c r="I26" s="856">
        <f t="shared" si="1"/>
        <v>175.7685</v>
      </c>
      <c r="J26" s="857">
        <v>39776.455555555556</v>
      </c>
      <c r="K26" s="858">
        <v>39776.459027777775</v>
      </c>
      <c r="L26" s="193">
        <f t="shared" si="2"/>
        <v>0.08333333325572312</v>
      </c>
      <c r="M26" s="194">
        <f t="shared" si="3"/>
        <v>5</v>
      </c>
      <c r="N26" s="234" t="s">
        <v>279</v>
      </c>
      <c r="O26" s="195" t="str">
        <f t="shared" si="4"/>
        <v>--</v>
      </c>
      <c r="P26" s="155" t="str">
        <f t="shared" si="5"/>
        <v>NO</v>
      </c>
      <c r="Q26" s="155" t="str">
        <f t="shared" si="6"/>
        <v>NO</v>
      </c>
      <c r="R26" s="859" t="str">
        <f t="shared" si="7"/>
        <v>--</v>
      </c>
      <c r="S26" s="860" t="str">
        <f t="shared" si="8"/>
        <v>--</v>
      </c>
      <c r="T26" s="237">
        <f t="shared" si="9"/>
        <v>3515.37</v>
      </c>
      <c r="U26" s="238" t="str">
        <f t="shared" si="10"/>
        <v>--</v>
      </c>
      <c r="V26" s="239" t="str">
        <f t="shared" si="11"/>
        <v>--</v>
      </c>
      <c r="W26" s="861" t="str">
        <f t="shared" si="12"/>
        <v>--</v>
      </c>
      <c r="X26" s="862" t="str">
        <f t="shared" si="13"/>
        <v>--</v>
      </c>
      <c r="Y26" s="863" t="str">
        <f t="shared" si="14"/>
        <v>--</v>
      </c>
      <c r="Z26" s="240" t="str">
        <f t="shared" si="15"/>
        <v>--</v>
      </c>
      <c r="AA26" s="241" t="str">
        <f t="shared" si="16"/>
        <v>--</v>
      </c>
      <c r="AB26" s="864" t="s">
        <v>248</v>
      </c>
      <c r="AC26" s="16">
        <f t="shared" si="17"/>
        <v>3515.37</v>
      </c>
      <c r="AD26" s="865"/>
    </row>
    <row r="27" spans="2:30" s="5" customFormat="1" ht="16.5" customHeight="1">
      <c r="B27" s="50"/>
      <c r="C27" s="289">
        <v>28</v>
      </c>
      <c r="D27" s="157" t="s">
        <v>278</v>
      </c>
      <c r="E27" s="190">
        <v>500</v>
      </c>
      <c r="F27" s="917">
        <v>194</v>
      </c>
      <c r="G27" s="190" t="s">
        <v>259</v>
      </c>
      <c r="H27" s="855">
        <f t="shared" si="0"/>
        <v>20</v>
      </c>
      <c r="I27" s="856">
        <f t="shared" si="1"/>
        <v>227.32726</v>
      </c>
      <c r="J27" s="857">
        <v>39776.77916666667</v>
      </c>
      <c r="K27" s="858">
        <v>39776.79027777778</v>
      </c>
      <c r="L27" s="193">
        <f t="shared" si="2"/>
        <v>0.26666666666278616</v>
      </c>
      <c r="M27" s="194">
        <f t="shared" si="3"/>
        <v>16</v>
      </c>
      <c r="N27" s="234" t="s">
        <v>279</v>
      </c>
      <c r="O27" s="195" t="str">
        <f t="shared" si="4"/>
        <v>--</v>
      </c>
      <c r="P27" s="155" t="str">
        <f t="shared" si="5"/>
        <v>NO</v>
      </c>
      <c r="Q27" s="155" t="str">
        <f t="shared" si="6"/>
        <v>NO</v>
      </c>
      <c r="R27" s="859" t="str">
        <f t="shared" si="7"/>
        <v>--</v>
      </c>
      <c r="S27" s="860" t="str">
        <f t="shared" si="8"/>
        <v>--</v>
      </c>
      <c r="T27" s="237">
        <f t="shared" si="9"/>
        <v>4546.5452</v>
      </c>
      <c r="U27" s="238">
        <f t="shared" si="10"/>
        <v>1227.567204</v>
      </c>
      <c r="V27" s="239" t="str">
        <f t="shared" si="11"/>
        <v>--</v>
      </c>
      <c r="W27" s="861" t="str">
        <f t="shared" si="12"/>
        <v>--</v>
      </c>
      <c r="X27" s="862" t="str">
        <f t="shared" si="13"/>
        <v>--</v>
      </c>
      <c r="Y27" s="863" t="str">
        <f t="shared" si="14"/>
        <v>--</v>
      </c>
      <c r="Z27" s="240" t="str">
        <f t="shared" si="15"/>
        <v>--</v>
      </c>
      <c r="AA27" s="241" t="str">
        <f t="shared" si="16"/>
        <v>--</v>
      </c>
      <c r="AB27" s="864" t="s">
        <v>248</v>
      </c>
      <c r="AC27" s="16">
        <f t="shared" si="17"/>
        <v>5774.1124039999995</v>
      </c>
      <c r="AD27" s="865"/>
    </row>
    <row r="28" spans="2:30" s="5" customFormat="1" ht="16.5" customHeight="1">
      <c r="B28" s="50"/>
      <c r="C28" s="157">
        <v>29</v>
      </c>
      <c r="D28" s="148" t="s">
        <v>291</v>
      </c>
      <c r="E28" s="150">
        <v>500</v>
      </c>
      <c r="F28" s="919">
        <v>150</v>
      </c>
      <c r="G28" s="150" t="s">
        <v>259</v>
      </c>
      <c r="H28" s="855">
        <f t="shared" si="0"/>
        <v>20</v>
      </c>
      <c r="I28" s="856">
        <f t="shared" si="1"/>
        <v>175.7685</v>
      </c>
      <c r="J28" s="191">
        <v>39780.14236111111</v>
      </c>
      <c r="K28" s="233">
        <v>39780.15416666667</v>
      </c>
      <c r="L28" s="193">
        <f t="shared" si="2"/>
        <v>0.28333333338378</v>
      </c>
      <c r="M28" s="194">
        <f t="shared" si="3"/>
        <v>17</v>
      </c>
      <c r="N28" s="234" t="s">
        <v>279</v>
      </c>
      <c r="O28" s="195" t="str">
        <f t="shared" si="4"/>
        <v>--</v>
      </c>
      <c r="P28" s="155" t="str">
        <f t="shared" si="5"/>
        <v>NO</v>
      </c>
      <c r="Q28" s="155" t="str">
        <f t="shared" si="6"/>
        <v>NO</v>
      </c>
      <c r="R28" s="859" t="str">
        <f t="shared" si="7"/>
        <v>--</v>
      </c>
      <c r="S28" s="860" t="str">
        <f t="shared" si="8"/>
        <v>--</v>
      </c>
      <c r="T28" s="237">
        <f t="shared" si="9"/>
        <v>3515.37</v>
      </c>
      <c r="U28" s="238">
        <f t="shared" si="10"/>
        <v>984.3036000000001</v>
      </c>
      <c r="V28" s="239" t="str">
        <f t="shared" si="11"/>
        <v>--</v>
      </c>
      <c r="W28" s="861" t="str">
        <f t="shared" si="12"/>
        <v>--</v>
      </c>
      <c r="X28" s="862" t="str">
        <f t="shared" si="13"/>
        <v>--</v>
      </c>
      <c r="Y28" s="863" t="str">
        <f t="shared" si="14"/>
        <v>--</v>
      </c>
      <c r="Z28" s="240" t="str">
        <f t="shared" si="15"/>
        <v>--</v>
      </c>
      <c r="AA28" s="241" t="str">
        <f t="shared" si="16"/>
        <v>--</v>
      </c>
      <c r="AB28" s="864" t="s">
        <v>248</v>
      </c>
      <c r="AC28" s="16">
        <f t="shared" si="17"/>
        <v>4499.6736</v>
      </c>
      <c r="AD28" s="865"/>
    </row>
    <row r="29" spans="2:30" s="5" customFormat="1" ht="16.5" customHeight="1">
      <c r="B29" s="50"/>
      <c r="C29" s="289">
        <v>30</v>
      </c>
      <c r="D29" s="148" t="s">
        <v>292</v>
      </c>
      <c r="E29" s="150">
        <v>500</v>
      </c>
      <c r="F29" s="919">
        <v>257</v>
      </c>
      <c r="G29" s="150" t="s">
        <v>293</v>
      </c>
      <c r="H29" s="855">
        <f t="shared" si="0"/>
        <v>60</v>
      </c>
      <c r="I29" s="856">
        <f t="shared" si="1"/>
        <v>301.15003</v>
      </c>
      <c r="J29" s="191">
        <v>39780.29236111111</v>
      </c>
      <c r="K29" s="233">
        <v>39780.55902777778</v>
      </c>
      <c r="L29" s="193">
        <f t="shared" si="2"/>
        <v>6.400000000081491</v>
      </c>
      <c r="M29" s="194">
        <f t="shared" si="3"/>
        <v>384</v>
      </c>
      <c r="N29" s="234" t="s">
        <v>279</v>
      </c>
      <c r="O29" s="195" t="str">
        <f t="shared" si="4"/>
        <v>--</v>
      </c>
      <c r="P29" s="155" t="str">
        <f t="shared" si="5"/>
        <v>NO</v>
      </c>
      <c r="Q29" s="155" t="s">
        <v>248</v>
      </c>
      <c r="R29" s="859" t="str">
        <f t="shared" si="7"/>
        <v>--</v>
      </c>
      <c r="S29" s="860" t="str">
        <f t="shared" si="8"/>
        <v>--</v>
      </c>
      <c r="T29" s="237" t="str">
        <f t="shared" si="9"/>
        <v>--</v>
      </c>
      <c r="U29" s="238">
        <f t="shared" si="10"/>
        <v>90345.009</v>
      </c>
      <c r="V29" s="239">
        <f t="shared" si="11"/>
        <v>2529.660252000001</v>
      </c>
      <c r="W29" s="861" t="str">
        <f t="shared" si="12"/>
        <v>--</v>
      </c>
      <c r="X29" s="862" t="str">
        <f t="shared" si="13"/>
        <v>--</v>
      </c>
      <c r="Y29" s="863" t="str">
        <f t="shared" si="14"/>
        <v>--</v>
      </c>
      <c r="Z29" s="240" t="str">
        <f t="shared" si="15"/>
        <v>--</v>
      </c>
      <c r="AA29" s="241" t="str">
        <f t="shared" si="16"/>
        <v>--</v>
      </c>
      <c r="AB29" s="864" t="s">
        <v>248</v>
      </c>
      <c r="AC29" s="16">
        <f t="shared" si="17"/>
        <v>92874.669252</v>
      </c>
      <c r="AD29" s="865"/>
    </row>
    <row r="30" spans="2:30" s="5" customFormat="1" ht="16.5" customHeight="1">
      <c r="B30" s="50"/>
      <c r="C30" s="157">
        <v>31</v>
      </c>
      <c r="D30" s="148" t="s">
        <v>291</v>
      </c>
      <c r="E30" s="150">
        <v>500</v>
      </c>
      <c r="F30" s="919">
        <v>150</v>
      </c>
      <c r="G30" s="150" t="s">
        <v>259</v>
      </c>
      <c r="H30" s="855">
        <f t="shared" si="0"/>
        <v>20</v>
      </c>
      <c r="I30" s="856">
        <f t="shared" si="1"/>
        <v>175.7685</v>
      </c>
      <c r="J30" s="191">
        <v>39780.29236111111</v>
      </c>
      <c r="K30" s="233">
        <v>39780.558333333334</v>
      </c>
      <c r="L30" s="193">
        <f t="shared" si="2"/>
        <v>6.383333333360497</v>
      </c>
      <c r="M30" s="194">
        <f t="shared" si="3"/>
        <v>383</v>
      </c>
      <c r="N30" s="234" t="s">
        <v>279</v>
      </c>
      <c r="O30" s="195" t="str">
        <f t="shared" si="4"/>
        <v>--</v>
      </c>
      <c r="P30" s="155" t="str">
        <f t="shared" si="5"/>
        <v>NO</v>
      </c>
      <c r="Q30" s="155" t="s">
        <v>248</v>
      </c>
      <c r="R30" s="859" t="str">
        <f t="shared" si="7"/>
        <v>--</v>
      </c>
      <c r="S30" s="860" t="str">
        <f t="shared" si="8"/>
        <v>--</v>
      </c>
      <c r="T30" s="237" t="str">
        <f t="shared" si="9"/>
        <v>--</v>
      </c>
      <c r="U30" s="238">
        <f t="shared" si="10"/>
        <v>17576.85</v>
      </c>
      <c r="V30" s="239">
        <f t="shared" si="11"/>
        <v>485.12105999999994</v>
      </c>
      <c r="W30" s="861" t="str">
        <f t="shared" si="12"/>
        <v>--</v>
      </c>
      <c r="X30" s="862" t="str">
        <f t="shared" si="13"/>
        <v>--</v>
      </c>
      <c r="Y30" s="863" t="str">
        <f t="shared" si="14"/>
        <v>--</v>
      </c>
      <c r="Z30" s="240" t="str">
        <f t="shared" si="15"/>
        <v>--</v>
      </c>
      <c r="AA30" s="241" t="str">
        <f t="shared" si="16"/>
        <v>--</v>
      </c>
      <c r="AB30" s="864" t="s">
        <v>248</v>
      </c>
      <c r="AC30" s="16">
        <f t="shared" si="17"/>
        <v>18061.97106</v>
      </c>
      <c r="AD30" s="865"/>
    </row>
    <row r="31" spans="2:30" s="5" customFormat="1" ht="16.5" customHeight="1">
      <c r="B31" s="50"/>
      <c r="C31" s="289">
        <v>32</v>
      </c>
      <c r="D31" s="148" t="s">
        <v>294</v>
      </c>
      <c r="E31" s="150">
        <v>500</v>
      </c>
      <c r="F31" s="919">
        <v>76</v>
      </c>
      <c r="G31" s="150" t="s">
        <v>259</v>
      </c>
      <c r="H31" s="855">
        <f t="shared" si="0"/>
        <v>20</v>
      </c>
      <c r="I31" s="856">
        <f t="shared" si="1"/>
        <v>117.179</v>
      </c>
      <c r="J31" s="191">
        <v>39781.43472222222</v>
      </c>
      <c r="K31" s="233">
        <v>39782.99930555555</v>
      </c>
      <c r="L31" s="193">
        <f t="shared" si="2"/>
        <v>37.54999999998836</v>
      </c>
      <c r="M31" s="194">
        <f t="shared" si="3"/>
        <v>2253</v>
      </c>
      <c r="N31" s="234" t="s">
        <v>251</v>
      </c>
      <c r="O31" s="195" t="str">
        <f t="shared" si="4"/>
        <v>--</v>
      </c>
      <c r="P31" s="155" t="str">
        <f t="shared" si="5"/>
        <v>NO</v>
      </c>
      <c r="Q31" s="155" t="str">
        <f t="shared" si="6"/>
        <v>--</v>
      </c>
      <c r="R31" s="859">
        <f t="shared" si="7"/>
        <v>880.01429</v>
      </c>
      <c r="S31" s="860" t="str">
        <f t="shared" si="8"/>
        <v>--</v>
      </c>
      <c r="T31" s="237" t="str">
        <f t="shared" si="9"/>
        <v>--</v>
      </c>
      <c r="U31" s="238" t="str">
        <f t="shared" si="10"/>
        <v>--</v>
      </c>
      <c r="V31" s="239" t="str">
        <f t="shared" si="11"/>
        <v>--</v>
      </c>
      <c r="W31" s="861" t="str">
        <f t="shared" si="12"/>
        <v>--</v>
      </c>
      <c r="X31" s="862" t="str">
        <f t="shared" si="13"/>
        <v>--</v>
      </c>
      <c r="Y31" s="863" t="str">
        <f t="shared" si="14"/>
        <v>--</v>
      </c>
      <c r="Z31" s="240" t="str">
        <f t="shared" si="15"/>
        <v>--</v>
      </c>
      <c r="AA31" s="241" t="str">
        <f t="shared" si="16"/>
        <v>--</v>
      </c>
      <c r="AB31" s="864" t="s">
        <v>248</v>
      </c>
      <c r="AC31" s="16">
        <f t="shared" si="17"/>
        <v>880.01429</v>
      </c>
      <c r="AD31" s="865"/>
    </row>
    <row r="32" spans="2:30" s="5" customFormat="1" ht="16.5" customHeight="1">
      <c r="B32" s="50"/>
      <c r="C32" s="157">
        <v>33</v>
      </c>
      <c r="D32" s="148" t="s">
        <v>291</v>
      </c>
      <c r="E32" s="150">
        <v>500</v>
      </c>
      <c r="F32" s="919">
        <v>150</v>
      </c>
      <c r="G32" s="150" t="s">
        <v>259</v>
      </c>
      <c r="H32" s="855">
        <f t="shared" si="0"/>
        <v>20</v>
      </c>
      <c r="I32" s="856">
        <f t="shared" si="1"/>
        <v>175.7685</v>
      </c>
      <c r="J32" s="191">
        <v>39781.62430555555</v>
      </c>
      <c r="K32" s="233">
        <v>39781.83611111111</v>
      </c>
      <c r="L32" s="193">
        <f t="shared" si="2"/>
        <v>5.083333333313931</v>
      </c>
      <c r="M32" s="194">
        <f t="shared" si="3"/>
        <v>305</v>
      </c>
      <c r="N32" s="234" t="s">
        <v>251</v>
      </c>
      <c r="O32" s="195" t="str">
        <f t="shared" si="4"/>
        <v>--</v>
      </c>
      <c r="P32" s="155" t="str">
        <f t="shared" si="5"/>
        <v>NO</v>
      </c>
      <c r="Q32" s="155" t="str">
        <f t="shared" si="6"/>
        <v>--</v>
      </c>
      <c r="R32" s="859">
        <f t="shared" si="7"/>
        <v>178.58079600000002</v>
      </c>
      <c r="S32" s="860" t="str">
        <f t="shared" si="8"/>
        <v>--</v>
      </c>
      <c r="T32" s="237" t="str">
        <f t="shared" si="9"/>
        <v>--</v>
      </c>
      <c r="U32" s="238" t="str">
        <f t="shared" si="10"/>
        <v>--</v>
      </c>
      <c r="V32" s="239" t="str">
        <f t="shared" si="11"/>
        <v>--</v>
      </c>
      <c r="W32" s="861" t="str">
        <f t="shared" si="12"/>
        <v>--</v>
      </c>
      <c r="X32" s="862" t="str">
        <f t="shared" si="13"/>
        <v>--</v>
      </c>
      <c r="Y32" s="863" t="str">
        <f t="shared" si="14"/>
        <v>--</v>
      </c>
      <c r="Z32" s="240" t="str">
        <f t="shared" si="15"/>
        <v>--</v>
      </c>
      <c r="AA32" s="241" t="str">
        <f t="shared" si="16"/>
        <v>--</v>
      </c>
      <c r="AB32" s="864" t="s">
        <v>248</v>
      </c>
      <c r="AC32" s="16">
        <f t="shared" si="17"/>
        <v>178.58079600000002</v>
      </c>
      <c r="AD32" s="865"/>
    </row>
    <row r="33" spans="2:30" s="5" customFormat="1" ht="16.5" customHeight="1">
      <c r="B33" s="50"/>
      <c r="C33" s="289">
        <v>34</v>
      </c>
      <c r="D33" s="148" t="s">
        <v>291</v>
      </c>
      <c r="E33" s="150">
        <v>500</v>
      </c>
      <c r="F33" s="919">
        <v>150</v>
      </c>
      <c r="G33" s="150" t="s">
        <v>259</v>
      </c>
      <c r="H33" s="855">
        <f t="shared" si="0"/>
        <v>20</v>
      </c>
      <c r="I33" s="856">
        <f t="shared" si="1"/>
        <v>175.7685</v>
      </c>
      <c r="J33" s="191">
        <v>39782.48611111111</v>
      </c>
      <c r="K33" s="192">
        <v>39782.740277777775</v>
      </c>
      <c r="L33" s="193">
        <f t="shared" si="2"/>
        <v>6.099999999976717</v>
      </c>
      <c r="M33" s="194">
        <f t="shared" si="3"/>
        <v>366</v>
      </c>
      <c r="N33" s="234" t="s">
        <v>251</v>
      </c>
      <c r="O33" s="195" t="str">
        <f t="shared" si="4"/>
        <v>--</v>
      </c>
      <c r="P33" s="155" t="str">
        <f t="shared" si="5"/>
        <v>NO</v>
      </c>
      <c r="Q33" s="155" t="str">
        <f t="shared" si="6"/>
        <v>--</v>
      </c>
      <c r="R33" s="859">
        <f t="shared" si="7"/>
        <v>214.43757</v>
      </c>
      <c r="S33" s="860" t="str">
        <f t="shared" si="8"/>
        <v>--</v>
      </c>
      <c r="T33" s="237" t="str">
        <f t="shared" si="9"/>
        <v>--</v>
      </c>
      <c r="U33" s="238" t="str">
        <f t="shared" si="10"/>
        <v>--</v>
      </c>
      <c r="V33" s="239" t="str">
        <f t="shared" si="11"/>
        <v>--</v>
      </c>
      <c r="W33" s="861" t="str">
        <f t="shared" si="12"/>
        <v>--</v>
      </c>
      <c r="X33" s="862" t="str">
        <f t="shared" si="13"/>
        <v>--</v>
      </c>
      <c r="Y33" s="863" t="str">
        <f t="shared" si="14"/>
        <v>--</v>
      </c>
      <c r="Z33" s="240" t="str">
        <f t="shared" si="15"/>
        <v>--</v>
      </c>
      <c r="AA33" s="241" t="str">
        <f t="shared" si="16"/>
        <v>--</v>
      </c>
      <c r="AB33" s="864" t="s">
        <v>248</v>
      </c>
      <c r="AC33" s="16">
        <f t="shared" si="17"/>
        <v>214.43757</v>
      </c>
      <c r="AD33" s="865"/>
    </row>
    <row r="34" spans="2:30" s="5" customFormat="1" ht="16.5" customHeight="1">
      <c r="B34" s="50"/>
      <c r="C34" s="157"/>
      <c r="D34" s="148"/>
      <c r="E34" s="150"/>
      <c r="F34" s="919"/>
      <c r="G34" s="150"/>
      <c r="H34" s="855">
        <f t="shared" si="0"/>
        <v>20</v>
      </c>
      <c r="I34" s="856">
        <f t="shared" si="1"/>
        <v>97.649</v>
      </c>
      <c r="J34" s="191"/>
      <c r="K34" s="192"/>
      <c r="L34" s="193">
        <f t="shared" si="2"/>
      </c>
      <c r="M34" s="194">
        <f t="shared" si="3"/>
      </c>
      <c r="N34" s="234"/>
      <c r="O34" s="195">
        <f t="shared" si="4"/>
      </c>
      <c r="P34" s="155">
        <f t="shared" si="5"/>
      </c>
      <c r="Q34" s="155">
        <f t="shared" si="6"/>
      </c>
      <c r="R34" s="859" t="str">
        <f t="shared" si="7"/>
        <v>--</v>
      </c>
      <c r="S34" s="860" t="str">
        <f t="shared" si="8"/>
        <v>--</v>
      </c>
      <c r="T34" s="237" t="str">
        <f t="shared" si="9"/>
        <v>--</v>
      </c>
      <c r="U34" s="238" t="str">
        <f t="shared" si="10"/>
        <v>--</v>
      </c>
      <c r="V34" s="239" t="str">
        <f t="shared" si="11"/>
        <v>--</v>
      </c>
      <c r="W34" s="861" t="str">
        <f t="shared" si="12"/>
        <v>--</v>
      </c>
      <c r="X34" s="862" t="str">
        <f t="shared" si="13"/>
        <v>--</v>
      </c>
      <c r="Y34" s="863" t="str">
        <f t="shared" si="14"/>
        <v>--</v>
      </c>
      <c r="Z34" s="240" t="str">
        <f t="shared" si="15"/>
        <v>--</v>
      </c>
      <c r="AA34" s="241" t="str">
        <f t="shared" si="16"/>
        <v>--</v>
      </c>
      <c r="AB34" s="864">
        <f aca="true" t="shared" si="18" ref="AB34:AB41">IF(D34="","","SI")</f>
      </c>
      <c r="AC34" s="16">
        <f t="shared" si="17"/>
      </c>
      <c r="AD34" s="865"/>
    </row>
    <row r="35" spans="2:30" s="5" customFormat="1" ht="16.5" customHeight="1">
      <c r="B35" s="50"/>
      <c r="C35" s="289"/>
      <c r="D35" s="148"/>
      <c r="E35" s="150"/>
      <c r="F35" s="919"/>
      <c r="G35" s="150"/>
      <c r="H35" s="855">
        <f t="shared" si="0"/>
        <v>20</v>
      </c>
      <c r="I35" s="856">
        <f t="shared" si="1"/>
        <v>97.649</v>
      </c>
      <c r="J35" s="191"/>
      <c r="K35" s="192"/>
      <c r="L35" s="193">
        <f t="shared" si="2"/>
      </c>
      <c r="M35" s="194">
        <f t="shared" si="3"/>
      </c>
      <c r="N35" s="234"/>
      <c r="O35" s="195">
        <f t="shared" si="4"/>
      </c>
      <c r="P35" s="155">
        <f t="shared" si="5"/>
      </c>
      <c r="Q35" s="155">
        <f t="shared" si="6"/>
      </c>
      <c r="R35" s="859" t="str">
        <f t="shared" si="7"/>
        <v>--</v>
      </c>
      <c r="S35" s="860" t="str">
        <f t="shared" si="8"/>
        <v>--</v>
      </c>
      <c r="T35" s="237" t="str">
        <f t="shared" si="9"/>
        <v>--</v>
      </c>
      <c r="U35" s="238" t="str">
        <f t="shared" si="10"/>
        <v>--</v>
      </c>
      <c r="V35" s="239" t="str">
        <f t="shared" si="11"/>
        <v>--</v>
      </c>
      <c r="W35" s="861" t="str">
        <f t="shared" si="12"/>
        <v>--</v>
      </c>
      <c r="X35" s="862" t="str">
        <f t="shared" si="13"/>
        <v>--</v>
      </c>
      <c r="Y35" s="863" t="str">
        <f t="shared" si="14"/>
        <v>--</v>
      </c>
      <c r="Z35" s="240" t="str">
        <f t="shared" si="15"/>
        <v>--</v>
      </c>
      <c r="AA35" s="241" t="str">
        <f t="shared" si="16"/>
        <v>--</v>
      </c>
      <c r="AB35" s="864">
        <f t="shared" si="18"/>
      </c>
      <c r="AC35" s="16">
        <f t="shared" si="17"/>
      </c>
      <c r="AD35" s="865"/>
    </row>
    <row r="36" spans="2:30" s="5" customFormat="1" ht="16.5" customHeight="1">
      <c r="B36" s="50"/>
      <c r="C36" s="157"/>
      <c r="D36" s="148"/>
      <c r="E36" s="150"/>
      <c r="F36" s="919"/>
      <c r="G36" s="150"/>
      <c r="H36" s="855">
        <f t="shared" si="0"/>
        <v>20</v>
      </c>
      <c r="I36" s="856">
        <f t="shared" si="1"/>
        <v>97.649</v>
      </c>
      <c r="J36" s="191"/>
      <c r="K36" s="192"/>
      <c r="L36" s="193">
        <f t="shared" si="2"/>
      </c>
      <c r="M36" s="194">
        <f t="shared" si="3"/>
      </c>
      <c r="N36" s="234"/>
      <c r="O36" s="195">
        <f t="shared" si="4"/>
      </c>
      <c r="P36" s="155">
        <f t="shared" si="5"/>
      </c>
      <c r="Q36" s="155">
        <f t="shared" si="6"/>
      </c>
      <c r="R36" s="859" t="str">
        <f t="shared" si="7"/>
        <v>--</v>
      </c>
      <c r="S36" s="860" t="str">
        <f t="shared" si="8"/>
        <v>--</v>
      </c>
      <c r="T36" s="237" t="str">
        <f t="shared" si="9"/>
        <v>--</v>
      </c>
      <c r="U36" s="238" t="str">
        <f t="shared" si="10"/>
        <v>--</v>
      </c>
      <c r="V36" s="239" t="str">
        <f t="shared" si="11"/>
        <v>--</v>
      </c>
      <c r="W36" s="861" t="str">
        <f t="shared" si="12"/>
        <v>--</v>
      </c>
      <c r="X36" s="862" t="str">
        <f t="shared" si="13"/>
        <v>--</v>
      </c>
      <c r="Y36" s="863" t="str">
        <f t="shared" si="14"/>
        <v>--</v>
      </c>
      <c r="Z36" s="240" t="str">
        <f t="shared" si="15"/>
        <v>--</v>
      </c>
      <c r="AA36" s="241" t="str">
        <f t="shared" si="16"/>
        <v>--</v>
      </c>
      <c r="AB36" s="864">
        <f t="shared" si="18"/>
      </c>
      <c r="AC36" s="16">
        <f t="shared" si="17"/>
      </c>
      <c r="AD36" s="865"/>
    </row>
    <row r="37" spans="2:30" s="5" customFormat="1" ht="16.5" customHeight="1">
      <c r="B37" s="50"/>
      <c r="C37" s="289"/>
      <c r="D37" s="148"/>
      <c r="E37" s="150"/>
      <c r="F37" s="919"/>
      <c r="G37" s="150"/>
      <c r="H37" s="855">
        <f t="shared" si="0"/>
        <v>20</v>
      </c>
      <c r="I37" s="856">
        <f t="shared" si="1"/>
        <v>97.649</v>
      </c>
      <c r="J37" s="191"/>
      <c r="K37" s="192"/>
      <c r="L37" s="193">
        <f t="shared" si="2"/>
      </c>
      <c r="M37" s="194">
        <f t="shared" si="3"/>
      </c>
      <c r="N37" s="234"/>
      <c r="O37" s="195">
        <f t="shared" si="4"/>
      </c>
      <c r="P37" s="155">
        <f t="shared" si="5"/>
      </c>
      <c r="Q37" s="155">
        <f t="shared" si="6"/>
      </c>
      <c r="R37" s="859" t="str">
        <f t="shared" si="7"/>
        <v>--</v>
      </c>
      <c r="S37" s="860" t="str">
        <f t="shared" si="8"/>
        <v>--</v>
      </c>
      <c r="T37" s="237" t="str">
        <f t="shared" si="9"/>
        <v>--</v>
      </c>
      <c r="U37" s="238" t="str">
        <f t="shared" si="10"/>
        <v>--</v>
      </c>
      <c r="V37" s="239" t="str">
        <f t="shared" si="11"/>
        <v>--</v>
      </c>
      <c r="W37" s="861" t="str">
        <f t="shared" si="12"/>
        <v>--</v>
      </c>
      <c r="X37" s="862" t="str">
        <f t="shared" si="13"/>
        <v>--</v>
      </c>
      <c r="Y37" s="863" t="str">
        <f t="shared" si="14"/>
        <v>--</v>
      </c>
      <c r="Z37" s="240" t="str">
        <f t="shared" si="15"/>
        <v>--</v>
      </c>
      <c r="AA37" s="241" t="str">
        <f t="shared" si="16"/>
        <v>--</v>
      </c>
      <c r="AB37" s="864">
        <f t="shared" si="18"/>
      </c>
      <c r="AC37" s="16">
        <f t="shared" si="17"/>
      </c>
      <c r="AD37" s="865"/>
    </row>
    <row r="38" spans="2:30" s="5" customFormat="1" ht="16.5" customHeight="1">
      <c r="B38" s="50"/>
      <c r="C38" s="157"/>
      <c r="D38" s="148"/>
      <c r="E38" s="150"/>
      <c r="F38" s="919"/>
      <c r="G38" s="150"/>
      <c r="H38" s="855">
        <f t="shared" si="0"/>
        <v>20</v>
      </c>
      <c r="I38" s="856">
        <f t="shared" si="1"/>
        <v>97.649</v>
      </c>
      <c r="J38" s="191"/>
      <c r="K38" s="192"/>
      <c r="L38" s="193">
        <f t="shared" si="2"/>
      </c>
      <c r="M38" s="194">
        <f t="shared" si="3"/>
      </c>
      <c r="N38" s="234"/>
      <c r="O38" s="195">
        <f t="shared" si="4"/>
      </c>
      <c r="P38" s="155">
        <f t="shared" si="5"/>
      </c>
      <c r="Q38" s="155">
        <f t="shared" si="6"/>
      </c>
      <c r="R38" s="859" t="str">
        <f t="shared" si="7"/>
        <v>--</v>
      </c>
      <c r="S38" s="860" t="str">
        <f t="shared" si="8"/>
        <v>--</v>
      </c>
      <c r="T38" s="237" t="str">
        <f t="shared" si="9"/>
        <v>--</v>
      </c>
      <c r="U38" s="238" t="str">
        <f t="shared" si="10"/>
        <v>--</v>
      </c>
      <c r="V38" s="239" t="str">
        <f t="shared" si="11"/>
        <v>--</v>
      </c>
      <c r="W38" s="861" t="str">
        <f t="shared" si="12"/>
        <v>--</v>
      </c>
      <c r="X38" s="862" t="str">
        <f t="shared" si="13"/>
        <v>--</v>
      </c>
      <c r="Y38" s="863" t="str">
        <f t="shared" si="14"/>
        <v>--</v>
      </c>
      <c r="Z38" s="240" t="str">
        <f t="shared" si="15"/>
        <v>--</v>
      </c>
      <c r="AA38" s="241" t="str">
        <f t="shared" si="16"/>
        <v>--</v>
      </c>
      <c r="AB38" s="864">
        <f t="shared" si="18"/>
      </c>
      <c r="AC38" s="16">
        <f t="shared" si="17"/>
      </c>
      <c r="AD38" s="865"/>
    </row>
    <row r="39" spans="2:30" s="5" customFormat="1" ht="16.5" customHeight="1">
      <c r="B39" s="50"/>
      <c r="C39" s="289"/>
      <c r="D39" s="148"/>
      <c r="E39" s="150"/>
      <c r="F39" s="919"/>
      <c r="G39" s="150"/>
      <c r="H39" s="855">
        <f t="shared" si="0"/>
        <v>20</v>
      </c>
      <c r="I39" s="856">
        <f t="shared" si="1"/>
        <v>97.649</v>
      </c>
      <c r="J39" s="191"/>
      <c r="K39" s="192"/>
      <c r="L39" s="193">
        <f t="shared" si="2"/>
      </c>
      <c r="M39" s="194">
        <f t="shared" si="3"/>
      </c>
      <c r="N39" s="234"/>
      <c r="O39" s="195">
        <f t="shared" si="4"/>
      </c>
      <c r="P39" s="155">
        <f t="shared" si="5"/>
      </c>
      <c r="Q39" s="155">
        <f t="shared" si="6"/>
      </c>
      <c r="R39" s="859" t="str">
        <f t="shared" si="7"/>
        <v>--</v>
      </c>
      <c r="S39" s="860" t="str">
        <f t="shared" si="8"/>
        <v>--</v>
      </c>
      <c r="T39" s="237" t="str">
        <f t="shared" si="9"/>
        <v>--</v>
      </c>
      <c r="U39" s="238" t="str">
        <f t="shared" si="10"/>
        <v>--</v>
      </c>
      <c r="V39" s="239" t="str">
        <f t="shared" si="11"/>
        <v>--</v>
      </c>
      <c r="W39" s="861" t="str">
        <f t="shared" si="12"/>
        <v>--</v>
      </c>
      <c r="X39" s="862" t="str">
        <f t="shared" si="13"/>
        <v>--</v>
      </c>
      <c r="Y39" s="863" t="str">
        <f t="shared" si="14"/>
        <v>--</v>
      </c>
      <c r="Z39" s="240" t="str">
        <f t="shared" si="15"/>
        <v>--</v>
      </c>
      <c r="AA39" s="241" t="str">
        <f t="shared" si="16"/>
        <v>--</v>
      </c>
      <c r="AB39" s="864">
        <f t="shared" si="18"/>
      </c>
      <c r="AC39" s="16">
        <f t="shared" si="17"/>
      </c>
      <c r="AD39" s="865"/>
    </row>
    <row r="40" spans="2:30" s="5" customFormat="1" ht="16.5" customHeight="1">
      <c r="B40" s="50"/>
      <c r="C40" s="157"/>
      <c r="D40" s="148"/>
      <c r="E40" s="150"/>
      <c r="F40" s="919"/>
      <c r="G40" s="150"/>
      <c r="H40" s="855">
        <f t="shared" si="0"/>
        <v>20</v>
      </c>
      <c r="I40" s="856">
        <f t="shared" si="1"/>
        <v>97.649</v>
      </c>
      <c r="J40" s="191"/>
      <c r="K40" s="192"/>
      <c r="L40" s="193">
        <f t="shared" si="2"/>
      </c>
      <c r="M40" s="194">
        <f t="shared" si="3"/>
      </c>
      <c r="N40" s="234"/>
      <c r="O40" s="195">
        <f t="shared" si="4"/>
      </c>
      <c r="P40" s="155">
        <f t="shared" si="5"/>
      </c>
      <c r="Q40" s="155">
        <f t="shared" si="6"/>
      </c>
      <c r="R40" s="859" t="str">
        <f t="shared" si="7"/>
        <v>--</v>
      </c>
      <c r="S40" s="860" t="str">
        <f t="shared" si="8"/>
        <v>--</v>
      </c>
      <c r="T40" s="237" t="str">
        <f t="shared" si="9"/>
        <v>--</v>
      </c>
      <c r="U40" s="238" t="str">
        <f t="shared" si="10"/>
        <v>--</v>
      </c>
      <c r="V40" s="239" t="str">
        <f t="shared" si="11"/>
        <v>--</v>
      </c>
      <c r="W40" s="861" t="str">
        <f t="shared" si="12"/>
        <v>--</v>
      </c>
      <c r="X40" s="862" t="str">
        <f t="shared" si="13"/>
        <v>--</v>
      </c>
      <c r="Y40" s="863" t="str">
        <f t="shared" si="14"/>
        <v>--</v>
      </c>
      <c r="Z40" s="240" t="str">
        <f t="shared" si="15"/>
        <v>--</v>
      </c>
      <c r="AA40" s="241" t="str">
        <f t="shared" si="16"/>
        <v>--</v>
      </c>
      <c r="AB40" s="864">
        <f t="shared" si="18"/>
      </c>
      <c r="AC40" s="16">
        <f t="shared" si="17"/>
      </c>
      <c r="AD40" s="865"/>
    </row>
    <row r="41" spans="2:30" s="5" customFormat="1" ht="16.5" customHeight="1">
      <c r="B41" s="50"/>
      <c r="C41" s="289"/>
      <c r="D41" s="148"/>
      <c r="E41" s="150"/>
      <c r="F41" s="919"/>
      <c r="G41" s="150"/>
      <c r="H41" s="855">
        <f t="shared" si="0"/>
        <v>20</v>
      </c>
      <c r="I41" s="856">
        <f t="shared" si="1"/>
        <v>97.649</v>
      </c>
      <c r="J41" s="191"/>
      <c r="K41" s="192"/>
      <c r="L41" s="193">
        <f t="shared" si="2"/>
      </c>
      <c r="M41" s="194">
        <f t="shared" si="3"/>
      </c>
      <c r="N41" s="234"/>
      <c r="O41" s="195">
        <f t="shared" si="4"/>
      </c>
      <c r="P41" s="155">
        <f t="shared" si="5"/>
      </c>
      <c r="Q41" s="155">
        <f t="shared" si="6"/>
      </c>
      <c r="R41" s="859" t="str">
        <f t="shared" si="7"/>
        <v>--</v>
      </c>
      <c r="S41" s="860" t="str">
        <f t="shared" si="8"/>
        <v>--</v>
      </c>
      <c r="T41" s="237" t="str">
        <f t="shared" si="9"/>
        <v>--</v>
      </c>
      <c r="U41" s="238" t="str">
        <f t="shared" si="10"/>
        <v>--</v>
      </c>
      <c r="V41" s="239" t="str">
        <f t="shared" si="11"/>
        <v>--</v>
      </c>
      <c r="W41" s="861" t="str">
        <f t="shared" si="12"/>
        <v>--</v>
      </c>
      <c r="X41" s="862" t="str">
        <f t="shared" si="13"/>
        <v>--</v>
      </c>
      <c r="Y41" s="863" t="str">
        <f t="shared" si="14"/>
        <v>--</v>
      </c>
      <c r="Z41" s="240" t="str">
        <f t="shared" si="15"/>
        <v>--</v>
      </c>
      <c r="AA41" s="241" t="str">
        <f t="shared" si="16"/>
        <v>--</v>
      </c>
      <c r="AB41" s="864">
        <f t="shared" si="18"/>
      </c>
      <c r="AC41" s="16">
        <f t="shared" si="17"/>
      </c>
      <c r="AD41" s="865"/>
    </row>
    <row r="42" spans="2:30" s="5" customFormat="1" ht="16.5" customHeight="1" thickBot="1">
      <c r="B42" s="50"/>
      <c r="C42" s="157"/>
      <c r="D42" s="152"/>
      <c r="E42" s="243"/>
      <c r="F42" s="913"/>
      <c r="G42" s="244"/>
      <c r="H42" s="870"/>
      <c r="I42" s="871"/>
      <c r="J42" s="908"/>
      <c r="K42" s="908"/>
      <c r="L42" s="9"/>
      <c r="M42" s="9"/>
      <c r="N42" s="154"/>
      <c r="O42" s="197"/>
      <c r="P42" s="154"/>
      <c r="Q42" s="154"/>
      <c r="R42" s="872"/>
      <c r="S42" s="873"/>
      <c r="T42" s="245"/>
      <c r="U42" s="246"/>
      <c r="V42" s="247"/>
      <c r="W42" s="874"/>
      <c r="X42" s="875"/>
      <c r="Y42" s="876"/>
      <c r="Z42" s="248"/>
      <c r="AA42" s="249"/>
      <c r="AB42" s="877"/>
      <c r="AC42" s="250"/>
      <c r="AD42" s="865"/>
    </row>
    <row r="43" spans="2:30" s="5" customFormat="1" ht="16.5" customHeight="1" thickBot="1" thickTop="1">
      <c r="B43" s="50"/>
      <c r="C43" s="128" t="s">
        <v>25</v>
      </c>
      <c r="D43" s="129" t="s">
        <v>367</v>
      </c>
      <c r="E43" s="251"/>
      <c r="F43" s="217"/>
      <c r="G43" s="252"/>
      <c r="H43" s="217"/>
      <c r="I43" s="198"/>
      <c r="J43" s="198"/>
      <c r="K43" s="198"/>
      <c r="L43" s="198"/>
      <c r="M43" s="198"/>
      <c r="N43" s="198"/>
      <c r="O43" s="253"/>
      <c r="P43" s="198"/>
      <c r="Q43" s="198"/>
      <c r="R43" s="878">
        <f aca="true" t="shared" si="19" ref="R43:AA43">SUM(R20:R42)</f>
        <v>1923.4695292</v>
      </c>
      <c r="S43" s="879">
        <f t="shared" si="19"/>
        <v>0</v>
      </c>
      <c r="T43" s="880">
        <f t="shared" si="19"/>
        <v>11577.285199999998</v>
      </c>
      <c r="U43" s="880">
        <f t="shared" si="19"/>
        <v>110133.729804</v>
      </c>
      <c r="V43" s="880">
        <f t="shared" si="19"/>
        <v>3014.781312000001</v>
      </c>
      <c r="W43" s="881">
        <f t="shared" si="19"/>
        <v>0</v>
      </c>
      <c r="X43" s="881">
        <f t="shared" si="19"/>
        <v>0</v>
      </c>
      <c r="Y43" s="881">
        <f t="shared" si="19"/>
        <v>0</v>
      </c>
      <c r="Z43" s="254">
        <f t="shared" si="19"/>
        <v>0</v>
      </c>
      <c r="AA43" s="255">
        <f t="shared" si="19"/>
        <v>0</v>
      </c>
      <c r="AB43" s="256"/>
      <c r="AC43" s="257">
        <f>ROUND(SUM(AC20:AC42),2)</f>
        <v>168161.35</v>
      </c>
      <c r="AD43" s="865"/>
    </row>
    <row r="44" spans="2:30" s="5" customFormat="1" ht="16.5" customHeight="1" thickBot="1" thickTop="1">
      <c r="B44" s="74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6"/>
    </row>
    <row r="45" spans="2:30" ht="16.5" customHeight="1" thickTop="1">
      <c r="B45" s="1"/>
      <c r="AD45" s="1"/>
    </row>
  </sheetData>
  <sheetProtection password="CC12"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3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1"/>
  <sheetViews>
    <sheetView zoomScale="75" zoomScaleNormal="75" workbookViewId="0" topLeftCell="A1">
      <selection activeCell="AE29" sqref="AE29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4" width="45.7109375" style="0" customWidth="1"/>
    <col min="5" max="6" width="9.7109375" style="0" customWidth="1"/>
    <col min="7" max="7" width="3.7109375" style="0" bestFit="1" customWidth="1"/>
    <col min="8" max="8" width="4.421875" style="0" hidden="1" customWidth="1"/>
    <col min="9" max="9" width="7.00390625" style="0" hidden="1" customWidth="1"/>
    <col min="10" max="11" width="15.7109375" style="0" customWidth="1"/>
    <col min="12" max="14" width="9.7109375" style="0" customWidth="1"/>
    <col min="15" max="15" width="8.7109375" style="0" customWidth="1"/>
    <col min="16" max="16" width="5.421875" style="0" customWidth="1"/>
    <col min="17" max="17" width="5.8515625" style="0" customWidth="1"/>
    <col min="18" max="19" width="12.28125" style="0" hidden="1" customWidth="1"/>
    <col min="20" max="20" width="9.8515625" style="0" hidden="1" customWidth="1"/>
    <col min="21" max="21" width="8.28125" style="0" hidden="1" customWidth="1"/>
    <col min="22" max="25" width="5.7109375" style="0" hidden="1" customWidth="1"/>
    <col min="26" max="26" width="12.28125" style="0" hidden="1" customWidth="1"/>
    <col min="27" max="27" width="13.421875" style="0" hidden="1" customWidth="1"/>
    <col min="28" max="28" width="9.7109375" style="0" customWidth="1"/>
    <col min="29" max="30" width="15.7109375" style="0" customWidth="1"/>
    <col min="31" max="31" width="30.421875" style="0" customWidth="1"/>
    <col min="32" max="32" width="3.140625" style="0" customWidth="1"/>
    <col min="33" max="33" width="3.57421875" style="0" customWidth="1"/>
    <col min="34" max="34" width="24.28125" style="0" customWidth="1"/>
    <col min="35" max="35" width="4.7109375" style="0" customWidth="1"/>
    <col min="36" max="36" width="7.57421875" style="0" customWidth="1"/>
    <col min="37" max="38" width="4.140625" style="0" customWidth="1"/>
    <col min="39" max="39" width="7.140625" style="0" customWidth="1"/>
    <col min="40" max="40" width="5.28125" style="0" customWidth="1"/>
    <col min="41" max="41" width="5.421875" style="0" customWidth="1"/>
    <col min="42" max="42" width="4.7109375" style="0" customWidth="1"/>
    <col min="43" max="43" width="5.28125" style="0" customWidth="1"/>
    <col min="44" max="45" width="13.28125" style="0" customWidth="1"/>
    <col min="46" max="46" width="6.57421875" style="0" customWidth="1"/>
    <col min="47" max="47" width="6.421875" style="0" customWidth="1"/>
    <col min="52" max="52" width="12.7109375" style="0" customWidth="1"/>
    <col min="56" max="56" width="21.00390625" style="0" customWidth="1"/>
  </cols>
  <sheetData>
    <row r="1" spans="1:30" s="18" customFormat="1" ht="26.25">
      <c r="A1"/>
      <c r="C1"/>
      <c r="E1"/>
      <c r="G1"/>
      <c r="I1"/>
      <c r="K1"/>
      <c r="M1"/>
      <c r="O1"/>
      <c r="Q1"/>
      <c r="S1"/>
      <c r="U1"/>
      <c r="W1"/>
      <c r="Y1"/>
      <c r="AD1" s="146"/>
    </row>
    <row r="2" spans="1:30" s="18" customFormat="1" ht="26.25">
      <c r="A2" s="91"/>
      <c r="B2" s="19" t="str">
        <f>+'TOT-1108'!B2</f>
        <v>ANEXO VI al Memoràndum D.T.E.E. N°  366 / 2010          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="5" customFormat="1" ht="12.75">
      <c r="A3" s="90"/>
    </row>
    <row r="4" spans="1:2" s="25" customFormat="1" ht="11.25">
      <c r="A4" s="23" t="s">
        <v>2</v>
      </c>
      <c r="B4" s="125"/>
    </row>
    <row r="5" spans="1:2" s="25" customFormat="1" ht="11.25">
      <c r="A5" s="23" t="s">
        <v>3</v>
      </c>
      <c r="B5" s="125"/>
    </row>
    <row r="6" s="5" customFormat="1" ht="13.5" thickBot="1"/>
    <row r="7" spans="2:30" s="5" customFormat="1" ht="13.5" thickTop="1">
      <c r="B7" s="69"/>
      <c r="C7" s="70"/>
      <c r="D7" s="70"/>
      <c r="E7" s="201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94"/>
    </row>
    <row r="8" spans="2:30" s="29" customFormat="1" ht="20.25">
      <c r="B8" s="79"/>
      <c r="C8" s="30"/>
      <c r="D8" s="178" t="s">
        <v>70</v>
      </c>
      <c r="E8" s="30"/>
      <c r="F8" s="30"/>
      <c r="G8" s="30"/>
      <c r="H8" s="30"/>
      <c r="N8" s="30"/>
      <c r="O8" s="30"/>
      <c r="P8" s="11"/>
      <c r="Q8" s="11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108"/>
    </row>
    <row r="9" spans="2:30" s="5" customFormat="1" ht="12.75">
      <c r="B9" s="5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17"/>
    </row>
    <row r="10" spans="2:30" s="29" customFormat="1" ht="20.25">
      <c r="B10" s="79"/>
      <c r="C10" s="30"/>
      <c r="D10" s="11" t="s">
        <v>12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108"/>
    </row>
    <row r="11" spans="2:30" s="5" customFormat="1" ht="12.75">
      <c r="B11" s="50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17"/>
    </row>
    <row r="12" spans="2:30" s="29" customFormat="1" ht="20.25">
      <c r="B12" s="79"/>
      <c r="C12" s="30"/>
      <c r="D12" s="11" t="s">
        <v>386</v>
      </c>
      <c r="E12" s="30"/>
      <c r="F12" s="30"/>
      <c r="G12" s="30"/>
      <c r="I12" s="30"/>
      <c r="J12" s="30"/>
      <c r="K12" s="30"/>
      <c r="L12" s="30"/>
      <c r="M12" s="30"/>
      <c r="N12" s="30"/>
      <c r="O12" s="30"/>
      <c r="P12" s="11"/>
      <c r="Q12" s="11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108"/>
    </row>
    <row r="13" spans="2:30" s="5" customFormat="1" ht="12.75">
      <c r="B13" s="50"/>
      <c r="C13" s="4"/>
      <c r="D13" s="4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17"/>
    </row>
    <row r="14" spans="2:30" s="36" customFormat="1" ht="19.5">
      <c r="B14" s="37" t="str">
        <f>+'TOT-1108'!B14</f>
        <v>Desde el 01 al 30 de noviembre de 2008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204"/>
      <c r="O14" s="204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139"/>
    </row>
    <row r="15" spans="2:30" s="5" customFormat="1" ht="16.5" customHeight="1" thickBot="1">
      <c r="B15" s="50"/>
      <c r="C15" s="4"/>
      <c r="D15" s="4"/>
      <c r="E15" s="66"/>
      <c r="F15" s="66"/>
      <c r="G15" s="4"/>
      <c r="H15" s="4"/>
      <c r="I15" s="4"/>
      <c r="J15" s="205"/>
      <c r="K15" s="4"/>
      <c r="L15" s="4"/>
      <c r="M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17"/>
    </row>
    <row r="16" spans="2:30" s="5" customFormat="1" ht="16.5" customHeight="1" thickBot="1" thickTop="1">
      <c r="B16" s="50"/>
      <c r="C16" s="4"/>
      <c r="D16" s="82" t="s">
        <v>97</v>
      </c>
      <c r="E16" s="914">
        <v>89.969</v>
      </c>
      <c r="F16" s="208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17"/>
    </row>
    <row r="17" spans="2:30" s="5" customFormat="1" ht="16.5" customHeight="1" thickBot="1" thickTop="1">
      <c r="B17" s="50"/>
      <c r="C17" s="4"/>
      <c r="D17" s="82" t="s">
        <v>98</v>
      </c>
      <c r="E17" s="914">
        <v>74.974</v>
      </c>
      <c r="F17" s="208"/>
      <c r="G17" s="4"/>
      <c r="H17" s="4"/>
      <c r="I17" s="4"/>
      <c r="J17" s="214"/>
      <c r="K17" s="215"/>
      <c r="L17" s="4"/>
      <c r="M17" s="4"/>
      <c r="N17" s="4"/>
      <c r="O17" s="4"/>
      <c r="P17" s="4"/>
      <c r="Q17" s="4"/>
      <c r="R17" s="4"/>
      <c r="S17" s="4"/>
      <c r="T17" s="4"/>
      <c r="U17" s="4"/>
      <c r="V17" s="116"/>
      <c r="W17" s="116"/>
      <c r="X17" s="116"/>
      <c r="Y17" s="116"/>
      <c r="Z17" s="116"/>
      <c r="AA17" s="116"/>
      <c r="AB17" s="116"/>
      <c r="AD17" s="17"/>
    </row>
    <row r="18" spans="2:30" s="5" customFormat="1" ht="16.5" customHeight="1" thickBot="1" thickTop="1">
      <c r="B18" s="50"/>
      <c r="C18" s="4"/>
      <c r="D18" s="4"/>
      <c r="E18" s="217"/>
      <c r="F18" s="4"/>
      <c r="G18" s="4"/>
      <c r="H18" s="4"/>
      <c r="I18" s="4"/>
      <c r="J18" s="4"/>
      <c r="K18" s="4"/>
      <c r="L18" s="4"/>
      <c r="M18" s="4"/>
      <c r="N18" s="2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17"/>
    </row>
    <row r="19" spans="2:30" s="5" customFormat="1" ht="33.75" customHeight="1" thickBot="1" thickTop="1">
      <c r="B19" s="50"/>
      <c r="C19" s="84" t="s">
        <v>13</v>
      </c>
      <c r="D19" s="85" t="s">
        <v>0</v>
      </c>
      <c r="E19" s="837" t="s">
        <v>14</v>
      </c>
      <c r="F19" s="86" t="s">
        <v>15</v>
      </c>
      <c r="G19" s="220" t="s">
        <v>77</v>
      </c>
      <c r="H19" s="838" t="s">
        <v>37</v>
      </c>
      <c r="I19" s="839" t="s">
        <v>16</v>
      </c>
      <c r="J19" s="85" t="s">
        <v>17</v>
      </c>
      <c r="K19" s="183" t="s">
        <v>18</v>
      </c>
      <c r="L19" s="88" t="s">
        <v>36</v>
      </c>
      <c r="M19" s="86" t="s">
        <v>31</v>
      </c>
      <c r="N19" s="88" t="s">
        <v>19</v>
      </c>
      <c r="O19" s="86" t="s">
        <v>58</v>
      </c>
      <c r="P19" s="183" t="s">
        <v>59</v>
      </c>
      <c r="Q19" s="85" t="s">
        <v>32</v>
      </c>
      <c r="R19" s="137" t="s">
        <v>20</v>
      </c>
      <c r="S19" s="840" t="s">
        <v>21</v>
      </c>
      <c r="T19" s="222" t="s">
        <v>60</v>
      </c>
      <c r="U19" s="223"/>
      <c r="V19" s="224"/>
      <c r="W19" s="841" t="s">
        <v>164</v>
      </c>
      <c r="X19" s="842"/>
      <c r="Y19" s="843"/>
      <c r="Z19" s="225" t="s">
        <v>22</v>
      </c>
      <c r="AA19" s="226" t="s">
        <v>79</v>
      </c>
      <c r="AB19" s="133" t="s">
        <v>80</v>
      </c>
      <c r="AC19" s="133" t="s">
        <v>24</v>
      </c>
      <c r="AD19" s="227"/>
    </row>
    <row r="20" spans="2:30" s="5" customFormat="1" ht="16.5" customHeight="1" thickTop="1">
      <c r="B20" s="50"/>
      <c r="C20" s="157"/>
      <c r="D20" s="866"/>
      <c r="E20" s="867"/>
      <c r="F20" s="918"/>
      <c r="G20" s="867"/>
      <c r="H20" s="855"/>
      <c r="I20" s="856"/>
      <c r="J20" s="868"/>
      <c r="K20" s="869"/>
      <c r="L20" s="193"/>
      <c r="M20" s="194"/>
      <c r="N20" s="234"/>
      <c r="O20" s="195"/>
      <c r="P20" s="155"/>
      <c r="Q20" s="155"/>
      <c r="R20" s="859"/>
      <c r="S20" s="860"/>
      <c r="T20" s="237"/>
      <c r="U20" s="238"/>
      <c r="V20" s="239"/>
      <c r="W20" s="861"/>
      <c r="X20" s="862"/>
      <c r="Y20" s="863"/>
      <c r="Z20" s="240"/>
      <c r="AA20" s="241"/>
      <c r="AB20" s="864"/>
      <c r="AC20" s="16"/>
      <c r="AD20" s="865"/>
    </row>
    <row r="21" spans="2:30" s="5" customFormat="1" ht="16.5" customHeight="1">
      <c r="B21" s="50"/>
      <c r="C21" s="148">
        <v>1</v>
      </c>
      <c r="D21" s="148" t="s">
        <v>278</v>
      </c>
      <c r="E21" s="150">
        <v>500</v>
      </c>
      <c r="F21" s="1053">
        <v>194</v>
      </c>
      <c r="G21" s="150" t="s">
        <v>259</v>
      </c>
      <c r="H21" s="855">
        <f aca="true" t="shared" si="0" ref="H21:H26">IF(G21="A",200,IF(G21="B",60,20))</f>
        <v>20</v>
      </c>
      <c r="I21" s="856">
        <f aca="true" t="shared" si="1" ref="I21:I26">IF(E21=500,IF(F21&lt;100,100*$E$16/100,F21*$E$16/100),IF(F21&lt;100,100*$E$17/100,F21*$E$17/100))</f>
        <v>174.53985999999998</v>
      </c>
      <c r="J21" s="191">
        <v>39754.7</v>
      </c>
      <c r="K21" s="233">
        <v>39754.708333333336</v>
      </c>
      <c r="L21" s="193">
        <f aca="true" t="shared" si="2" ref="L21:L26">IF(D21="","",(K21-J21)*24)</f>
        <v>0.20000000012805685</v>
      </c>
      <c r="M21" s="194">
        <f aca="true" t="shared" si="3" ref="M21:M26">IF(D21="","",ROUND((K21-J21)*24*60,0))</f>
        <v>12</v>
      </c>
      <c r="N21" s="234" t="s">
        <v>279</v>
      </c>
      <c r="O21" s="195" t="str">
        <f aca="true" t="shared" si="4" ref="O21:O26">IF(D21="","","--")</f>
        <v>--</v>
      </c>
      <c r="P21" s="155" t="str">
        <f aca="true" t="shared" si="5" ref="P21:P26">IF(D21="","","NO")</f>
        <v>NO</v>
      </c>
      <c r="Q21" s="155" t="str">
        <f aca="true" t="shared" si="6" ref="Q21:Q26">IF(D21="","",IF(OR(N21="P",N21="RP"),"--","NO"))</f>
        <v>NO</v>
      </c>
      <c r="R21" s="859" t="str">
        <f aca="true" t="shared" si="7" ref="R21:R26">IF(N21="P",I21*H21*ROUND(M21/60,2)*0.01,"--")</f>
        <v>--</v>
      </c>
      <c r="S21" s="860" t="str">
        <f aca="true" t="shared" si="8" ref="S21:S26">IF(N21="RP",I21*H21*ROUND(M21/60,2)*0.01*O21/100,"--")</f>
        <v>--</v>
      </c>
      <c r="T21" s="237">
        <v>0</v>
      </c>
      <c r="U21" s="238">
        <f aca="true" t="shared" si="9" ref="U21:U26">IF(AND(N21="F",M21&gt;=10),I21*H21*IF(P21="SI",1.2,1)*IF(M21&lt;=300,ROUND(M21/60,2),5),"--")</f>
        <v>698.1594399999999</v>
      </c>
      <c r="V21" s="239" t="str">
        <f aca="true" t="shared" si="10" ref="V21:V26">IF(AND(N21="F",M21&gt;300),(ROUND(M21/60,2)-5)*I21*H21*0.1*IF(P21="SI",1.2,1),"--")</f>
        <v>--</v>
      </c>
      <c r="W21" s="861" t="str">
        <f aca="true" t="shared" si="11" ref="W21:W26">IF(AND(N21="R",Q21="NO"),I21*H21*O21/100*IF(P21="SI",1.2,1),"--")</f>
        <v>--</v>
      </c>
      <c r="X21" s="862" t="str">
        <f aca="true" t="shared" si="12" ref="X21:X26">IF(AND(N21="R",M21&gt;=10),I21*H21*O21/100*IF(P21="SI",1.2,1)*IF(M21&lt;=300,ROUND(M21/60,2),5),"--")</f>
        <v>--</v>
      </c>
      <c r="Y21" s="863" t="str">
        <f aca="true" t="shared" si="13" ref="Y21:Y26">IF(AND(N21="R",M21&gt;300),(ROUND(M21/60,2)-5)*I21*H21*0.1*O21/100*IF(P21="SI",1.2,1),"--")</f>
        <v>--</v>
      </c>
      <c r="Z21" s="240" t="str">
        <f aca="true" t="shared" si="14" ref="Z21:Z26">IF(N21="RF",ROUND(M21/60,2)*I21*H21*0.1*IF(P21="SI",1.2,1),"--")</f>
        <v>--</v>
      </c>
      <c r="AA21" s="241" t="str">
        <f aca="true" t="shared" si="15" ref="AA21:AA26">IF(N21="RR",ROUND(M21/60,2)*I21*H21*0.1*O21/100*IF(P21="SI",1.2,1),"--")</f>
        <v>--</v>
      </c>
      <c r="AB21" s="864" t="str">
        <f aca="true" t="shared" si="16" ref="AB21:AB26">IF(D21="","","SI")</f>
        <v>SI</v>
      </c>
      <c r="AC21" s="16">
        <f aca="true" t="shared" si="17" ref="AC21:AC26">IF(D21="","",SUM(R21:AA21)*IF(AB21="SI",1,2))</f>
        <v>698.1594399999999</v>
      </c>
      <c r="AD21" s="865"/>
    </row>
    <row r="22" spans="2:30" s="5" customFormat="1" ht="16.5" customHeight="1">
      <c r="B22" s="50"/>
      <c r="C22" s="289">
        <v>2</v>
      </c>
      <c r="D22" s="148" t="s">
        <v>278</v>
      </c>
      <c r="E22" s="150">
        <v>500</v>
      </c>
      <c r="F22" s="919">
        <v>194</v>
      </c>
      <c r="G22" s="150" t="s">
        <v>259</v>
      </c>
      <c r="H22" s="855">
        <f t="shared" si="0"/>
        <v>20</v>
      </c>
      <c r="I22" s="856">
        <f t="shared" si="1"/>
        <v>174.53985999999998</v>
      </c>
      <c r="J22" s="191">
        <v>39754.71666666667</v>
      </c>
      <c r="K22" s="233">
        <v>39754.73263888889</v>
      </c>
      <c r="L22" s="193">
        <f t="shared" si="2"/>
        <v>0.3833333333604969</v>
      </c>
      <c r="M22" s="194">
        <f t="shared" si="3"/>
        <v>23</v>
      </c>
      <c r="N22" s="234" t="s">
        <v>279</v>
      </c>
      <c r="O22" s="195" t="str">
        <f t="shared" si="4"/>
        <v>--</v>
      </c>
      <c r="P22" s="155" t="str">
        <f t="shared" si="5"/>
        <v>NO</v>
      </c>
      <c r="Q22" s="155" t="str">
        <f t="shared" si="6"/>
        <v>NO</v>
      </c>
      <c r="R22" s="859" t="str">
        <f t="shared" si="7"/>
        <v>--</v>
      </c>
      <c r="S22" s="860" t="str">
        <f t="shared" si="8"/>
        <v>--</v>
      </c>
      <c r="T22" s="237">
        <v>0</v>
      </c>
      <c r="U22" s="238">
        <f t="shared" si="9"/>
        <v>1326.5029359999999</v>
      </c>
      <c r="V22" s="239" t="str">
        <f t="shared" si="10"/>
        <v>--</v>
      </c>
      <c r="W22" s="861" t="str">
        <f t="shared" si="11"/>
        <v>--</v>
      </c>
      <c r="X22" s="862" t="str">
        <f t="shared" si="12"/>
        <v>--</v>
      </c>
      <c r="Y22" s="863" t="str">
        <f t="shared" si="13"/>
        <v>--</v>
      </c>
      <c r="Z22" s="240" t="str">
        <f t="shared" si="14"/>
        <v>--</v>
      </c>
      <c r="AA22" s="241" t="str">
        <f t="shared" si="15"/>
        <v>--</v>
      </c>
      <c r="AB22" s="864" t="str">
        <f t="shared" si="16"/>
        <v>SI</v>
      </c>
      <c r="AC22" s="16">
        <f t="shared" si="17"/>
        <v>1326.5029359999999</v>
      </c>
      <c r="AD22" s="865"/>
    </row>
    <row r="23" spans="2:30" s="5" customFormat="1" ht="16.5" customHeight="1">
      <c r="B23" s="50"/>
      <c r="C23" s="157">
        <v>3</v>
      </c>
      <c r="D23" s="148" t="s">
        <v>278</v>
      </c>
      <c r="E23" s="150">
        <v>500</v>
      </c>
      <c r="F23" s="919">
        <v>194</v>
      </c>
      <c r="G23" s="150" t="s">
        <v>259</v>
      </c>
      <c r="H23" s="855">
        <f t="shared" si="0"/>
        <v>20</v>
      </c>
      <c r="I23" s="856">
        <f t="shared" si="1"/>
        <v>174.53985999999998</v>
      </c>
      <c r="J23" s="191">
        <v>39754.74652777778</v>
      </c>
      <c r="K23" s="233">
        <v>39754.78194444445</v>
      </c>
      <c r="L23" s="193">
        <f t="shared" si="2"/>
        <v>0.8499999999767169</v>
      </c>
      <c r="M23" s="194">
        <f t="shared" si="3"/>
        <v>51</v>
      </c>
      <c r="N23" s="234" t="s">
        <v>279</v>
      </c>
      <c r="O23" s="195" t="str">
        <f t="shared" si="4"/>
        <v>--</v>
      </c>
      <c r="P23" s="155" t="str">
        <f t="shared" si="5"/>
        <v>NO</v>
      </c>
      <c r="Q23" s="155" t="str">
        <f t="shared" si="6"/>
        <v>NO</v>
      </c>
      <c r="R23" s="859" t="str">
        <f t="shared" si="7"/>
        <v>--</v>
      </c>
      <c r="S23" s="860" t="str">
        <f t="shared" si="8"/>
        <v>--</v>
      </c>
      <c r="T23" s="237">
        <v>0</v>
      </c>
      <c r="U23" s="238">
        <f t="shared" si="9"/>
        <v>2967.1776199999995</v>
      </c>
      <c r="V23" s="239" t="str">
        <f t="shared" si="10"/>
        <v>--</v>
      </c>
      <c r="W23" s="861" t="str">
        <f t="shared" si="11"/>
        <v>--</v>
      </c>
      <c r="X23" s="862" t="str">
        <f t="shared" si="12"/>
        <v>--</v>
      </c>
      <c r="Y23" s="863" t="str">
        <f t="shared" si="13"/>
        <v>--</v>
      </c>
      <c r="Z23" s="240" t="str">
        <f t="shared" si="14"/>
        <v>--</v>
      </c>
      <c r="AA23" s="241" t="str">
        <f t="shared" si="15"/>
        <v>--</v>
      </c>
      <c r="AB23" s="864" t="str">
        <f t="shared" si="16"/>
        <v>SI</v>
      </c>
      <c r="AC23" s="16">
        <f t="shared" si="17"/>
        <v>2967.1776199999995</v>
      </c>
      <c r="AD23" s="865"/>
    </row>
    <row r="24" spans="2:30" s="5" customFormat="1" ht="16.5" customHeight="1">
      <c r="B24" s="50"/>
      <c r="C24" s="157">
        <v>14</v>
      </c>
      <c r="D24" s="148" t="s">
        <v>278</v>
      </c>
      <c r="E24" s="150">
        <v>500</v>
      </c>
      <c r="F24" s="919">
        <v>194</v>
      </c>
      <c r="G24" s="150" t="s">
        <v>259</v>
      </c>
      <c r="H24" s="855">
        <f t="shared" si="0"/>
        <v>20</v>
      </c>
      <c r="I24" s="856">
        <f t="shared" si="1"/>
        <v>174.53985999999998</v>
      </c>
      <c r="J24" s="191">
        <v>39765.722916666666</v>
      </c>
      <c r="K24" s="192">
        <v>39765.728472222225</v>
      </c>
      <c r="L24" s="193">
        <f t="shared" si="2"/>
        <v>0.13333333341870457</v>
      </c>
      <c r="M24" s="194">
        <f t="shared" si="3"/>
        <v>8</v>
      </c>
      <c r="N24" s="234" t="s">
        <v>279</v>
      </c>
      <c r="O24" s="195" t="str">
        <f t="shared" si="4"/>
        <v>--</v>
      </c>
      <c r="P24" s="155" t="str">
        <f t="shared" si="5"/>
        <v>NO</v>
      </c>
      <c r="Q24" s="155" t="str">
        <f t="shared" si="6"/>
        <v>NO</v>
      </c>
      <c r="R24" s="859" t="str">
        <f t="shared" si="7"/>
        <v>--</v>
      </c>
      <c r="S24" s="860" t="str">
        <f t="shared" si="8"/>
        <v>--</v>
      </c>
      <c r="T24" s="237">
        <v>0</v>
      </c>
      <c r="U24" s="238" t="str">
        <f t="shared" si="9"/>
        <v>--</v>
      </c>
      <c r="V24" s="239" t="str">
        <f t="shared" si="10"/>
        <v>--</v>
      </c>
      <c r="W24" s="861" t="str">
        <f t="shared" si="11"/>
        <v>--</v>
      </c>
      <c r="X24" s="862" t="str">
        <f t="shared" si="12"/>
        <v>--</v>
      </c>
      <c r="Y24" s="863" t="str">
        <f t="shared" si="13"/>
        <v>--</v>
      </c>
      <c r="Z24" s="240" t="str">
        <f t="shared" si="14"/>
        <v>--</v>
      </c>
      <c r="AA24" s="241" t="str">
        <f t="shared" si="15"/>
        <v>--</v>
      </c>
      <c r="AB24" s="864" t="str">
        <f t="shared" si="16"/>
        <v>SI</v>
      </c>
      <c r="AC24" s="16">
        <f t="shared" si="17"/>
        <v>0</v>
      </c>
      <c r="AD24" s="865"/>
    </row>
    <row r="25" spans="2:30" s="5" customFormat="1" ht="16.5" customHeight="1">
      <c r="B25" s="50"/>
      <c r="C25" s="289"/>
      <c r="D25" s="148"/>
      <c r="E25" s="150"/>
      <c r="F25" s="919"/>
      <c r="G25" s="150"/>
      <c r="H25" s="855">
        <f t="shared" si="0"/>
        <v>20</v>
      </c>
      <c r="I25" s="856">
        <f t="shared" si="1"/>
        <v>74.974</v>
      </c>
      <c r="J25" s="191"/>
      <c r="K25" s="192"/>
      <c r="L25" s="193">
        <f t="shared" si="2"/>
      </c>
      <c r="M25" s="194">
        <f t="shared" si="3"/>
      </c>
      <c r="N25" s="234"/>
      <c r="O25" s="195">
        <f t="shared" si="4"/>
      </c>
      <c r="P25" s="155">
        <f t="shared" si="5"/>
      </c>
      <c r="Q25" s="155">
        <f t="shared" si="6"/>
      </c>
      <c r="R25" s="859" t="str">
        <f t="shared" si="7"/>
        <v>--</v>
      </c>
      <c r="S25" s="860" t="str">
        <f t="shared" si="8"/>
        <v>--</v>
      </c>
      <c r="T25" s="237">
        <v>0</v>
      </c>
      <c r="U25" s="238" t="str">
        <f t="shared" si="9"/>
        <v>--</v>
      </c>
      <c r="V25" s="239" t="str">
        <f t="shared" si="10"/>
        <v>--</v>
      </c>
      <c r="W25" s="861" t="str">
        <f t="shared" si="11"/>
        <v>--</v>
      </c>
      <c r="X25" s="862" t="str">
        <f t="shared" si="12"/>
        <v>--</v>
      </c>
      <c r="Y25" s="863" t="str">
        <f t="shared" si="13"/>
        <v>--</v>
      </c>
      <c r="Z25" s="240" t="str">
        <f t="shared" si="14"/>
        <v>--</v>
      </c>
      <c r="AA25" s="241" t="str">
        <f t="shared" si="15"/>
        <v>--</v>
      </c>
      <c r="AB25" s="864">
        <f t="shared" si="16"/>
      </c>
      <c r="AC25" s="16">
        <f t="shared" si="17"/>
      </c>
      <c r="AD25" s="865"/>
    </row>
    <row r="26" spans="2:30" s="5" customFormat="1" ht="16.5" customHeight="1">
      <c r="B26" s="50"/>
      <c r="C26" s="157"/>
      <c r="D26" s="157"/>
      <c r="E26" s="190"/>
      <c r="F26" s="917"/>
      <c r="G26" s="190"/>
      <c r="H26" s="855">
        <f t="shared" si="0"/>
        <v>20</v>
      </c>
      <c r="I26" s="856">
        <f t="shared" si="1"/>
        <v>74.974</v>
      </c>
      <c r="J26" s="857"/>
      <c r="K26" s="858"/>
      <c r="L26" s="193">
        <f t="shared" si="2"/>
      </c>
      <c r="M26" s="194">
        <f t="shared" si="3"/>
      </c>
      <c r="N26" s="234"/>
      <c r="O26" s="195">
        <f t="shared" si="4"/>
      </c>
      <c r="P26" s="155">
        <f t="shared" si="5"/>
      </c>
      <c r="Q26" s="155">
        <f t="shared" si="6"/>
      </c>
      <c r="R26" s="859" t="str">
        <f t="shared" si="7"/>
        <v>--</v>
      </c>
      <c r="S26" s="860" t="str">
        <f t="shared" si="8"/>
        <v>--</v>
      </c>
      <c r="T26" s="237">
        <v>0</v>
      </c>
      <c r="U26" s="238" t="str">
        <f t="shared" si="9"/>
        <v>--</v>
      </c>
      <c r="V26" s="239" t="str">
        <f t="shared" si="10"/>
        <v>--</v>
      </c>
      <c r="W26" s="861" t="str">
        <f t="shared" si="11"/>
        <v>--</v>
      </c>
      <c r="X26" s="862" t="str">
        <f t="shared" si="12"/>
        <v>--</v>
      </c>
      <c r="Y26" s="863" t="str">
        <f t="shared" si="13"/>
        <v>--</v>
      </c>
      <c r="Z26" s="240" t="str">
        <f t="shared" si="14"/>
        <v>--</v>
      </c>
      <c r="AA26" s="241" t="str">
        <f t="shared" si="15"/>
        <v>--</v>
      </c>
      <c r="AB26" s="864">
        <f t="shared" si="16"/>
      </c>
      <c r="AC26" s="16">
        <f t="shared" si="17"/>
      </c>
      <c r="AD26" s="865"/>
    </row>
    <row r="27" spans="2:30" s="5" customFormat="1" ht="16.5" customHeight="1" thickBot="1">
      <c r="B27" s="50"/>
      <c r="C27" s="157"/>
      <c r="D27" s="152"/>
      <c r="E27" s="243"/>
      <c r="F27" s="913"/>
      <c r="G27" s="244"/>
      <c r="H27" s="870"/>
      <c r="I27" s="871"/>
      <c r="J27" s="908"/>
      <c r="K27" s="908"/>
      <c r="L27" s="9"/>
      <c r="M27" s="9"/>
      <c r="N27" s="154"/>
      <c r="O27" s="197"/>
      <c r="P27" s="154"/>
      <c r="Q27" s="154"/>
      <c r="R27" s="872"/>
      <c r="S27" s="873"/>
      <c r="T27" s="245"/>
      <c r="U27" s="246"/>
      <c r="V27" s="247"/>
      <c r="W27" s="874"/>
      <c r="X27" s="875"/>
      <c r="Y27" s="876"/>
      <c r="Z27" s="248"/>
      <c r="AA27" s="249"/>
      <c r="AB27" s="877"/>
      <c r="AC27" s="250"/>
      <c r="AD27" s="865"/>
    </row>
    <row r="28" spans="2:30" s="5" customFormat="1" ht="16.5" customHeight="1" thickBot="1" thickTop="1">
      <c r="B28" s="50"/>
      <c r="C28" s="128" t="s">
        <v>25</v>
      </c>
      <c r="D28" s="129" t="s">
        <v>387</v>
      </c>
      <c r="E28" s="251"/>
      <c r="F28" s="217"/>
      <c r="G28" s="252"/>
      <c r="H28" s="217"/>
      <c r="I28" s="198"/>
      <c r="J28" s="198"/>
      <c r="K28" s="198"/>
      <c r="L28" s="198"/>
      <c r="M28" s="198"/>
      <c r="N28" s="198"/>
      <c r="O28" s="253"/>
      <c r="P28" s="198"/>
      <c r="Q28" s="198"/>
      <c r="R28" s="878">
        <f aca="true" t="shared" si="18" ref="R28:AA28">SUM(R20:R27)</f>
        <v>0</v>
      </c>
      <c r="S28" s="879">
        <f t="shared" si="18"/>
        <v>0</v>
      </c>
      <c r="T28" s="880">
        <f t="shared" si="18"/>
        <v>0</v>
      </c>
      <c r="U28" s="880">
        <f t="shared" si="18"/>
        <v>4991.839995999999</v>
      </c>
      <c r="V28" s="880">
        <f t="shared" si="18"/>
        <v>0</v>
      </c>
      <c r="W28" s="881">
        <f t="shared" si="18"/>
        <v>0</v>
      </c>
      <c r="X28" s="881">
        <f t="shared" si="18"/>
        <v>0</v>
      </c>
      <c r="Y28" s="881">
        <f t="shared" si="18"/>
        <v>0</v>
      </c>
      <c r="Z28" s="254">
        <f t="shared" si="18"/>
        <v>0</v>
      </c>
      <c r="AA28" s="255">
        <f t="shared" si="18"/>
        <v>0</v>
      </c>
      <c r="AB28" s="256"/>
      <c r="AC28" s="257">
        <f>ROUND(SUM(AC20:AC27),2)</f>
        <v>4991.84</v>
      </c>
      <c r="AD28" s="865"/>
    </row>
    <row r="29" spans="2:30" s="1054" customFormat="1" ht="9.75" thickTop="1">
      <c r="B29" s="1055"/>
      <c r="C29" s="1056"/>
      <c r="D29" s="1057" t="s">
        <v>388</v>
      </c>
      <c r="E29" s="1058"/>
      <c r="F29" s="1059"/>
      <c r="G29" s="1060"/>
      <c r="H29" s="1059"/>
      <c r="I29" s="1061"/>
      <c r="J29" s="1061"/>
      <c r="K29" s="1061"/>
      <c r="L29" s="1061"/>
      <c r="M29" s="1061"/>
      <c r="N29" s="1061"/>
      <c r="O29" s="1062"/>
      <c r="P29" s="1061"/>
      <c r="Q29" s="1061"/>
      <c r="R29" s="1063"/>
      <c r="S29" s="1063"/>
      <c r="T29" s="1063"/>
      <c r="U29" s="1063"/>
      <c r="V29" s="1063"/>
      <c r="W29" s="1063"/>
      <c r="X29" s="1063"/>
      <c r="Y29" s="1063"/>
      <c r="Z29" s="1063"/>
      <c r="AA29" s="1063"/>
      <c r="AB29" s="1063"/>
      <c r="AC29" s="1064"/>
      <c r="AD29" s="1065"/>
    </row>
    <row r="30" spans="2:30" s="5" customFormat="1" ht="16.5" customHeight="1" thickBot="1">
      <c r="B30" s="74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6"/>
    </row>
    <row r="31" spans="2:30" ht="16.5" customHeight="1" thickTop="1">
      <c r="B31" s="1"/>
      <c r="AD31" s="1"/>
    </row>
  </sheetData>
  <printOptions/>
  <pageMargins left="0.75" right="0.75" top="1" bottom="1" header="0" footer="0"/>
  <pageSetup fitToHeight="1" fitToWidth="1" horizontalDpi="600" verticalDpi="600" orientation="landscape" paperSize="9" scale="5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2">
    <pageSetUpPr fitToPage="1"/>
  </sheetPr>
  <dimension ref="A1:AC155"/>
  <sheetViews>
    <sheetView zoomScale="75" zoomScaleNormal="75" workbookViewId="0" topLeftCell="D16">
      <selection activeCell="D10" sqref="D10:D12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5" width="25.7109375" style="0" customWidth="1"/>
    <col min="6" max="6" width="9.7109375" style="0" customWidth="1"/>
    <col min="7" max="7" width="12.7109375" style="0" customWidth="1"/>
    <col min="8" max="8" width="13.7109375" style="0" hidden="1" customWidth="1"/>
    <col min="9" max="10" width="15.7109375" style="0" customWidth="1"/>
    <col min="11" max="14" width="9.7109375" style="0" customWidth="1"/>
    <col min="15" max="15" width="5.8515625" style="0" customWidth="1"/>
    <col min="16" max="16" width="7.00390625" style="0" customWidth="1"/>
    <col min="17" max="17" width="13.140625" style="0" hidden="1" customWidth="1"/>
    <col min="18" max="19" width="16.421875" style="0" hidden="1" customWidth="1"/>
    <col min="20" max="20" width="16.57421875" style="0" hidden="1" customWidth="1"/>
    <col min="21" max="25" width="16.28125" style="0" hidden="1" customWidth="1"/>
    <col min="26" max="26" width="9.7109375" style="0" customWidth="1"/>
    <col min="27" max="28" width="15.7109375" style="0" customWidth="1"/>
  </cols>
  <sheetData>
    <row r="1" spans="2:28" s="18" customFormat="1" ht="26.25"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147"/>
    </row>
    <row r="2" spans="1:28" s="18" customFormat="1" ht="26.25">
      <c r="A2" s="91"/>
      <c r="B2" s="258" t="str">
        <f>+'TOT-1108'!B2</f>
        <v>ANEXO VI al Memoràndum D.T.E.E. N°  366 / 2010          </v>
      </c>
      <c r="C2" s="258"/>
      <c r="D2" s="258"/>
      <c r="E2" s="19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</row>
    <row r="3" spans="1:28" s="5" customFormat="1" ht="12.7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</row>
    <row r="4" spans="1:28" s="25" customFormat="1" ht="11.25">
      <c r="A4" s="259" t="s">
        <v>81</v>
      </c>
      <c r="B4" s="11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</row>
    <row r="5" spans="1:28" s="25" customFormat="1" ht="11.25">
      <c r="A5" s="259" t="s">
        <v>3</v>
      </c>
      <c r="B5" s="11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</row>
    <row r="6" spans="1:28" s="5" customFormat="1" ht="13.5" thickBo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</row>
    <row r="7" spans="1:28" s="5" customFormat="1" ht="13.5" thickTop="1">
      <c r="A7" s="90"/>
      <c r="B7" s="92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4"/>
    </row>
    <row r="8" spans="1:28" s="29" customFormat="1" ht="20.25">
      <c r="A8" s="106"/>
      <c r="B8" s="107"/>
      <c r="C8" s="106"/>
      <c r="D8" s="260" t="s">
        <v>70</v>
      </c>
      <c r="E8" s="106"/>
      <c r="F8" s="106"/>
      <c r="G8" s="261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96"/>
      <c r="S8" s="96"/>
      <c r="T8" s="96"/>
      <c r="U8" s="96"/>
      <c r="V8" s="96"/>
      <c r="W8" s="96"/>
      <c r="X8" s="96"/>
      <c r="Y8" s="96"/>
      <c r="Z8" s="96"/>
      <c r="AA8" s="96"/>
      <c r="AB8" s="108"/>
    </row>
    <row r="9" spans="1:28" s="5" customFormat="1" ht="12.75">
      <c r="A9" s="90"/>
      <c r="B9" s="95"/>
      <c r="C9" s="90"/>
      <c r="D9" s="15"/>
      <c r="E9" s="262"/>
      <c r="F9" s="90"/>
      <c r="G9" s="15"/>
      <c r="H9" s="90"/>
      <c r="I9" s="90"/>
      <c r="J9" s="90"/>
      <c r="K9" s="90"/>
      <c r="L9" s="90"/>
      <c r="M9" s="90"/>
      <c r="N9" s="90"/>
      <c r="O9" s="90"/>
      <c r="P9" s="90"/>
      <c r="Q9" s="90"/>
      <c r="R9" s="15"/>
      <c r="S9" s="15"/>
      <c r="T9" s="15"/>
      <c r="U9" s="15"/>
      <c r="V9" s="15"/>
      <c r="W9" s="15"/>
      <c r="X9" s="15"/>
      <c r="Y9" s="15"/>
      <c r="Z9" s="15"/>
      <c r="AA9" s="15"/>
      <c r="AB9" s="17"/>
    </row>
    <row r="10" spans="1:28" s="950" customFormat="1" ht="30" customHeight="1">
      <c r="A10" s="944"/>
      <c r="B10" s="945"/>
      <c r="C10" s="944"/>
      <c r="D10" s="946" t="s">
        <v>261</v>
      </c>
      <c r="E10" s="944"/>
      <c r="F10" s="947"/>
      <c r="G10" s="948"/>
      <c r="H10" s="944"/>
      <c r="I10" s="944"/>
      <c r="J10" s="944"/>
      <c r="K10" s="944"/>
      <c r="L10" s="944"/>
      <c r="M10" s="944"/>
      <c r="N10" s="944"/>
      <c r="O10" s="944"/>
      <c r="P10" s="944"/>
      <c r="Q10" s="944"/>
      <c r="R10" s="948"/>
      <c r="S10" s="948"/>
      <c r="T10" s="948"/>
      <c r="U10" s="948"/>
      <c r="V10" s="948"/>
      <c r="W10" s="948"/>
      <c r="X10" s="948"/>
      <c r="Y10" s="948"/>
      <c r="Z10" s="948"/>
      <c r="AA10" s="948"/>
      <c r="AB10" s="949"/>
    </row>
    <row r="11" spans="1:28" s="955" customFormat="1" ht="9.75" customHeight="1">
      <c r="A11" s="951"/>
      <c r="B11" s="952"/>
      <c r="C11" s="951"/>
      <c r="E11" s="953"/>
      <c r="F11" s="953"/>
      <c r="G11" s="953"/>
      <c r="H11" s="951"/>
      <c r="I11" s="951"/>
      <c r="J11" s="951"/>
      <c r="K11" s="951"/>
      <c r="L11" s="951"/>
      <c r="M11" s="951"/>
      <c r="N11" s="951"/>
      <c r="O11" s="951"/>
      <c r="P11" s="951"/>
      <c r="Q11" s="951"/>
      <c r="R11" s="953"/>
      <c r="S11" s="953"/>
      <c r="T11" s="953"/>
      <c r="U11" s="953"/>
      <c r="V11" s="953"/>
      <c r="W11" s="953"/>
      <c r="X11" s="953"/>
      <c r="Y11" s="953"/>
      <c r="Z11" s="953"/>
      <c r="AA11" s="953"/>
      <c r="AB11" s="954"/>
    </row>
    <row r="12" spans="1:28" s="955" customFormat="1" ht="21" customHeight="1">
      <c r="A12" s="944"/>
      <c r="B12" s="945"/>
      <c r="C12" s="944"/>
      <c r="D12" s="956" t="s">
        <v>262</v>
      </c>
      <c r="E12" s="944"/>
      <c r="F12" s="944"/>
      <c r="G12" s="944"/>
      <c r="H12" s="957"/>
      <c r="I12" s="957"/>
      <c r="J12" s="957"/>
      <c r="K12" s="957"/>
      <c r="L12" s="957"/>
      <c r="M12" s="951"/>
      <c r="N12" s="951"/>
      <c r="O12" s="951"/>
      <c r="P12" s="951"/>
      <c r="Q12" s="951"/>
      <c r="R12" s="953"/>
      <c r="S12" s="953"/>
      <c r="T12" s="953"/>
      <c r="U12" s="953"/>
      <c r="V12" s="953"/>
      <c r="W12" s="953"/>
      <c r="X12" s="953"/>
      <c r="Y12" s="953"/>
      <c r="Z12" s="953"/>
      <c r="AA12" s="953"/>
      <c r="AB12" s="954"/>
    </row>
    <row r="13" spans="1:28" s="5" customFormat="1" ht="12.75">
      <c r="A13" s="90"/>
      <c r="B13" s="95"/>
      <c r="C13" s="90"/>
      <c r="D13" s="15"/>
      <c r="E13" s="15"/>
      <c r="F13" s="15"/>
      <c r="G13" s="98"/>
      <c r="H13" s="15"/>
      <c r="I13" s="15"/>
      <c r="J13" s="15"/>
      <c r="K13" s="15"/>
      <c r="L13" s="15"/>
      <c r="M13" s="90"/>
      <c r="N13" s="90"/>
      <c r="O13" s="90"/>
      <c r="P13" s="90"/>
      <c r="Q13" s="90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7"/>
    </row>
    <row r="14" spans="1:28" s="36" customFormat="1" ht="19.5">
      <c r="A14" s="110"/>
      <c r="B14" s="37" t="str">
        <f>'TOT-1108'!B14</f>
        <v>Desde el 01 al 30 de noviembre de 2008</v>
      </c>
      <c r="C14" s="263"/>
      <c r="D14" s="113"/>
      <c r="E14" s="113"/>
      <c r="F14" s="113"/>
      <c r="G14" s="113"/>
      <c r="H14" s="113"/>
      <c r="I14" s="113"/>
      <c r="J14" s="113"/>
      <c r="K14" s="113"/>
      <c r="L14" s="113"/>
      <c r="M14" s="263"/>
      <c r="N14" s="263"/>
      <c r="O14" s="263"/>
      <c r="P14" s="263"/>
      <c r="Q14" s="26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264"/>
    </row>
    <row r="15" spans="1:28" s="5" customFormat="1" ht="13.5" thickBot="1">
      <c r="A15" s="90"/>
      <c r="B15" s="95"/>
      <c r="C15" s="90"/>
      <c r="D15" s="15"/>
      <c r="E15" s="15"/>
      <c r="F15" s="15"/>
      <c r="G15" s="98"/>
      <c r="H15" s="15"/>
      <c r="I15" s="15"/>
      <c r="J15" s="15"/>
      <c r="K15" s="15"/>
      <c r="L15" s="15"/>
      <c r="M15" s="90"/>
      <c r="N15" s="90"/>
      <c r="O15" s="90"/>
      <c r="P15" s="90"/>
      <c r="Q15" s="90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7"/>
    </row>
    <row r="16" spans="1:28" s="5" customFormat="1" ht="16.5" customHeight="1" thickBot="1" thickTop="1">
      <c r="A16" s="90"/>
      <c r="B16" s="95"/>
      <c r="C16" s="90"/>
      <c r="D16" s="265" t="s">
        <v>82</v>
      </c>
      <c r="E16" s="266"/>
      <c r="F16" s="267">
        <v>0.319</v>
      </c>
      <c r="H16" s="90"/>
      <c r="I16" s="90"/>
      <c r="J16" s="90"/>
      <c r="K16" s="90"/>
      <c r="L16" s="90"/>
      <c r="M16" s="90"/>
      <c r="N16" s="90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7"/>
    </row>
    <row r="17" spans="1:28" s="5" customFormat="1" ht="16.5" customHeight="1" thickBot="1" thickTop="1">
      <c r="A17" s="90"/>
      <c r="B17" s="95"/>
      <c r="C17" s="90"/>
      <c r="D17" s="111" t="s">
        <v>26</v>
      </c>
      <c r="E17" s="112"/>
      <c r="F17" s="924">
        <v>200</v>
      </c>
      <c r="G17"/>
      <c r="H17" s="15"/>
      <c r="I17" s="214"/>
      <c r="J17" s="215"/>
      <c r="K17" s="4"/>
      <c r="L17" s="15"/>
      <c r="M17" s="15"/>
      <c r="N17" s="15"/>
      <c r="O17" s="15"/>
      <c r="P17" s="15"/>
      <c r="Q17" s="15"/>
      <c r="R17" s="15"/>
      <c r="S17" s="15"/>
      <c r="T17" s="15"/>
      <c r="U17" s="99"/>
      <c r="V17" s="99"/>
      <c r="W17" s="99"/>
      <c r="X17" s="99"/>
      <c r="Y17" s="99"/>
      <c r="Z17" s="99"/>
      <c r="AA17" s="90"/>
      <c r="AB17" s="17"/>
    </row>
    <row r="18" spans="1:28" s="5" customFormat="1" ht="16.5" customHeight="1" thickBot="1" thickTop="1">
      <c r="A18" s="90"/>
      <c r="B18" s="95"/>
      <c r="C18" s="90"/>
      <c r="D18" s="15"/>
      <c r="E18" s="15"/>
      <c r="F18" s="15"/>
      <c r="G18" s="100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7"/>
    </row>
    <row r="19" spans="1:28" s="5" customFormat="1" ht="33.75" customHeight="1" thickBot="1" thickTop="1">
      <c r="A19" s="90"/>
      <c r="B19" s="95"/>
      <c r="C19" s="124" t="s">
        <v>13</v>
      </c>
      <c r="D19" s="120" t="s">
        <v>27</v>
      </c>
      <c r="E19" s="119" t="s">
        <v>28</v>
      </c>
      <c r="F19" s="121" t="s">
        <v>29</v>
      </c>
      <c r="G19" s="122" t="s">
        <v>14</v>
      </c>
      <c r="H19" s="130" t="s">
        <v>16</v>
      </c>
      <c r="I19" s="119" t="s">
        <v>17</v>
      </c>
      <c r="J19" s="119" t="s">
        <v>18</v>
      </c>
      <c r="K19" s="120" t="s">
        <v>30</v>
      </c>
      <c r="L19" s="120" t="s">
        <v>31</v>
      </c>
      <c r="M19" s="88" t="s">
        <v>19</v>
      </c>
      <c r="N19" s="88" t="s">
        <v>58</v>
      </c>
      <c r="O19" s="123" t="s">
        <v>32</v>
      </c>
      <c r="P19" s="119" t="s">
        <v>33</v>
      </c>
      <c r="Q19" s="268" t="s">
        <v>37</v>
      </c>
      <c r="R19" s="269" t="s">
        <v>20</v>
      </c>
      <c r="S19" s="270" t="s">
        <v>21</v>
      </c>
      <c r="T19" s="222" t="s">
        <v>83</v>
      </c>
      <c r="U19" s="224"/>
      <c r="V19" s="271" t="s">
        <v>84</v>
      </c>
      <c r="W19" s="272"/>
      <c r="X19" s="273" t="s">
        <v>22</v>
      </c>
      <c r="Y19" s="274" t="s">
        <v>79</v>
      </c>
      <c r="Z19" s="133" t="s">
        <v>80</v>
      </c>
      <c r="AA19" s="122" t="s">
        <v>24</v>
      </c>
      <c r="AB19" s="17"/>
    </row>
    <row r="20" spans="1:28" s="5" customFormat="1" ht="16.5" customHeight="1" thickTop="1">
      <c r="A20" s="90"/>
      <c r="B20" s="95"/>
      <c r="C20" s="275"/>
      <c r="D20" s="275"/>
      <c r="E20" s="275"/>
      <c r="F20" s="275"/>
      <c r="G20" s="276"/>
      <c r="H20" s="277"/>
      <c r="I20" s="275"/>
      <c r="J20" s="275"/>
      <c r="K20" s="275"/>
      <c r="L20" s="275"/>
      <c r="M20" s="275"/>
      <c r="N20" s="185"/>
      <c r="O20" s="278"/>
      <c r="P20" s="275"/>
      <c r="Q20" s="279"/>
      <c r="R20" s="280"/>
      <c r="S20" s="281"/>
      <c r="T20" s="282"/>
      <c r="U20" s="283"/>
      <c r="V20" s="284"/>
      <c r="W20" s="285"/>
      <c r="X20" s="286"/>
      <c r="Y20" s="287"/>
      <c r="Z20" s="278"/>
      <c r="AA20" s="288"/>
      <c r="AB20" s="17"/>
    </row>
    <row r="21" spans="1:28" s="5" customFormat="1" ht="16.5" customHeight="1">
      <c r="A21" s="90"/>
      <c r="B21" s="95"/>
      <c r="C21" s="289"/>
      <c r="D21" s="289"/>
      <c r="E21" s="289"/>
      <c r="F21" s="289"/>
      <c r="G21" s="290"/>
      <c r="H21" s="291"/>
      <c r="I21" s="289"/>
      <c r="J21" s="289"/>
      <c r="K21" s="289"/>
      <c r="L21" s="289"/>
      <c r="M21" s="289"/>
      <c r="N21" s="188"/>
      <c r="O21" s="292"/>
      <c r="P21" s="289"/>
      <c r="Q21" s="293"/>
      <c r="R21" s="294"/>
      <c r="S21" s="295"/>
      <c r="T21" s="296"/>
      <c r="U21" s="297"/>
      <c r="V21" s="298"/>
      <c r="W21" s="299"/>
      <c r="X21" s="300"/>
      <c r="Y21" s="301"/>
      <c r="Z21" s="292"/>
      <c r="AA21" s="302"/>
      <c r="AB21" s="17"/>
    </row>
    <row r="22" spans="1:28" s="5" customFormat="1" ht="16.5" customHeight="1">
      <c r="A22" s="90"/>
      <c r="B22" s="95"/>
      <c r="C22" s="157"/>
      <c r="D22" s="151"/>
      <c r="E22" s="303"/>
      <c r="F22" s="304"/>
      <c r="G22" s="305"/>
      <c r="H22" s="306"/>
      <c r="I22" s="158"/>
      <c r="J22" s="158"/>
      <c r="K22" s="307"/>
      <c r="L22" s="14"/>
      <c r="M22" s="159"/>
      <c r="N22" s="235"/>
      <c r="O22" s="156"/>
      <c r="P22" s="155"/>
      <c r="Q22" s="308"/>
      <c r="R22" s="309"/>
      <c r="S22" s="310"/>
      <c r="T22" s="311"/>
      <c r="U22" s="312"/>
      <c r="V22" s="313"/>
      <c r="W22" s="314"/>
      <c r="X22" s="315"/>
      <c r="Y22" s="316"/>
      <c r="Z22" s="317"/>
      <c r="AA22" s="16"/>
      <c r="AB22" s="17"/>
    </row>
    <row r="23" spans="1:28" s="5" customFormat="1" ht="16.5" customHeight="1">
      <c r="A23" s="90"/>
      <c r="B23" s="95"/>
      <c r="C23" s="289">
        <v>36</v>
      </c>
      <c r="D23" s="151" t="s">
        <v>298</v>
      </c>
      <c r="E23" s="303" t="s">
        <v>299</v>
      </c>
      <c r="F23" s="304">
        <v>150</v>
      </c>
      <c r="G23" s="305" t="s">
        <v>300</v>
      </c>
      <c r="H23" s="306">
        <f aca="true" t="shared" si="0" ref="H23:H40">F23*$F$16</f>
        <v>47.85</v>
      </c>
      <c r="I23" s="158">
        <v>39755.33611111111</v>
      </c>
      <c r="J23" s="158">
        <v>39755.364583333336</v>
      </c>
      <c r="K23" s="307">
        <f aca="true" t="shared" si="1" ref="K23:K40">IF(D23="","",(J23-I23)*24)</f>
        <v>0.6833333334652707</v>
      </c>
      <c r="L23" s="14">
        <f aca="true" t="shared" si="2" ref="L23:L40">IF(D23="","",ROUND((J23-I23)*24*60,0))</f>
        <v>41</v>
      </c>
      <c r="M23" s="159" t="s">
        <v>251</v>
      </c>
      <c r="N23" s="235" t="str">
        <f aca="true" t="shared" si="3" ref="N23:N40">IF(D23="","","--")</f>
        <v>--</v>
      </c>
      <c r="O23" s="156" t="str">
        <f aca="true" t="shared" si="4" ref="O23:O40">IF(D23="","",IF(OR(M23="P",M23="RP"),"--","NO"))</f>
        <v>--</v>
      </c>
      <c r="P23" s="155" t="str">
        <f aca="true" t="shared" si="5" ref="P23:P40">IF(D23="","","NO")</f>
        <v>NO</v>
      </c>
      <c r="Q23" s="308">
        <f aca="true" t="shared" si="6" ref="Q23:Q40">$F$17*IF(OR(M23="P",M23="RP"),0.1,1)*IF(P23="SI",1,0.1)</f>
        <v>2</v>
      </c>
      <c r="R23" s="309">
        <f aca="true" t="shared" si="7" ref="R23:R40">IF(M23="P",H23*Q23*ROUND(L23/60,2),"--")</f>
        <v>65.07600000000001</v>
      </c>
      <c r="S23" s="310" t="str">
        <f aca="true" t="shared" si="8" ref="S23:S40">IF(M23="RP",H23*Q23*N23/100*ROUND(L23/60,2),"--")</f>
        <v>--</v>
      </c>
      <c r="T23" s="311" t="str">
        <f aca="true" t="shared" si="9" ref="T23:T40">IF(AND(M23="F",O23="NO"),H23*Q23,"--")</f>
        <v>--</v>
      </c>
      <c r="U23" s="312" t="str">
        <f aca="true" t="shared" si="10" ref="U23:U40">IF(M23="F",H23*Q23*ROUND(L23/60,2),"--")</f>
        <v>--</v>
      </c>
      <c r="V23" s="313" t="str">
        <f aca="true" t="shared" si="11" ref="V23:V40">IF(AND(M23="R",O23="NO"),H23*Q23*N23/100,"--")</f>
        <v>--</v>
      </c>
      <c r="W23" s="314" t="str">
        <f aca="true" t="shared" si="12" ref="W23:W40">IF(M23="R",H23*Q23*N23/100*ROUND(L23/60,2),"--")</f>
        <v>--</v>
      </c>
      <c r="X23" s="315" t="str">
        <f aca="true" t="shared" si="13" ref="X23:X40">IF(M23="RF",H23*Q23*ROUND(L23/60,2),"--")</f>
        <v>--</v>
      </c>
      <c r="Y23" s="316" t="str">
        <f aca="true" t="shared" si="14" ref="Y23:Y40">IF(M23="RR",H23*Q23*N23/100*ROUND(L23/60,2),"--")</f>
        <v>--</v>
      </c>
      <c r="Z23" s="317" t="s">
        <v>248</v>
      </c>
      <c r="AA23" s="16">
        <f aca="true" t="shared" si="15" ref="AA23:AA40">IF(D23="","",(SUM(R23:Y23)*IF(Z23="SI",1,2)*IF(AND(N23&lt;&gt;"--",M23="RF"),N23/100,1)))</f>
        <v>65.07600000000001</v>
      </c>
      <c r="AB23" s="17"/>
    </row>
    <row r="24" spans="1:28" s="5" customFormat="1" ht="16.5" customHeight="1">
      <c r="A24" s="90"/>
      <c r="B24" s="95"/>
      <c r="C24" s="157">
        <v>37</v>
      </c>
      <c r="D24" s="151" t="s">
        <v>301</v>
      </c>
      <c r="E24" s="303" t="s">
        <v>302</v>
      </c>
      <c r="F24" s="304">
        <v>800</v>
      </c>
      <c r="G24" s="305" t="s">
        <v>303</v>
      </c>
      <c r="H24" s="306">
        <f t="shared" si="0"/>
        <v>255.20000000000002</v>
      </c>
      <c r="I24" s="158">
        <v>39759.9875</v>
      </c>
      <c r="J24" s="158">
        <v>39760.763194444444</v>
      </c>
      <c r="K24" s="307">
        <f t="shared" si="1"/>
        <v>18.616666666581295</v>
      </c>
      <c r="L24" s="14">
        <f t="shared" si="2"/>
        <v>1117</v>
      </c>
      <c r="M24" s="159" t="s">
        <v>251</v>
      </c>
      <c r="N24" s="235" t="str">
        <f t="shared" si="3"/>
        <v>--</v>
      </c>
      <c r="O24" s="156" t="str">
        <f t="shared" si="4"/>
        <v>--</v>
      </c>
      <c r="P24" s="155" t="str">
        <f t="shared" si="5"/>
        <v>NO</v>
      </c>
      <c r="Q24" s="308">
        <f t="shared" si="6"/>
        <v>2</v>
      </c>
      <c r="R24" s="309">
        <f t="shared" si="7"/>
        <v>9503.648000000001</v>
      </c>
      <c r="S24" s="310" t="str">
        <f t="shared" si="8"/>
        <v>--</v>
      </c>
      <c r="T24" s="311" t="str">
        <f t="shared" si="9"/>
        <v>--</v>
      </c>
      <c r="U24" s="312" t="str">
        <f t="shared" si="10"/>
        <v>--</v>
      </c>
      <c r="V24" s="313" t="str">
        <f t="shared" si="11"/>
        <v>--</v>
      </c>
      <c r="W24" s="314" t="str">
        <f t="shared" si="12"/>
        <v>--</v>
      </c>
      <c r="X24" s="315" t="str">
        <f t="shared" si="13"/>
        <v>--</v>
      </c>
      <c r="Y24" s="316" t="str">
        <f t="shared" si="14"/>
        <v>--</v>
      </c>
      <c r="Z24" s="317" t="s">
        <v>248</v>
      </c>
      <c r="AA24" s="16">
        <f t="shared" si="15"/>
        <v>9503.648000000001</v>
      </c>
      <c r="AB24" s="17"/>
    </row>
    <row r="25" spans="1:28" s="5" customFormat="1" ht="16.5" customHeight="1">
      <c r="A25" s="90"/>
      <c r="B25" s="95"/>
      <c r="C25" s="289">
        <v>38</v>
      </c>
      <c r="D25" s="151" t="s">
        <v>301</v>
      </c>
      <c r="E25" s="303" t="s">
        <v>302</v>
      </c>
      <c r="F25" s="304">
        <v>800</v>
      </c>
      <c r="G25" s="305" t="s">
        <v>303</v>
      </c>
      <c r="H25" s="306">
        <f t="shared" si="0"/>
        <v>255.20000000000002</v>
      </c>
      <c r="I25" s="158">
        <v>39761.00277777778</v>
      </c>
      <c r="J25" s="158">
        <v>39762.45625</v>
      </c>
      <c r="K25" s="307">
        <f t="shared" si="1"/>
        <v>34.8833333333605</v>
      </c>
      <c r="L25" s="14">
        <f t="shared" si="2"/>
        <v>2093</v>
      </c>
      <c r="M25" s="159" t="s">
        <v>251</v>
      </c>
      <c r="N25" s="235" t="str">
        <f t="shared" si="3"/>
        <v>--</v>
      </c>
      <c r="O25" s="156" t="str">
        <f t="shared" si="4"/>
        <v>--</v>
      </c>
      <c r="P25" s="155" t="str">
        <f t="shared" si="5"/>
        <v>NO</v>
      </c>
      <c r="Q25" s="308">
        <f t="shared" si="6"/>
        <v>2</v>
      </c>
      <c r="R25" s="309">
        <f t="shared" si="7"/>
        <v>17802.752000000004</v>
      </c>
      <c r="S25" s="310" t="str">
        <f t="shared" si="8"/>
        <v>--</v>
      </c>
      <c r="T25" s="311" t="str">
        <f t="shared" si="9"/>
        <v>--</v>
      </c>
      <c r="U25" s="312" t="str">
        <f t="shared" si="10"/>
        <v>--</v>
      </c>
      <c r="V25" s="313" t="str">
        <f t="shared" si="11"/>
        <v>--</v>
      </c>
      <c r="W25" s="314" t="str">
        <f t="shared" si="12"/>
        <v>--</v>
      </c>
      <c r="X25" s="315" t="str">
        <f t="shared" si="13"/>
        <v>--</v>
      </c>
      <c r="Y25" s="316" t="str">
        <f t="shared" si="14"/>
        <v>--</v>
      </c>
      <c r="Z25" s="317" t="s">
        <v>248</v>
      </c>
      <c r="AA25" s="16">
        <f t="shared" si="15"/>
        <v>17802.752000000004</v>
      </c>
      <c r="AB25" s="17"/>
    </row>
    <row r="26" spans="1:28" s="5" customFormat="1" ht="16.5" customHeight="1">
      <c r="A26" s="90"/>
      <c r="B26" s="95"/>
      <c r="C26" s="157">
        <v>39</v>
      </c>
      <c r="D26" s="151" t="s">
        <v>301</v>
      </c>
      <c r="E26" s="303" t="s">
        <v>302</v>
      </c>
      <c r="F26" s="304">
        <v>800</v>
      </c>
      <c r="G26" s="305" t="s">
        <v>303</v>
      </c>
      <c r="H26" s="306">
        <f t="shared" si="0"/>
        <v>255.20000000000002</v>
      </c>
      <c r="I26" s="158">
        <v>39762.99166666667</v>
      </c>
      <c r="J26" s="158">
        <v>39763.42222222222</v>
      </c>
      <c r="K26" s="307">
        <f t="shared" si="1"/>
        <v>10.33333333331393</v>
      </c>
      <c r="L26" s="14">
        <f t="shared" si="2"/>
        <v>620</v>
      </c>
      <c r="M26" s="159" t="s">
        <v>251</v>
      </c>
      <c r="N26" s="235" t="str">
        <f t="shared" si="3"/>
        <v>--</v>
      </c>
      <c r="O26" s="156" t="str">
        <f t="shared" si="4"/>
        <v>--</v>
      </c>
      <c r="P26" s="155" t="str">
        <f t="shared" si="5"/>
        <v>NO</v>
      </c>
      <c r="Q26" s="308">
        <f t="shared" si="6"/>
        <v>2</v>
      </c>
      <c r="R26" s="309">
        <f t="shared" si="7"/>
        <v>5272.432000000001</v>
      </c>
      <c r="S26" s="310" t="str">
        <f t="shared" si="8"/>
        <v>--</v>
      </c>
      <c r="T26" s="311" t="str">
        <f t="shared" si="9"/>
        <v>--</v>
      </c>
      <c r="U26" s="312" t="str">
        <f t="shared" si="10"/>
        <v>--</v>
      </c>
      <c r="V26" s="313" t="str">
        <f t="shared" si="11"/>
        <v>--</v>
      </c>
      <c r="W26" s="314" t="str">
        <f t="shared" si="12"/>
        <v>--</v>
      </c>
      <c r="X26" s="315" t="str">
        <f t="shared" si="13"/>
        <v>--</v>
      </c>
      <c r="Y26" s="316" t="str">
        <f t="shared" si="14"/>
        <v>--</v>
      </c>
      <c r="Z26" s="317" t="s">
        <v>248</v>
      </c>
      <c r="AA26" s="16">
        <f t="shared" si="15"/>
        <v>5272.432000000001</v>
      </c>
      <c r="AB26" s="17"/>
    </row>
    <row r="27" spans="1:28" s="5" customFormat="1" ht="16.5" customHeight="1">
      <c r="A27" s="90"/>
      <c r="B27" s="95"/>
      <c r="C27" s="289">
        <v>40</v>
      </c>
      <c r="D27" s="151" t="s">
        <v>301</v>
      </c>
      <c r="E27" s="303" t="s">
        <v>302</v>
      </c>
      <c r="F27" s="304">
        <v>800</v>
      </c>
      <c r="G27" s="305" t="s">
        <v>303</v>
      </c>
      <c r="H27" s="306">
        <f t="shared" si="0"/>
        <v>255.20000000000002</v>
      </c>
      <c r="I27" s="158">
        <v>39763.97083333333</v>
      </c>
      <c r="J27" s="158">
        <v>39764.424305555556</v>
      </c>
      <c r="K27" s="307">
        <f t="shared" si="1"/>
        <v>10.883333333360497</v>
      </c>
      <c r="L27" s="14">
        <f t="shared" si="2"/>
        <v>653</v>
      </c>
      <c r="M27" s="159" t="s">
        <v>251</v>
      </c>
      <c r="N27" s="235" t="str">
        <f t="shared" si="3"/>
        <v>--</v>
      </c>
      <c r="O27" s="156" t="str">
        <f t="shared" si="4"/>
        <v>--</v>
      </c>
      <c r="P27" s="155" t="str">
        <f t="shared" si="5"/>
        <v>NO</v>
      </c>
      <c r="Q27" s="308">
        <f t="shared" si="6"/>
        <v>2</v>
      </c>
      <c r="R27" s="309">
        <f t="shared" si="7"/>
        <v>5553.152000000001</v>
      </c>
      <c r="S27" s="310" t="str">
        <f t="shared" si="8"/>
        <v>--</v>
      </c>
      <c r="T27" s="311" t="str">
        <f t="shared" si="9"/>
        <v>--</v>
      </c>
      <c r="U27" s="312" t="str">
        <f t="shared" si="10"/>
        <v>--</v>
      </c>
      <c r="V27" s="313" t="str">
        <f t="shared" si="11"/>
        <v>--</v>
      </c>
      <c r="W27" s="314" t="str">
        <f t="shared" si="12"/>
        <v>--</v>
      </c>
      <c r="X27" s="315" t="str">
        <f t="shared" si="13"/>
        <v>--</v>
      </c>
      <c r="Y27" s="316" t="str">
        <f t="shared" si="14"/>
        <v>--</v>
      </c>
      <c r="Z27" s="317" t="s">
        <v>248</v>
      </c>
      <c r="AA27" s="16">
        <f t="shared" si="15"/>
        <v>5553.152000000001</v>
      </c>
      <c r="AB27" s="17"/>
    </row>
    <row r="28" spans="1:29" s="5" customFormat="1" ht="16.5" customHeight="1">
      <c r="A28" s="90"/>
      <c r="B28" s="95"/>
      <c r="C28" s="157">
        <v>41</v>
      </c>
      <c r="D28" s="151" t="s">
        <v>301</v>
      </c>
      <c r="E28" s="303" t="s">
        <v>302</v>
      </c>
      <c r="F28" s="304">
        <v>800</v>
      </c>
      <c r="G28" s="305" t="s">
        <v>303</v>
      </c>
      <c r="H28" s="306">
        <f t="shared" si="0"/>
        <v>255.20000000000002</v>
      </c>
      <c r="I28" s="158">
        <v>39765.01111111111</v>
      </c>
      <c r="J28" s="158">
        <v>39765.425</v>
      </c>
      <c r="K28" s="307">
        <f t="shared" si="1"/>
        <v>9.933333333407063</v>
      </c>
      <c r="L28" s="14">
        <f t="shared" si="2"/>
        <v>596</v>
      </c>
      <c r="M28" s="159" t="s">
        <v>251</v>
      </c>
      <c r="N28" s="235" t="str">
        <f t="shared" si="3"/>
        <v>--</v>
      </c>
      <c r="O28" s="156" t="str">
        <f t="shared" si="4"/>
        <v>--</v>
      </c>
      <c r="P28" s="155" t="str">
        <f t="shared" si="5"/>
        <v>NO</v>
      </c>
      <c r="Q28" s="308">
        <f t="shared" si="6"/>
        <v>2</v>
      </c>
      <c r="R28" s="309">
        <f t="shared" si="7"/>
        <v>5068.272</v>
      </c>
      <c r="S28" s="310" t="str">
        <f t="shared" si="8"/>
        <v>--</v>
      </c>
      <c r="T28" s="311" t="str">
        <f t="shared" si="9"/>
        <v>--</v>
      </c>
      <c r="U28" s="312" t="str">
        <f t="shared" si="10"/>
        <v>--</v>
      </c>
      <c r="V28" s="313" t="str">
        <f t="shared" si="11"/>
        <v>--</v>
      </c>
      <c r="W28" s="314" t="str">
        <f t="shared" si="12"/>
        <v>--</v>
      </c>
      <c r="X28" s="315" t="str">
        <f t="shared" si="13"/>
        <v>--</v>
      </c>
      <c r="Y28" s="316" t="str">
        <f t="shared" si="14"/>
        <v>--</v>
      </c>
      <c r="Z28" s="317" t="s">
        <v>248</v>
      </c>
      <c r="AA28" s="16">
        <f t="shared" si="15"/>
        <v>5068.272</v>
      </c>
      <c r="AB28" s="17"/>
      <c r="AC28" s="15"/>
    </row>
    <row r="29" spans="1:28" s="5" customFormat="1" ht="16.5" customHeight="1">
      <c r="A29" s="90"/>
      <c r="B29" s="95"/>
      <c r="C29" s="289">
        <v>42</v>
      </c>
      <c r="D29" s="151" t="s">
        <v>301</v>
      </c>
      <c r="E29" s="303" t="s">
        <v>302</v>
      </c>
      <c r="F29" s="304">
        <v>800</v>
      </c>
      <c r="G29" s="305" t="s">
        <v>303</v>
      </c>
      <c r="H29" s="306">
        <f t="shared" si="0"/>
        <v>255.20000000000002</v>
      </c>
      <c r="I29" s="158">
        <v>39765.967361111114</v>
      </c>
      <c r="J29" s="158">
        <v>39766.430555555555</v>
      </c>
      <c r="K29" s="307">
        <f t="shared" si="1"/>
        <v>11.116666666581295</v>
      </c>
      <c r="L29" s="14">
        <f t="shared" si="2"/>
        <v>667</v>
      </c>
      <c r="M29" s="159" t="s">
        <v>251</v>
      </c>
      <c r="N29" s="235" t="str">
        <f t="shared" si="3"/>
        <v>--</v>
      </c>
      <c r="O29" s="156" t="str">
        <f t="shared" si="4"/>
        <v>--</v>
      </c>
      <c r="P29" s="155" t="str">
        <f t="shared" si="5"/>
        <v>NO</v>
      </c>
      <c r="Q29" s="308">
        <f t="shared" si="6"/>
        <v>2</v>
      </c>
      <c r="R29" s="309">
        <f t="shared" si="7"/>
        <v>5675.648</v>
      </c>
      <c r="S29" s="310" t="str">
        <f t="shared" si="8"/>
        <v>--</v>
      </c>
      <c r="T29" s="311" t="str">
        <f t="shared" si="9"/>
        <v>--</v>
      </c>
      <c r="U29" s="312" t="str">
        <f t="shared" si="10"/>
        <v>--</v>
      </c>
      <c r="V29" s="313" t="str">
        <f t="shared" si="11"/>
        <v>--</v>
      </c>
      <c r="W29" s="314" t="str">
        <f t="shared" si="12"/>
        <v>--</v>
      </c>
      <c r="X29" s="315" t="str">
        <f t="shared" si="13"/>
        <v>--</v>
      </c>
      <c r="Y29" s="316" t="str">
        <f t="shared" si="14"/>
        <v>--</v>
      </c>
      <c r="Z29" s="317" t="s">
        <v>248</v>
      </c>
      <c r="AA29" s="16">
        <f t="shared" si="15"/>
        <v>5675.648</v>
      </c>
      <c r="AB29" s="17"/>
    </row>
    <row r="30" spans="1:28" s="5" customFormat="1" ht="16.5" customHeight="1">
      <c r="A30" s="90"/>
      <c r="B30" s="95"/>
      <c r="C30" s="157">
        <v>43</v>
      </c>
      <c r="D30" s="151" t="s">
        <v>298</v>
      </c>
      <c r="E30" s="303" t="s">
        <v>302</v>
      </c>
      <c r="F30" s="304">
        <v>150</v>
      </c>
      <c r="G30" s="305" t="s">
        <v>300</v>
      </c>
      <c r="H30" s="306">
        <f t="shared" si="0"/>
        <v>47.85</v>
      </c>
      <c r="I30" s="158">
        <v>39766.35</v>
      </c>
      <c r="J30" s="158">
        <v>39766.36875</v>
      </c>
      <c r="K30" s="307">
        <f t="shared" si="1"/>
        <v>0.4500000000698492</v>
      </c>
      <c r="L30" s="14">
        <f t="shared" si="2"/>
        <v>27</v>
      </c>
      <c r="M30" s="159" t="s">
        <v>251</v>
      </c>
      <c r="N30" s="235" t="str">
        <f t="shared" si="3"/>
        <v>--</v>
      </c>
      <c r="O30" s="156" t="str">
        <f t="shared" si="4"/>
        <v>--</v>
      </c>
      <c r="P30" s="155" t="str">
        <f t="shared" si="5"/>
        <v>NO</v>
      </c>
      <c r="Q30" s="308">
        <f t="shared" si="6"/>
        <v>2</v>
      </c>
      <c r="R30" s="309">
        <f t="shared" si="7"/>
        <v>43.065000000000005</v>
      </c>
      <c r="S30" s="310" t="str">
        <f t="shared" si="8"/>
        <v>--</v>
      </c>
      <c r="T30" s="311" t="str">
        <f t="shared" si="9"/>
        <v>--</v>
      </c>
      <c r="U30" s="312" t="str">
        <f t="shared" si="10"/>
        <v>--</v>
      </c>
      <c r="V30" s="313" t="str">
        <f t="shared" si="11"/>
        <v>--</v>
      </c>
      <c r="W30" s="314" t="str">
        <f t="shared" si="12"/>
        <v>--</v>
      </c>
      <c r="X30" s="315" t="str">
        <f t="shared" si="13"/>
        <v>--</v>
      </c>
      <c r="Y30" s="316" t="str">
        <f t="shared" si="14"/>
        <v>--</v>
      </c>
      <c r="Z30" s="317" t="s">
        <v>248</v>
      </c>
      <c r="AA30" s="16">
        <f t="shared" si="15"/>
        <v>43.065000000000005</v>
      </c>
      <c r="AB30" s="17"/>
    </row>
    <row r="31" spans="1:28" s="5" customFormat="1" ht="16.5" customHeight="1">
      <c r="A31" s="90"/>
      <c r="B31" s="95"/>
      <c r="C31" s="157">
        <v>45</v>
      </c>
      <c r="D31" s="151" t="s">
        <v>301</v>
      </c>
      <c r="E31" s="319" t="s">
        <v>302</v>
      </c>
      <c r="F31" s="304">
        <v>800</v>
      </c>
      <c r="G31" s="305" t="s">
        <v>303</v>
      </c>
      <c r="H31" s="306">
        <f t="shared" si="0"/>
        <v>255.20000000000002</v>
      </c>
      <c r="I31" s="158">
        <v>39767.03333333333</v>
      </c>
      <c r="J31" s="158">
        <v>39769.43541666667</v>
      </c>
      <c r="K31" s="307">
        <f t="shared" si="1"/>
        <v>57.65000000002328</v>
      </c>
      <c r="L31" s="14">
        <f t="shared" si="2"/>
        <v>3459</v>
      </c>
      <c r="M31" s="159" t="s">
        <v>251</v>
      </c>
      <c r="N31" s="235" t="str">
        <f t="shared" si="3"/>
        <v>--</v>
      </c>
      <c r="O31" s="156" t="str">
        <f t="shared" si="4"/>
        <v>--</v>
      </c>
      <c r="P31" s="155" t="str">
        <f t="shared" si="5"/>
        <v>NO</v>
      </c>
      <c r="Q31" s="308">
        <f t="shared" si="6"/>
        <v>2</v>
      </c>
      <c r="R31" s="309">
        <f t="shared" si="7"/>
        <v>29424.56</v>
      </c>
      <c r="S31" s="310" t="str">
        <f t="shared" si="8"/>
        <v>--</v>
      </c>
      <c r="T31" s="311" t="str">
        <f t="shared" si="9"/>
        <v>--</v>
      </c>
      <c r="U31" s="312" t="str">
        <f t="shared" si="10"/>
        <v>--</v>
      </c>
      <c r="V31" s="313" t="str">
        <f t="shared" si="11"/>
        <v>--</v>
      </c>
      <c r="W31" s="314" t="str">
        <f t="shared" si="12"/>
        <v>--</v>
      </c>
      <c r="X31" s="315" t="str">
        <f t="shared" si="13"/>
        <v>--</v>
      </c>
      <c r="Y31" s="316" t="str">
        <f t="shared" si="14"/>
        <v>--</v>
      </c>
      <c r="Z31" s="317" t="s">
        <v>248</v>
      </c>
      <c r="AA31" s="16">
        <f t="shared" si="15"/>
        <v>29424.56</v>
      </c>
      <c r="AB31" s="17"/>
    </row>
    <row r="32" spans="1:28" s="5" customFormat="1" ht="16.5" customHeight="1">
      <c r="A32" s="90"/>
      <c r="B32" s="95"/>
      <c r="C32" s="289">
        <v>46</v>
      </c>
      <c r="D32" s="151" t="s">
        <v>301</v>
      </c>
      <c r="E32" s="319" t="s">
        <v>302</v>
      </c>
      <c r="F32" s="304">
        <v>800</v>
      </c>
      <c r="G32" s="305" t="s">
        <v>303</v>
      </c>
      <c r="H32" s="306">
        <f t="shared" si="0"/>
        <v>255.20000000000002</v>
      </c>
      <c r="I32" s="158">
        <v>39769.993055555555</v>
      </c>
      <c r="J32" s="158">
        <v>39770.40069444444</v>
      </c>
      <c r="K32" s="307">
        <f t="shared" si="1"/>
        <v>9.783333333267365</v>
      </c>
      <c r="L32" s="14">
        <f t="shared" si="2"/>
        <v>587</v>
      </c>
      <c r="M32" s="159" t="s">
        <v>251</v>
      </c>
      <c r="N32" s="235" t="str">
        <f t="shared" si="3"/>
        <v>--</v>
      </c>
      <c r="O32" s="156" t="str">
        <f t="shared" si="4"/>
        <v>--</v>
      </c>
      <c r="P32" s="155" t="str">
        <f t="shared" si="5"/>
        <v>NO</v>
      </c>
      <c r="Q32" s="308">
        <f t="shared" si="6"/>
        <v>2</v>
      </c>
      <c r="R32" s="309">
        <f t="shared" si="7"/>
        <v>4991.712</v>
      </c>
      <c r="S32" s="310" t="str">
        <f t="shared" si="8"/>
        <v>--</v>
      </c>
      <c r="T32" s="311" t="str">
        <f t="shared" si="9"/>
        <v>--</v>
      </c>
      <c r="U32" s="312" t="str">
        <f t="shared" si="10"/>
        <v>--</v>
      </c>
      <c r="V32" s="313" t="str">
        <f t="shared" si="11"/>
        <v>--</v>
      </c>
      <c r="W32" s="314" t="str">
        <f t="shared" si="12"/>
        <v>--</v>
      </c>
      <c r="X32" s="315" t="str">
        <f t="shared" si="13"/>
        <v>--</v>
      </c>
      <c r="Y32" s="316" t="str">
        <f t="shared" si="14"/>
        <v>--</v>
      </c>
      <c r="Z32" s="317" t="s">
        <v>248</v>
      </c>
      <c r="AA32" s="16">
        <f t="shared" si="15"/>
        <v>4991.712</v>
      </c>
      <c r="AB32" s="17"/>
    </row>
    <row r="33" spans="1:28" s="5" customFormat="1" ht="16.5" customHeight="1">
      <c r="A33" s="90"/>
      <c r="B33" s="95"/>
      <c r="C33" s="157">
        <v>47</v>
      </c>
      <c r="D33" s="151" t="s">
        <v>298</v>
      </c>
      <c r="E33" s="319" t="s">
        <v>302</v>
      </c>
      <c r="F33" s="304">
        <v>150</v>
      </c>
      <c r="G33" s="305" t="s">
        <v>300</v>
      </c>
      <c r="H33" s="306">
        <f t="shared" si="0"/>
        <v>47.85</v>
      </c>
      <c r="I33" s="158">
        <v>39770.54652777778</v>
      </c>
      <c r="J33" s="158">
        <v>39770.615277777775</v>
      </c>
      <c r="K33" s="307">
        <f t="shared" si="1"/>
        <v>1.6499999999650754</v>
      </c>
      <c r="L33" s="14">
        <f t="shared" si="2"/>
        <v>99</v>
      </c>
      <c r="M33" s="159" t="s">
        <v>279</v>
      </c>
      <c r="N33" s="235" t="str">
        <f t="shared" si="3"/>
        <v>--</v>
      </c>
      <c r="O33" s="155" t="s">
        <v>248</v>
      </c>
      <c r="P33" s="155" t="str">
        <f t="shared" si="5"/>
        <v>NO</v>
      </c>
      <c r="Q33" s="308">
        <f t="shared" si="6"/>
        <v>20</v>
      </c>
      <c r="R33" s="309" t="str">
        <f t="shared" si="7"/>
        <v>--</v>
      </c>
      <c r="S33" s="310" t="str">
        <f t="shared" si="8"/>
        <v>--</v>
      </c>
      <c r="T33" s="311" t="str">
        <f t="shared" si="9"/>
        <v>--</v>
      </c>
      <c r="U33" s="312">
        <f t="shared" si="10"/>
        <v>1579.05</v>
      </c>
      <c r="V33" s="313" t="str">
        <f t="shared" si="11"/>
        <v>--</v>
      </c>
      <c r="W33" s="314" t="str">
        <f t="shared" si="12"/>
        <v>--</v>
      </c>
      <c r="X33" s="315" t="str">
        <f t="shared" si="13"/>
        <v>--</v>
      </c>
      <c r="Y33" s="316" t="str">
        <f t="shared" si="14"/>
        <v>--</v>
      </c>
      <c r="Z33" s="317" t="s">
        <v>248</v>
      </c>
      <c r="AA33" s="16">
        <f t="shared" si="15"/>
        <v>1579.05</v>
      </c>
      <c r="AB33" s="17"/>
    </row>
    <row r="34" spans="1:28" s="5" customFormat="1" ht="16.5" customHeight="1">
      <c r="A34" s="90"/>
      <c r="B34" s="95"/>
      <c r="C34" s="289">
        <v>48</v>
      </c>
      <c r="D34" s="151" t="s">
        <v>301</v>
      </c>
      <c r="E34" s="319" t="s">
        <v>302</v>
      </c>
      <c r="F34" s="304">
        <v>800</v>
      </c>
      <c r="G34" s="305" t="s">
        <v>303</v>
      </c>
      <c r="H34" s="306">
        <f t="shared" si="0"/>
        <v>255.20000000000002</v>
      </c>
      <c r="I34" s="158">
        <v>39770.97083333333</v>
      </c>
      <c r="J34" s="158">
        <v>39771.41875</v>
      </c>
      <c r="K34" s="307">
        <f t="shared" si="1"/>
        <v>10.749999999941792</v>
      </c>
      <c r="L34" s="14">
        <f t="shared" si="2"/>
        <v>645</v>
      </c>
      <c r="M34" s="159" t="s">
        <v>251</v>
      </c>
      <c r="N34" s="235" t="str">
        <f t="shared" si="3"/>
        <v>--</v>
      </c>
      <c r="O34" s="156" t="str">
        <f t="shared" si="4"/>
        <v>--</v>
      </c>
      <c r="P34" s="155" t="str">
        <f t="shared" si="5"/>
        <v>NO</v>
      </c>
      <c r="Q34" s="308">
        <f t="shared" si="6"/>
        <v>2</v>
      </c>
      <c r="R34" s="309">
        <f t="shared" si="7"/>
        <v>5486.8</v>
      </c>
      <c r="S34" s="310" t="str">
        <f t="shared" si="8"/>
        <v>--</v>
      </c>
      <c r="T34" s="311" t="str">
        <f t="shared" si="9"/>
        <v>--</v>
      </c>
      <c r="U34" s="312" t="str">
        <f t="shared" si="10"/>
        <v>--</v>
      </c>
      <c r="V34" s="313" t="str">
        <f t="shared" si="11"/>
        <v>--</v>
      </c>
      <c r="W34" s="314" t="str">
        <f t="shared" si="12"/>
        <v>--</v>
      </c>
      <c r="X34" s="315" t="str">
        <f t="shared" si="13"/>
        <v>--</v>
      </c>
      <c r="Y34" s="316" t="str">
        <f t="shared" si="14"/>
        <v>--</v>
      </c>
      <c r="Z34" s="317" t="s">
        <v>248</v>
      </c>
      <c r="AA34" s="16">
        <f t="shared" si="15"/>
        <v>5486.8</v>
      </c>
      <c r="AB34" s="17"/>
    </row>
    <row r="35" spans="1:28" s="5" customFormat="1" ht="16.5" customHeight="1">
      <c r="A35" s="90"/>
      <c r="B35" s="95"/>
      <c r="C35" s="157">
        <v>49</v>
      </c>
      <c r="D35" s="151" t="s">
        <v>301</v>
      </c>
      <c r="E35" s="319" t="s">
        <v>302</v>
      </c>
      <c r="F35" s="304">
        <v>800</v>
      </c>
      <c r="G35" s="305" t="s">
        <v>303</v>
      </c>
      <c r="H35" s="306">
        <f t="shared" si="0"/>
        <v>255.20000000000002</v>
      </c>
      <c r="I35" s="158">
        <v>39772.02847222222</v>
      </c>
      <c r="J35" s="158">
        <v>39772.419444444444</v>
      </c>
      <c r="K35" s="307">
        <f t="shared" si="1"/>
        <v>9.383333333360497</v>
      </c>
      <c r="L35" s="14">
        <f t="shared" si="2"/>
        <v>563</v>
      </c>
      <c r="M35" s="159" t="s">
        <v>251</v>
      </c>
      <c r="N35" s="235" t="str">
        <f t="shared" si="3"/>
        <v>--</v>
      </c>
      <c r="O35" s="156" t="str">
        <f t="shared" si="4"/>
        <v>--</v>
      </c>
      <c r="P35" s="155" t="str">
        <f t="shared" si="5"/>
        <v>NO</v>
      </c>
      <c r="Q35" s="308">
        <f t="shared" si="6"/>
        <v>2</v>
      </c>
      <c r="R35" s="309">
        <f t="shared" si="7"/>
        <v>4787.552000000001</v>
      </c>
      <c r="S35" s="310" t="str">
        <f t="shared" si="8"/>
        <v>--</v>
      </c>
      <c r="T35" s="311" t="str">
        <f t="shared" si="9"/>
        <v>--</v>
      </c>
      <c r="U35" s="312" t="str">
        <f t="shared" si="10"/>
        <v>--</v>
      </c>
      <c r="V35" s="313" t="str">
        <f t="shared" si="11"/>
        <v>--</v>
      </c>
      <c r="W35" s="314" t="str">
        <f t="shared" si="12"/>
        <v>--</v>
      </c>
      <c r="X35" s="315" t="str">
        <f t="shared" si="13"/>
        <v>--</v>
      </c>
      <c r="Y35" s="316" t="str">
        <f t="shared" si="14"/>
        <v>--</v>
      </c>
      <c r="Z35" s="317" t="s">
        <v>248</v>
      </c>
      <c r="AA35" s="16">
        <f t="shared" si="15"/>
        <v>4787.552000000001</v>
      </c>
      <c r="AB35" s="17"/>
    </row>
    <row r="36" spans="1:28" s="5" customFormat="1" ht="16.5" customHeight="1">
      <c r="A36" s="90"/>
      <c r="B36" s="95"/>
      <c r="C36" s="289">
        <v>50</v>
      </c>
      <c r="D36" s="151" t="s">
        <v>298</v>
      </c>
      <c r="E36" s="319" t="s">
        <v>304</v>
      </c>
      <c r="F36" s="304">
        <v>300</v>
      </c>
      <c r="G36" s="305" t="s">
        <v>297</v>
      </c>
      <c r="H36" s="306">
        <f t="shared" si="0"/>
        <v>95.7</v>
      </c>
      <c r="I36" s="158">
        <v>39772.37777777778</v>
      </c>
      <c r="J36" s="158">
        <v>39772.69027777778</v>
      </c>
      <c r="K36" s="307">
        <f t="shared" si="1"/>
        <v>7.5</v>
      </c>
      <c r="L36" s="14">
        <f t="shared" si="2"/>
        <v>450</v>
      </c>
      <c r="M36" s="159" t="s">
        <v>251</v>
      </c>
      <c r="N36" s="235" t="str">
        <f t="shared" si="3"/>
        <v>--</v>
      </c>
      <c r="O36" s="156" t="str">
        <f t="shared" si="4"/>
        <v>--</v>
      </c>
      <c r="P36" s="155" t="str">
        <f t="shared" si="5"/>
        <v>NO</v>
      </c>
      <c r="Q36" s="308">
        <f t="shared" si="6"/>
        <v>2</v>
      </c>
      <c r="R36" s="309">
        <f t="shared" si="7"/>
        <v>1435.5</v>
      </c>
      <c r="S36" s="310" t="str">
        <f t="shared" si="8"/>
        <v>--</v>
      </c>
      <c r="T36" s="311" t="str">
        <f t="shared" si="9"/>
        <v>--</v>
      </c>
      <c r="U36" s="312" t="str">
        <f t="shared" si="10"/>
        <v>--</v>
      </c>
      <c r="V36" s="313" t="str">
        <f t="shared" si="11"/>
        <v>--</v>
      </c>
      <c r="W36" s="314" t="str">
        <f t="shared" si="12"/>
        <v>--</v>
      </c>
      <c r="X36" s="315" t="str">
        <f t="shared" si="13"/>
        <v>--</v>
      </c>
      <c r="Y36" s="316" t="str">
        <f t="shared" si="14"/>
        <v>--</v>
      </c>
      <c r="Z36" s="317" t="s">
        <v>248</v>
      </c>
      <c r="AA36" s="16">
        <f t="shared" si="15"/>
        <v>1435.5</v>
      </c>
      <c r="AB36" s="17"/>
    </row>
    <row r="37" spans="1:28" s="5" customFormat="1" ht="16.5" customHeight="1">
      <c r="A37" s="90"/>
      <c r="B37" s="95"/>
      <c r="C37" s="157">
        <v>51</v>
      </c>
      <c r="D37" s="151" t="s">
        <v>298</v>
      </c>
      <c r="E37" s="319" t="s">
        <v>305</v>
      </c>
      <c r="F37" s="304">
        <v>300</v>
      </c>
      <c r="G37" s="305" t="s">
        <v>297</v>
      </c>
      <c r="H37" s="306">
        <f t="shared" si="0"/>
        <v>95.7</v>
      </c>
      <c r="I37" s="158">
        <v>39772.73263888889</v>
      </c>
      <c r="J37" s="158">
        <v>39772.92916666667</v>
      </c>
      <c r="K37" s="307">
        <f t="shared" si="1"/>
        <v>4.716666666674428</v>
      </c>
      <c r="L37" s="14">
        <f t="shared" si="2"/>
        <v>283</v>
      </c>
      <c r="M37" s="159" t="s">
        <v>279</v>
      </c>
      <c r="N37" s="235" t="str">
        <f t="shared" si="3"/>
        <v>--</v>
      </c>
      <c r="O37" s="156" t="str">
        <f t="shared" si="4"/>
        <v>NO</v>
      </c>
      <c r="P37" s="155" t="s">
        <v>248</v>
      </c>
      <c r="Q37" s="308">
        <f t="shared" si="6"/>
        <v>200</v>
      </c>
      <c r="R37" s="309" t="str">
        <f t="shared" si="7"/>
        <v>--</v>
      </c>
      <c r="S37" s="310" t="str">
        <f t="shared" si="8"/>
        <v>--</v>
      </c>
      <c r="T37" s="311">
        <f t="shared" si="9"/>
        <v>19140</v>
      </c>
      <c r="U37" s="312">
        <f t="shared" si="10"/>
        <v>90340.79999999999</v>
      </c>
      <c r="V37" s="313" t="str">
        <f t="shared" si="11"/>
        <v>--</v>
      </c>
      <c r="W37" s="314" t="str">
        <f t="shared" si="12"/>
        <v>--</v>
      </c>
      <c r="X37" s="315" t="str">
        <f t="shared" si="13"/>
        <v>--</v>
      </c>
      <c r="Y37" s="316" t="str">
        <f t="shared" si="14"/>
        <v>--</v>
      </c>
      <c r="Z37" s="317" t="s">
        <v>248</v>
      </c>
      <c r="AA37" s="16">
        <f t="shared" si="15"/>
        <v>109480.79999999999</v>
      </c>
      <c r="AB37" s="17"/>
    </row>
    <row r="38" spans="1:28" s="5" customFormat="1" ht="16.5" customHeight="1">
      <c r="A38" s="90"/>
      <c r="B38" s="95"/>
      <c r="C38" s="289">
        <v>52</v>
      </c>
      <c r="D38" s="151" t="s">
        <v>301</v>
      </c>
      <c r="E38" s="319" t="s">
        <v>302</v>
      </c>
      <c r="F38" s="304">
        <v>800</v>
      </c>
      <c r="G38" s="305" t="s">
        <v>303</v>
      </c>
      <c r="H38" s="306">
        <f t="shared" si="0"/>
        <v>255.20000000000002</v>
      </c>
      <c r="I38" s="158">
        <v>39772.98611111111</v>
      </c>
      <c r="J38" s="158">
        <v>39773.415972222225</v>
      </c>
      <c r="K38" s="307">
        <f t="shared" si="1"/>
        <v>10.31666666676756</v>
      </c>
      <c r="L38" s="14">
        <f t="shared" si="2"/>
        <v>619</v>
      </c>
      <c r="M38" s="159" t="s">
        <v>251</v>
      </c>
      <c r="N38" s="235" t="str">
        <f t="shared" si="3"/>
        <v>--</v>
      </c>
      <c r="O38" s="156" t="str">
        <f t="shared" si="4"/>
        <v>--</v>
      </c>
      <c r="P38" s="155" t="str">
        <f t="shared" si="5"/>
        <v>NO</v>
      </c>
      <c r="Q38" s="308">
        <f t="shared" si="6"/>
        <v>2</v>
      </c>
      <c r="R38" s="309">
        <f t="shared" si="7"/>
        <v>5267.328</v>
      </c>
      <c r="S38" s="310" t="str">
        <f t="shared" si="8"/>
        <v>--</v>
      </c>
      <c r="T38" s="311" t="str">
        <f t="shared" si="9"/>
        <v>--</v>
      </c>
      <c r="U38" s="312" t="str">
        <f t="shared" si="10"/>
        <v>--</v>
      </c>
      <c r="V38" s="313" t="str">
        <f t="shared" si="11"/>
        <v>--</v>
      </c>
      <c r="W38" s="314" t="str">
        <f t="shared" si="12"/>
        <v>--</v>
      </c>
      <c r="X38" s="315" t="str">
        <f t="shared" si="13"/>
        <v>--</v>
      </c>
      <c r="Y38" s="316" t="str">
        <f t="shared" si="14"/>
        <v>--</v>
      </c>
      <c r="Z38" s="317" t="s">
        <v>248</v>
      </c>
      <c r="AA38" s="16">
        <f t="shared" si="15"/>
        <v>5267.328</v>
      </c>
      <c r="AB38" s="17"/>
    </row>
    <row r="39" spans="1:28" s="5" customFormat="1" ht="16.5" customHeight="1">
      <c r="A39" s="90"/>
      <c r="B39" s="95"/>
      <c r="C39" s="157">
        <v>53</v>
      </c>
      <c r="D39" s="151" t="s">
        <v>301</v>
      </c>
      <c r="E39" s="319" t="s">
        <v>302</v>
      </c>
      <c r="F39" s="304">
        <v>800</v>
      </c>
      <c r="G39" s="305" t="s">
        <v>303</v>
      </c>
      <c r="H39" s="306">
        <f t="shared" si="0"/>
        <v>255.20000000000002</v>
      </c>
      <c r="I39" s="158">
        <v>39774.03402777778</v>
      </c>
      <c r="J39" s="158">
        <v>39775.6875</v>
      </c>
      <c r="K39" s="307">
        <f t="shared" si="1"/>
        <v>39.68333333329065</v>
      </c>
      <c r="L39" s="14">
        <f t="shared" si="2"/>
        <v>2381</v>
      </c>
      <c r="M39" s="159" t="s">
        <v>251</v>
      </c>
      <c r="N39" s="235" t="str">
        <f t="shared" si="3"/>
        <v>--</v>
      </c>
      <c r="O39" s="156" t="str">
        <f t="shared" si="4"/>
        <v>--</v>
      </c>
      <c r="P39" s="155" t="str">
        <f t="shared" si="5"/>
        <v>NO</v>
      </c>
      <c r="Q39" s="308">
        <f t="shared" si="6"/>
        <v>2</v>
      </c>
      <c r="R39" s="309">
        <f t="shared" si="7"/>
        <v>20252.672000000002</v>
      </c>
      <c r="S39" s="310" t="str">
        <f t="shared" si="8"/>
        <v>--</v>
      </c>
      <c r="T39" s="311" t="str">
        <f t="shared" si="9"/>
        <v>--</v>
      </c>
      <c r="U39" s="312" t="str">
        <f t="shared" si="10"/>
        <v>--</v>
      </c>
      <c r="V39" s="313" t="str">
        <f t="shared" si="11"/>
        <v>--</v>
      </c>
      <c r="W39" s="314" t="str">
        <f t="shared" si="12"/>
        <v>--</v>
      </c>
      <c r="X39" s="315" t="str">
        <f t="shared" si="13"/>
        <v>--</v>
      </c>
      <c r="Y39" s="316" t="str">
        <f t="shared" si="14"/>
        <v>--</v>
      </c>
      <c r="Z39" s="317" t="s">
        <v>248</v>
      </c>
      <c r="AA39" s="16">
        <f t="shared" si="15"/>
        <v>20252.672000000002</v>
      </c>
      <c r="AB39" s="17"/>
    </row>
    <row r="40" spans="1:28" s="5" customFormat="1" ht="16.5" customHeight="1">
      <c r="A40" s="90"/>
      <c r="B40" s="95"/>
      <c r="C40" s="289"/>
      <c r="D40" s="151"/>
      <c r="E40" s="319"/>
      <c r="F40" s="304"/>
      <c r="G40" s="305"/>
      <c r="H40" s="306">
        <f t="shared" si="0"/>
        <v>0</v>
      </c>
      <c r="I40" s="158"/>
      <c r="J40" s="158"/>
      <c r="K40" s="307">
        <f t="shared" si="1"/>
      </c>
      <c r="L40" s="14">
        <f t="shared" si="2"/>
      </c>
      <c r="M40" s="159"/>
      <c r="N40" s="235">
        <f t="shared" si="3"/>
      </c>
      <c r="O40" s="156">
        <f t="shared" si="4"/>
      </c>
      <c r="P40" s="155">
        <f t="shared" si="5"/>
      </c>
      <c r="Q40" s="308">
        <f t="shared" si="6"/>
        <v>20</v>
      </c>
      <c r="R40" s="309" t="str">
        <f t="shared" si="7"/>
        <v>--</v>
      </c>
      <c r="S40" s="310" t="str">
        <f t="shared" si="8"/>
        <v>--</v>
      </c>
      <c r="T40" s="311" t="str">
        <f t="shared" si="9"/>
        <v>--</v>
      </c>
      <c r="U40" s="312" t="str">
        <f t="shared" si="10"/>
        <v>--</v>
      </c>
      <c r="V40" s="313" t="str">
        <f t="shared" si="11"/>
        <v>--</v>
      </c>
      <c r="W40" s="314" t="str">
        <f t="shared" si="12"/>
        <v>--</v>
      </c>
      <c r="X40" s="315" t="str">
        <f t="shared" si="13"/>
        <v>--</v>
      </c>
      <c r="Y40" s="316" t="str">
        <f t="shared" si="14"/>
        <v>--</v>
      </c>
      <c r="Z40" s="317">
        <f>IF(D40="","","SI")</f>
      </c>
      <c r="AA40" s="16">
        <f t="shared" si="15"/>
      </c>
      <c r="AB40" s="17"/>
    </row>
    <row r="41" spans="1:28" s="5" customFormat="1" ht="16.5" customHeight="1" thickBot="1">
      <c r="A41" s="90"/>
      <c r="B41" s="95"/>
      <c r="C41" s="157"/>
      <c r="D41" s="320"/>
      <c r="E41" s="321"/>
      <c r="F41" s="320"/>
      <c r="G41" s="322"/>
      <c r="H41" s="132"/>
      <c r="I41" s="160"/>
      <c r="J41" s="323"/>
      <c r="K41" s="324"/>
      <c r="L41" s="325"/>
      <c r="M41" s="165"/>
      <c r="N41" s="197"/>
      <c r="O41" s="163"/>
      <c r="P41" s="165"/>
      <c r="Q41" s="326"/>
      <c r="R41" s="327"/>
      <c r="S41" s="328"/>
      <c r="T41" s="329"/>
      <c r="U41" s="330"/>
      <c r="V41" s="331"/>
      <c r="W41" s="332"/>
      <c r="X41" s="333"/>
      <c r="Y41" s="334"/>
      <c r="Z41" s="335"/>
      <c r="AA41" s="336"/>
      <c r="AB41" s="17"/>
    </row>
    <row r="42" spans="1:28" s="5" customFormat="1" ht="16.5" customHeight="1" thickBot="1" thickTop="1">
      <c r="A42" s="90"/>
      <c r="B42" s="95"/>
      <c r="C42" s="128" t="s">
        <v>25</v>
      </c>
      <c r="D42" s="129" t="s">
        <v>367</v>
      </c>
      <c r="E42" s="15"/>
      <c r="F42" s="15"/>
      <c r="G42" s="15"/>
      <c r="H42" s="15"/>
      <c r="I42" s="15"/>
      <c r="J42" s="99"/>
      <c r="K42" s="15"/>
      <c r="L42" s="15"/>
      <c r="M42" s="15"/>
      <c r="N42" s="15"/>
      <c r="O42" s="15"/>
      <c r="P42" s="15"/>
      <c r="Q42" s="15"/>
      <c r="R42" s="337">
        <f aca="true" t="shared" si="16" ref="R42:Y42">SUM(R20:R41)</f>
        <v>120630.16900000001</v>
      </c>
      <c r="S42" s="338">
        <f t="shared" si="16"/>
        <v>0</v>
      </c>
      <c r="T42" s="339">
        <f t="shared" si="16"/>
        <v>19140</v>
      </c>
      <c r="U42" s="340">
        <f t="shared" si="16"/>
        <v>91919.84999999999</v>
      </c>
      <c r="V42" s="341">
        <f t="shared" si="16"/>
        <v>0</v>
      </c>
      <c r="W42" s="342">
        <f t="shared" si="16"/>
        <v>0</v>
      </c>
      <c r="X42" s="343">
        <f t="shared" si="16"/>
        <v>0</v>
      </c>
      <c r="Y42" s="344">
        <f t="shared" si="16"/>
        <v>0</v>
      </c>
      <c r="Z42" s="90"/>
      <c r="AA42" s="345">
        <f>ROUND(SUM(AA20:AA41),2)</f>
        <v>231690.02</v>
      </c>
      <c r="AB42" s="17"/>
    </row>
    <row r="43" spans="1:28" s="5" customFormat="1" ht="16.5" customHeight="1" thickBot="1" thickTop="1">
      <c r="A43" s="90"/>
      <c r="B43" s="102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4"/>
    </row>
    <row r="44" spans="1:29" ht="16.5" customHeight="1" thickTop="1">
      <c r="A44" s="2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</row>
    <row r="45" spans="1:29" ht="16.5" customHeight="1">
      <c r="A45" s="2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</row>
    <row r="46" spans="1:29" ht="16.5" customHeight="1">
      <c r="A46" s="2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</row>
    <row r="47" spans="1:29" ht="16.5" customHeight="1">
      <c r="A47" s="2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</row>
    <row r="48" spans="4:29" ht="16.5" customHeight="1"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</row>
    <row r="49" spans="4:29" ht="16.5" customHeight="1"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</row>
    <row r="50" spans="4:29" ht="16.5" customHeight="1"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</row>
    <row r="51" spans="4:29" ht="16.5" customHeight="1"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</row>
    <row r="52" spans="4:29" ht="16.5" customHeight="1"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</row>
    <row r="53" spans="4:29" ht="16.5" customHeight="1"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</row>
    <row r="54" spans="4:29" ht="16.5" customHeight="1"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</row>
    <row r="55" spans="4:29" ht="16.5" customHeight="1"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</row>
    <row r="56" spans="4:29" ht="16.5" customHeight="1"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</row>
    <row r="57" spans="4:29" ht="16.5" customHeight="1"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</row>
    <row r="58" spans="4:29" ht="16.5" customHeight="1"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</row>
    <row r="59" spans="4:29" ht="16.5" customHeight="1"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</row>
    <row r="60" spans="4:29" ht="16.5" customHeight="1"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</row>
    <row r="61" spans="4:29" ht="16.5" customHeight="1"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</row>
    <row r="62" spans="4:29" ht="16.5" customHeight="1"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</row>
    <row r="63" spans="4:29" ht="16.5" customHeight="1"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</row>
    <row r="64" spans="4:29" ht="16.5" customHeight="1"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</row>
    <row r="65" spans="4:29" ht="16.5" customHeight="1"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</row>
    <row r="66" spans="4:29" ht="16.5" customHeight="1"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</row>
    <row r="67" spans="4:29" ht="16.5" customHeight="1"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</row>
    <row r="68" spans="4:29" ht="16.5" customHeight="1"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</row>
    <row r="69" spans="4:29" ht="16.5" customHeight="1"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</row>
    <row r="70" spans="4:29" ht="16.5" customHeight="1"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</row>
    <row r="71" spans="4:29" ht="16.5" customHeight="1"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179"/>
      <c r="AC71" s="179"/>
    </row>
    <row r="72" spans="4:29" ht="16.5" customHeight="1"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</row>
    <row r="73" spans="4:29" ht="16.5" customHeight="1"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  <c r="AB73" s="179"/>
      <c r="AC73" s="179"/>
    </row>
    <row r="74" spans="4:29" ht="16.5" customHeight="1"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179"/>
    </row>
    <row r="75" spans="4:29" ht="16.5" customHeight="1"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79"/>
      <c r="AB75" s="179"/>
      <c r="AC75" s="179"/>
    </row>
    <row r="76" spans="4:29" ht="16.5" customHeight="1"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</row>
    <row r="77" spans="4:29" ht="16.5" customHeight="1"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  <c r="AA77" s="179"/>
      <c r="AB77" s="179"/>
      <c r="AC77" s="179"/>
    </row>
    <row r="78" spans="4:29" ht="16.5" customHeight="1"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</row>
    <row r="79" spans="4:29" ht="16.5" customHeight="1"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</row>
    <row r="80" spans="4:29" ht="16.5" customHeight="1"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  <c r="AA80" s="179"/>
      <c r="AB80" s="179"/>
      <c r="AC80" s="179"/>
    </row>
    <row r="81" spans="4:29" ht="16.5" customHeight="1"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  <c r="AA81" s="179"/>
      <c r="AB81" s="179"/>
      <c r="AC81" s="179"/>
    </row>
    <row r="82" spans="4:29" ht="16.5" customHeight="1"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  <c r="Z82" s="179"/>
      <c r="AA82" s="179"/>
      <c r="AB82" s="179"/>
      <c r="AC82" s="179"/>
    </row>
    <row r="83" spans="4:29" ht="16.5" customHeight="1"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79"/>
      <c r="AA83" s="179"/>
      <c r="AB83" s="179"/>
      <c r="AC83" s="179"/>
    </row>
    <row r="84" spans="4:29" ht="16.5" customHeight="1"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  <c r="T84" s="179"/>
      <c r="U84" s="179"/>
      <c r="V84" s="179"/>
      <c r="W84" s="179"/>
      <c r="X84" s="179"/>
      <c r="Y84" s="179"/>
      <c r="Z84" s="179"/>
      <c r="AA84" s="179"/>
      <c r="AB84" s="179"/>
      <c r="AC84" s="179"/>
    </row>
    <row r="85" spans="4:29" ht="16.5" customHeight="1"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  <c r="AB85" s="179"/>
      <c r="AC85" s="179"/>
    </row>
    <row r="86" spans="4:29" ht="16.5" customHeight="1"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  <c r="W86" s="179"/>
      <c r="X86" s="179"/>
      <c r="Y86" s="179"/>
      <c r="Z86" s="179"/>
      <c r="AA86" s="179"/>
      <c r="AB86" s="179"/>
      <c r="AC86" s="179"/>
    </row>
    <row r="87" spans="4:29" ht="16.5" customHeight="1"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</row>
    <row r="88" spans="4:29" ht="16.5" customHeight="1"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79"/>
      <c r="X88" s="179"/>
      <c r="Y88" s="179"/>
      <c r="Z88" s="179"/>
      <c r="AA88" s="179"/>
      <c r="AB88" s="179"/>
      <c r="AC88" s="179"/>
    </row>
    <row r="89" spans="4:29" ht="16.5" customHeight="1"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  <c r="AA89" s="179"/>
      <c r="AB89" s="179"/>
      <c r="AC89" s="179"/>
    </row>
    <row r="90" spans="4:29" ht="16.5" customHeight="1"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  <c r="X90" s="179"/>
      <c r="Y90" s="179"/>
      <c r="Z90" s="179"/>
      <c r="AA90" s="179"/>
      <c r="AB90" s="179"/>
      <c r="AC90" s="179"/>
    </row>
    <row r="91" spans="4:29" ht="16.5" customHeight="1"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79"/>
      <c r="Z91" s="179"/>
      <c r="AA91" s="179"/>
      <c r="AB91" s="179"/>
      <c r="AC91" s="179"/>
    </row>
    <row r="92" spans="4:29" ht="16.5" customHeight="1"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  <c r="AB92" s="179"/>
      <c r="AC92" s="179"/>
    </row>
    <row r="93" spans="4:29" ht="16.5" customHeight="1"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  <c r="X93" s="179"/>
      <c r="Y93" s="179"/>
      <c r="Z93" s="179"/>
      <c r="AA93" s="179"/>
      <c r="AB93" s="179"/>
      <c r="AC93" s="179"/>
    </row>
    <row r="94" spans="4:29" ht="16.5" customHeight="1"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9"/>
      <c r="Z94" s="179"/>
      <c r="AA94" s="179"/>
      <c r="AB94" s="179"/>
      <c r="AC94" s="179"/>
    </row>
    <row r="95" spans="4:29" ht="16.5" customHeight="1"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  <c r="X95" s="179"/>
      <c r="Y95" s="179"/>
      <c r="Z95" s="179"/>
      <c r="AA95" s="179"/>
      <c r="AB95" s="179"/>
      <c r="AC95" s="179"/>
    </row>
    <row r="96" spans="4:29" ht="16.5" customHeight="1"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79"/>
      <c r="AA96" s="179"/>
      <c r="AB96" s="179"/>
      <c r="AC96" s="179"/>
    </row>
    <row r="97" spans="4:29" ht="16.5" customHeight="1"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  <c r="Z97" s="179"/>
      <c r="AA97" s="179"/>
      <c r="AB97" s="179"/>
      <c r="AC97" s="179"/>
    </row>
    <row r="98" spans="4:29" ht="16.5" customHeight="1"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  <c r="S98" s="179"/>
      <c r="T98" s="179"/>
      <c r="U98" s="179"/>
      <c r="V98" s="179"/>
      <c r="W98" s="179"/>
      <c r="X98" s="179"/>
      <c r="Y98" s="179"/>
      <c r="Z98" s="179"/>
      <c r="AA98" s="179"/>
      <c r="AB98" s="179"/>
      <c r="AC98" s="179"/>
    </row>
    <row r="99" spans="4:29" ht="16.5" customHeight="1"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  <c r="S99" s="179"/>
      <c r="T99" s="179"/>
      <c r="U99" s="179"/>
      <c r="V99" s="179"/>
      <c r="W99" s="179"/>
      <c r="X99" s="179"/>
      <c r="Y99" s="179"/>
      <c r="Z99" s="179"/>
      <c r="AA99" s="179"/>
      <c r="AB99" s="179"/>
      <c r="AC99" s="179"/>
    </row>
    <row r="100" spans="4:29" ht="16.5" customHeight="1"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179"/>
      <c r="U100" s="179"/>
      <c r="V100" s="179"/>
      <c r="W100" s="179"/>
      <c r="X100" s="179"/>
      <c r="Y100" s="179"/>
      <c r="Z100" s="179"/>
      <c r="AA100" s="179"/>
      <c r="AB100" s="179"/>
      <c r="AC100" s="179"/>
    </row>
    <row r="101" spans="4:29" ht="16.5" customHeight="1"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  <c r="S101" s="179"/>
      <c r="T101" s="179"/>
      <c r="U101" s="179"/>
      <c r="V101" s="179"/>
      <c r="W101" s="179"/>
      <c r="X101" s="179"/>
      <c r="Y101" s="179"/>
      <c r="Z101" s="179"/>
      <c r="AA101" s="179"/>
      <c r="AB101" s="179"/>
      <c r="AC101" s="179"/>
    </row>
    <row r="102" spans="4:29" ht="16.5" customHeight="1"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179"/>
      <c r="Y102" s="179"/>
      <c r="Z102" s="179"/>
      <c r="AA102" s="179"/>
      <c r="AB102" s="179"/>
      <c r="AC102" s="179"/>
    </row>
    <row r="103" spans="4:29" ht="16.5" customHeight="1"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  <c r="S103" s="179"/>
      <c r="T103" s="179"/>
      <c r="U103" s="179"/>
      <c r="V103" s="179"/>
      <c r="W103" s="179"/>
      <c r="X103" s="179"/>
      <c r="Y103" s="179"/>
      <c r="Z103" s="179"/>
      <c r="AA103" s="179"/>
      <c r="AB103" s="179"/>
      <c r="AC103" s="179"/>
    </row>
    <row r="104" spans="4:29" ht="16.5" customHeight="1"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179"/>
      <c r="U104" s="179"/>
      <c r="V104" s="179"/>
      <c r="W104" s="179"/>
      <c r="X104" s="179"/>
      <c r="Y104" s="179"/>
      <c r="Z104" s="179"/>
      <c r="AA104" s="179"/>
      <c r="AB104" s="179"/>
      <c r="AC104" s="179"/>
    </row>
    <row r="105" spans="4:29" ht="16.5" customHeight="1"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  <c r="S105" s="179"/>
      <c r="T105" s="179"/>
      <c r="U105" s="179"/>
      <c r="V105" s="179"/>
      <c r="W105" s="179"/>
      <c r="X105" s="179"/>
      <c r="Y105" s="179"/>
      <c r="Z105" s="179"/>
      <c r="AA105" s="179"/>
      <c r="AB105" s="179"/>
      <c r="AC105" s="179"/>
    </row>
    <row r="106" spans="4:29" ht="16.5" customHeight="1"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T106" s="179"/>
      <c r="U106" s="179"/>
      <c r="V106" s="179"/>
      <c r="W106" s="179"/>
      <c r="X106" s="179"/>
      <c r="Y106" s="179"/>
      <c r="Z106" s="179"/>
      <c r="AA106" s="179"/>
      <c r="AB106" s="179"/>
      <c r="AC106" s="179"/>
    </row>
    <row r="107" spans="4:29" ht="16.5" customHeight="1"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  <c r="S107" s="179"/>
      <c r="T107" s="179"/>
      <c r="U107" s="179"/>
      <c r="V107" s="179"/>
      <c r="W107" s="179"/>
      <c r="X107" s="179"/>
      <c r="Y107" s="179"/>
      <c r="Z107" s="179"/>
      <c r="AA107" s="179"/>
      <c r="AB107" s="179"/>
      <c r="AC107" s="179"/>
    </row>
    <row r="108" spans="4:29" ht="16.5" customHeight="1"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  <c r="S108" s="179"/>
      <c r="T108" s="179"/>
      <c r="U108" s="179"/>
      <c r="V108" s="179"/>
      <c r="W108" s="179"/>
      <c r="X108" s="179"/>
      <c r="Y108" s="179"/>
      <c r="Z108" s="179"/>
      <c r="AA108" s="179"/>
      <c r="AB108" s="179"/>
      <c r="AC108" s="179"/>
    </row>
    <row r="109" spans="4:29" ht="16.5" customHeight="1"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  <c r="S109" s="179"/>
      <c r="T109" s="179"/>
      <c r="U109" s="179"/>
      <c r="V109" s="179"/>
      <c r="W109" s="179"/>
      <c r="X109" s="179"/>
      <c r="Y109" s="179"/>
      <c r="Z109" s="179"/>
      <c r="AA109" s="179"/>
      <c r="AB109" s="179"/>
      <c r="AC109" s="179"/>
    </row>
    <row r="110" spans="4:29" ht="16.5" customHeight="1"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  <c r="S110" s="179"/>
      <c r="T110" s="179"/>
      <c r="U110" s="179"/>
      <c r="V110" s="179"/>
      <c r="W110" s="179"/>
      <c r="X110" s="179"/>
      <c r="Y110" s="179"/>
      <c r="Z110" s="179"/>
      <c r="AA110" s="179"/>
      <c r="AB110" s="179"/>
      <c r="AC110" s="179"/>
    </row>
    <row r="111" spans="4:29" ht="16.5" customHeight="1"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  <c r="S111" s="179"/>
      <c r="T111" s="179"/>
      <c r="U111" s="179"/>
      <c r="V111" s="179"/>
      <c r="W111" s="179"/>
      <c r="X111" s="179"/>
      <c r="Y111" s="179"/>
      <c r="Z111" s="179"/>
      <c r="AA111" s="179"/>
      <c r="AB111" s="179"/>
      <c r="AC111" s="179"/>
    </row>
    <row r="112" spans="4:29" ht="16.5" customHeight="1"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  <c r="S112" s="179"/>
      <c r="T112" s="179"/>
      <c r="U112" s="179"/>
      <c r="V112" s="179"/>
      <c r="W112" s="179"/>
      <c r="X112" s="179"/>
      <c r="Y112" s="179"/>
      <c r="Z112" s="179"/>
      <c r="AA112" s="179"/>
      <c r="AB112" s="179"/>
      <c r="AC112" s="179"/>
    </row>
    <row r="113" spans="4:29" ht="16.5" customHeight="1"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  <c r="S113" s="179"/>
      <c r="T113" s="179"/>
      <c r="U113" s="179"/>
      <c r="V113" s="179"/>
      <c r="W113" s="179"/>
      <c r="X113" s="179"/>
      <c r="Y113" s="179"/>
      <c r="Z113" s="179"/>
      <c r="AA113" s="179"/>
      <c r="AB113" s="179"/>
      <c r="AC113" s="179"/>
    </row>
    <row r="114" spans="4:29" ht="16.5" customHeight="1"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  <c r="S114" s="179"/>
      <c r="T114" s="179"/>
      <c r="U114" s="179"/>
      <c r="V114" s="179"/>
      <c r="W114" s="179"/>
      <c r="X114" s="179"/>
      <c r="Y114" s="179"/>
      <c r="Z114" s="179"/>
      <c r="AA114" s="179"/>
      <c r="AB114" s="179"/>
      <c r="AC114" s="179"/>
    </row>
    <row r="115" spans="4:29" ht="16.5" customHeight="1"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  <c r="S115" s="179"/>
      <c r="T115" s="179"/>
      <c r="U115" s="179"/>
      <c r="V115" s="179"/>
      <c r="W115" s="179"/>
      <c r="X115" s="179"/>
      <c r="Y115" s="179"/>
      <c r="Z115" s="179"/>
      <c r="AA115" s="179"/>
      <c r="AB115" s="179"/>
      <c r="AC115" s="179"/>
    </row>
    <row r="116" spans="4:29" ht="16.5" customHeight="1"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  <c r="S116" s="179"/>
      <c r="T116" s="179"/>
      <c r="U116" s="179"/>
      <c r="V116" s="179"/>
      <c r="W116" s="179"/>
      <c r="X116" s="179"/>
      <c r="Y116" s="179"/>
      <c r="Z116" s="179"/>
      <c r="AA116" s="179"/>
      <c r="AB116" s="179"/>
      <c r="AC116" s="179"/>
    </row>
    <row r="117" spans="4:29" ht="16.5" customHeight="1"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  <c r="S117" s="179"/>
      <c r="T117" s="179"/>
      <c r="U117" s="179"/>
      <c r="V117" s="179"/>
      <c r="W117" s="179"/>
      <c r="X117" s="179"/>
      <c r="Y117" s="179"/>
      <c r="Z117" s="179"/>
      <c r="AA117" s="179"/>
      <c r="AB117" s="179"/>
      <c r="AC117" s="179"/>
    </row>
    <row r="118" spans="4:29" ht="16.5" customHeight="1"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  <c r="S118" s="179"/>
      <c r="T118" s="179"/>
      <c r="U118" s="179"/>
      <c r="V118" s="179"/>
      <c r="W118" s="179"/>
      <c r="X118" s="179"/>
      <c r="Y118" s="179"/>
      <c r="Z118" s="179"/>
      <c r="AA118" s="179"/>
      <c r="AB118" s="179"/>
      <c r="AC118" s="179"/>
    </row>
    <row r="119" spans="4:29" ht="16.5" customHeight="1"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  <c r="S119" s="179"/>
      <c r="T119" s="179"/>
      <c r="U119" s="179"/>
      <c r="V119" s="179"/>
      <c r="W119" s="179"/>
      <c r="X119" s="179"/>
      <c r="Y119" s="179"/>
      <c r="Z119" s="179"/>
      <c r="AA119" s="179"/>
      <c r="AB119" s="179"/>
      <c r="AC119" s="179"/>
    </row>
    <row r="120" spans="4:29" ht="16.5" customHeight="1"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  <c r="S120" s="179"/>
      <c r="T120" s="179"/>
      <c r="U120" s="179"/>
      <c r="V120" s="179"/>
      <c r="W120" s="179"/>
      <c r="X120" s="179"/>
      <c r="Y120" s="179"/>
      <c r="Z120" s="179"/>
      <c r="AA120" s="179"/>
      <c r="AB120" s="179"/>
      <c r="AC120" s="179"/>
    </row>
    <row r="121" spans="4:29" ht="16.5" customHeight="1"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  <c r="S121" s="179"/>
      <c r="T121" s="179"/>
      <c r="U121" s="179"/>
      <c r="V121" s="179"/>
      <c r="W121" s="179"/>
      <c r="X121" s="179"/>
      <c r="Y121" s="179"/>
      <c r="Z121" s="179"/>
      <c r="AA121" s="179"/>
      <c r="AB121" s="179"/>
      <c r="AC121" s="179"/>
    </row>
    <row r="122" spans="4:29" ht="16.5" customHeight="1"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  <c r="S122" s="179"/>
      <c r="T122" s="179"/>
      <c r="U122" s="179"/>
      <c r="V122" s="179"/>
      <c r="W122" s="179"/>
      <c r="X122" s="179"/>
      <c r="Y122" s="179"/>
      <c r="Z122" s="179"/>
      <c r="AA122" s="179"/>
      <c r="AB122" s="179"/>
      <c r="AC122" s="179"/>
    </row>
    <row r="123" spans="4:29" ht="16.5" customHeight="1"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  <c r="S123" s="179"/>
      <c r="T123" s="179"/>
      <c r="U123" s="179"/>
      <c r="V123" s="179"/>
      <c r="W123" s="179"/>
      <c r="X123" s="179"/>
      <c r="Y123" s="179"/>
      <c r="Z123" s="179"/>
      <c r="AA123" s="179"/>
      <c r="AB123" s="179"/>
      <c r="AC123" s="179"/>
    </row>
    <row r="124" spans="4:29" ht="16.5" customHeight="1"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  <c r="S124" s="179"/>
      <c r="T124" s="179"/>
      <c r="U124" s="179"/>
      <c r="V124" s="179"/>
      <c r="W124" s="179"/>
      <c r="X124" s="179"/>
      <c r="Y124" s="179"/>
      <c r="Z124" s="179"/>
      <c r="AA124" s="179"/>
      <c r="AB124" s="179"/>
      <c r="AC124" s="179"/>
    </row>
    <row r="125" spans="4:29" ht="16.5" customHeight="1"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  <c r="S125" s="179"/>
      <c r="T125" s="179"/>
      <c r="U125" s="179"/>
      <c r="V125" s="179"/>
      <c r="W125" s="179"/>
      <c r="X125" s="179"/>
      <c r="Y125" s="179"/>
      <c r="Z125" s="179"/>
      <c r="AA125" s="179"/>
      <c r="AB125" s="179"/>
      <c r="AC125" s="179"/>
    </row>
    <row r="126" spans="4:29" ht="16.5" customHeight="1"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  <c r="S126" s="179"/>
      <c r="T126" s="179"/>
      <c r="U126" s="179"/>
      <c r="V126" s="179"/>
      <c r="W126" s="179"/>
      <c r="X126" s="179"/>
      <c r="Y126" s="179"/>
      <c r="Z126" s="179"/>
      <c r="AA126" s="179"/>
      <c r="AB126" s="179"/>
      <c r="AC126" s="179"/>
    </row>
    <row r="127" spans="4:29" ht="16.5" customHeight="1"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  <c r="S127" s="179"/>
      <c r="T127" s="179"/>
      <c r="U127" s="179"/>
      <c r="V127" s="179"/>
      <c r="W127" s="179"/>
      <c r="X127" s="179"/>
      <c r="Y127" s="179"/>
      <c r="Z127" s="179"/>
      <c r="AA127" s="179"/>
      <c r="AB127" s="179"/>
      <c r="AC127" s="179"/>
    </row>
    <row r="128" spans="4:29" ht="16.5" customHeight="1"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  <c r="S128" s="179"/>
      <c r="T128" s="179"/>
      <c r="U128" s="179"/>
      <c r="V128" s="179"/>
      <c r="W128" s="179"/>
      <c r="X128" s="179"/>
      <c r="Y128" s="179"/>
      <c r="Z128" s="179"/>
      <c r="AA128" s="179"/>
      <c r="AB128" s="179"/>
      <c r="AC128" s="179"/>
    </row>
    <row r="129" spans="4:29" ht="16.5" customHeight="1"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  <c r="S129" s="179"/>
      <c r="T129" s="179"/>
      <c r="U129" s="179"/>
      <c r="V129" s="179"/>
      <c r="W129" s="179"/>
      <c r="X129" s="179"/>
      <c r="Y129" s="179"/>
      <c r="Z129" s="179"/>
      <c r="AA129" s="179"/>
      <c r="AB129" s="179"/>
      <c r="AC129" s="179"/>
    </row>
    <row r="130" spans="4:29" ht="16.5" customHeight="1"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  <c r="S130" s="179"/>
      <c r="T130" s="179"/>
      <c r="U130" s="179"/>
      <c r="V130" s="179"/>
      <c r="W130" s="179"/>
      <c r="X130" s="179"/>
      <c r="Y130" s="179"/>
      <c r="Z130" s="179"/>
      <c r="AA130" s="179"/>
      <c r="AB130" s="179"/>
      <c r="AC130" s="179"/>
    </row>
    <row r="131" spans="4:29" ht="16.5" customHeight="1"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  <c r="S131" s="179"/>
      <c r="T131" s="179"/>
      <c r="U131" s="179"/>
      <c r="V131" s="179"/>
      <c r="W131" s="179"/>
      <c r="X131" s="179"/>
      <c r="Y131" s="179"/>
      <c r="Z131" s="179"/>
      <c r="AA131" s="179"/>
      <c r="AB131" s="179"/>
      <c r="AC131" s="179"/>
    </row>
    <row r="132" spans="4:29" ht="16.5" customHeight="1"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  <c r="S132" s="179"/>
      <c r="T132" s="179"/>
      <c r="U132" s="179"/>
      <c r="V132" s="179"/>
      <c r="W132" s="179"/>
      <c r="X132" s="179"/>
      <c r="Y132" s="179"/>
      <c r="Z132" s="179"/>
      <c r="AA132" s="179"/>
      <c r="AB132" s="179"/>
      <c r="AC132" s="179"/>
    </row>
    <row r="133" spans="4:29" ht="16.5" customHeight="1"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  <c r="S133" s="179"/>
      <c r="T133" s="179"/>
      <c r="U133" s="179"/>
      <c r="V133" s="179"/>
      <c r="W133" s="179"/>
      <c r="X133" s="179"/>
      <c r="Y133" s="179"/>
      <c r="Z133" s="179"/>
      <c r="AA133" s="179"/>
      <c r="AB133" s="179"/>
      <c r="AC133" s="179"/>
    </row>
    <row r="134" spans="4:29" ht="16.5" customHeight="1"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  <c r="S134" s="179"/>
      <c r="T134" s="179"/>
      <c r="U134" s="179"/>
      <c r="V134" s="179"/>
      <c r="W134" s="179"/>
      <c r="X134" s="179"/>
      <c r="Y134" s="179"/>
      <c r="Z134" s="179"/>
      <c r="AA134" s="179"/>
      <c r="AB134" s="179"/>
      <c r="AC134" s="179"/>
    </row>
    <row r="135" spans="4:29" ht="16.5" customHeight="1"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  <c r="S135" s="179"/>
      <c r="T135" s="179"/>
      <c r="U135" s="179"/>
      <c r="V135" s="179"/>
      <c r="W135" s="179"/>
      <c r="X135" s="179"/>
      <c r="Y135" s="179"/>
      <c r="Z135" s="179"/>
      <c r="AA135" s="179"/>
      <c r="AB135" s="179"/>
      <c r="AC135" s="179"/>
    </row>
    <row r="136" spans="4:29" ht="16.5" customHeight="1"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  <c r="S136" s="179"/>
      <c r="T136" s="179"/>
      <c r="U136" s="179"/>
      <c r="V136" s="179"/>
      <c r="W136" s="179"/>
      <c r="X136" s="179"/>
      <c r="Y136" s="179"/>
      <c r="Z136" s="179"/>
      <c r="AA136" s="179"/>
      <c r="AB136" s="179"/>
      <c r="AC136" s="179"/>
    </row>
    <row r="137" spans="4:29" ht="16.5" customHeight="1"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  <c r="S137" s="179"/>
      <c r="T137" s="179"/>
      <c r="U137" s="179"/>
      <c r="V137" s="179"/>
      <c r="W137" s="179"/>
      <c r="X137" s="179"/>
      <c r="Y137" s="179"/>
      <c r="Z137" s="179"/>
      <c r="AA137" s="179"/>
      <c r="AB137" s="179"/>
      <c r="AC137" s="179"/>
    </row>
    <row r="138" spans="4:29" ht="16.5" customHeight="1"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  <c r="S138" s="179"/>
      <c r="T138" s="179"/>
      <c r="U138" s="179"/>
      <c r="V138" s="179"/>
      <c r="W138" s="179"/>
      <c r="X138" s="179"/>
      <c r="Y138" s="179"/>
      <c r="Z138" s="179"/>
      <c r="AA138" s="179"/>
      <c r="AB138" s="179"/>
      <c r="AC138" s="179"/>
    </row>
    <row r="139" spans="4:29" ht="16.5" customHeight="1"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  <c r="S139" s="179"/>
      <c r="T139" s="179"/>
      <c r="U139" s="179"/>
      <c r="V139" s="179"/>
      <c r="W139" s="179"/>
      <c r="X139" s="179"/>
      <c r="Y139" s="179"/>
      <c r="Z139" s="179"/>
      <c r="AA139" s="179"/>
      <c r="AB139" s="179"/>
      <c r="AC139" s="179"/>
    </row>
    <row r="140" spans="4:29" ht="16.5" customHeight="1"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  <c r="S140" s="179"/>
      <c r="T140" s="179"/>
      <c r="U140" s="179"/>
      <c r="V140" s="179"/>
      <c r="W140" s="179"/>
      <c r="X140" s="179"/>
      <c r="Y140" s="179"/>
      <c r="Z140" s="179"/>
      <c r="AA140" s="179"/>
      <c r="AB140" s="179"/>
      <c r="AC140" s="179"/>
    </row>
    <row r="141" spans="4:29" ht="16.5" customHeight="1"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  <c r="S141" s="179"/>
      <c r="T141" s="179"/>
      <c r="U141" s="179"/>
      <c r="V141" s="179"/>
      <c r="W141" s="179"/>
      <c r="X141" s="179"/>
      <c r="Y141" s="179"/>
      <c r="Z141" s="179"/>
      <c r="AA141" s="179"/>
      <c r="AB141" s="179"/>
      <c r="AC141" s="179"/>
    </row>
    <row r="142" spans="4:29" ht="16.5" customHeight="1"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  <c r="S142" s="179"/>
      <c r="T142" s="179"/>
      <c r="U142" s="179"/>
      <c r="V142" s="179"/>
      <c r="W142" s="179"/>
      <c r="X142" s="179"/>
      <c r="Y142" s="179"/>
      <c r="Z142" s="179"/>
      <c r="AA142" s="179"/>
      <c r="AB142" s="179"/>
      <c r="AC142" s="179"/>
    </row>
    <row r="143" spans="4:29" ht="16.5" customHeight="1"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  <c r="S143" s="179"/>
      <c r="T143" s="179"/>
      <c r="U143" s="179"/>
      <c r="V143" s="179"/>
      <c r="W143" s="179"/>
      <c r="X143" s="179"/>
      <c r="Y143" s="179"/>
      <c r="Z143" s="179"/>
      <c r="AA143" s="179"/>
      <c r="AB143" s="179"/>
      <c r="AC143" s="179"/>
    </row>
    <row r="144" spans="4:29" ht="16.5" customHeight="1"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  <c r="S144" s="179"/>
      <c r="T144" s="179"/>
      <c r="U144" s="179"/>
      <c r="V144" s="179"/>
      <c r="W144" s="179"/>
      <c r="X144" s="179"/>
      <c r="Y144" s="179"/>
      <c r="Z144" s="179"/>
      <c r="AA144" s="179"/>
      <c r="AB144" s="179"/>
      <c r="AC144" s="179"/>
    </row>
    <row r="145" spans="4:29" ht="16.5" customHeight="1"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  <c r="S145" s="179"/>
      <c r="T145" s="179"/>
      <c r="U145" s="179"/>
      <c r="V145" s="179"/>
      <c r="W145" s="179"/>
      <c r="X145" s="179"/>
      <c r="Y145" s="179"/>
      <c r="Z145" s="179"/>
      <c r="AA145" s="179"/>
      <c r="AB145" s="179"/>
      <c r="AC145" s="179"/>
    </row>
    <row r="146" spans="4:29" ht="16.5" customHeight="1"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  <c r="S146" s="179"/>
      <c r="T146" s="179"/>
      <c r="U146" s="179"/>
      <c r="V146" s="179"/>
      <c r="W146" s="179"/>
      <c r="X146" s="179"/>
      <c r="Y146" s="179"/>
      <c r="Z146" s="179"/>
      <c r="AA146" s="179"/>
      <c r="AB146" s="179"/>
      <c r="AC146" s="179"/>
    </row>
    <row r="147" spans="4:29" ht="16.5" customHeight="1"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  <c r="S147" s="179"/>
      <c r="T147" s="179"/>
      <c r="U147" s="179"/>
      <c r="V147" s="179"/>
      <c r="W147" s="179"/>
      <c r="X147" s="179"/>
      <c r="Y147" s="179"/>
      <c r="Z147" s="179"/>
      <c r="AA147" s="179"/>
      <c r="AB147" s="179"/>
      <c r="AC147" s="179"/>
    </row>
    <row r="148" spans="4:29" ht="16.5" customHeight="1"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  <c r="S148" s="179"/>
      <c r="T148" s="179"/>
      <c r="U148" s="179"/>
      <c r="V148" s="179"/>
      <c r="W148" s="179"/>
      <c r="X148" s="179"/>
      <c r="Y148" s="179"/>
      <c r="Z148" s="179"/>
      <c r="AA148" s="179"/>
      <c r="AB148" s="179"/>
      <c r="AC148" s="179"/>
    </row>
    <row r="149" spans="4:29" ht="16.5" customHeight="1"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  <c r="S149" s="179"/>
      <c r="T149" s="179"/>
      <c r="U149" s="179"/>
      <c r="V149" s="179"/>
      <c r="W149" s="179"/>
      <c r="X149" s="179"/>
      <c r="Y149" s="179"/>
      <c r="Z149" s="179"/>
      <c r="AA149" s="179"/>
      <c r="AB149" s="179"/>
      <c r="AC149" s="179"/>
    </row>
    <row r="150" spans="4:29" ht="16.5" customHeight="1"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  <c r="S150" s="179"/>
      <c r="T150" s="179"/>
      <c r="U150" s="179"/>
      <c r="V150" s="179"/>
      <c r="W150" s="179"/>
      <c r="X150" s="179"/>
      <c r="Y150" s="179"/>
      <c r="Z150" s="179"/>
      <c r="AA150" s="179"/>
      <c r="AB150" s="179"/>
      <c r="AC150" s="179"/>
    </row>
    <row r="151" spans="4:29" ht="16.5" customHeight="1"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  <c r="S151" s="179"/>
      <c r="T151" s="179"/>
      <c r="U151" s="179"/>
      <c r="V151" s="179"/>
      <c r="W151" s="179"/>
      <c r="X151" s="179"/>
      <c r="Y151" s="179"/>
      <c r="Z151" s="179"/>
      <c r="AA151" s="179"/>
      <c r="AB151" s="179"/>
      <c r="AC151" s="179"/>
    </row>
    <row r="152" ht="16.5" customHeight="1">
      <c r="AC152" s="179"/>
    </row>
    <row r="153" ht="16.5" customHeight="1">
      <c r="AC153" s="179"/>
    </row>
    <row r="154" ht="16.5" customHeight="1">
      <c r="AC154" s="179"/>
    </row>
    <row r="155" ht="16.5" customHeight="1">
      <c r="AC155" s="179"/>
    </row>
    <row r="156" ht="16.5" customHeight="1"/>
    <row r="157" ht="16.5" customHeight="1"/>
    <row r="158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1" r:id="rId4"/>
  <headerFooter alignWithMargins="0">
    <oddFooter>&amp;L&amp;"Times New Roman,Normal"&amp;5&amp;F  - TRANSPORTE de ENERGÍA ELÉCTRICA - PJL - JI -JM - &amp;P/&amp;N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5">
    <pageSetUpPr fitToPage="1"/>
  </sheetPr>
  <dimension ref="A1:AC156"/>
  <sheetViews>
    <sheetView zoomScale="75" zoomScaleNormal="75" workbookViewId="0" topLeftCell="D14">
      <selection activeCell="E14" sqref="E14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5" width="25.7109375" style="0" customWidth="1"/>
    <col min="6" max="6" width="9.7109375" style="0" customWidth="1"/>
    <col min="7" max="7" width="12.7109375" style="0" customWidth="1"/>
    <col min="8" max="8" width="13.7109375" style="0" hidden="1" customWidth="1"/>
    <col min="9" max="10" width="15.7109375" style="0" customWidth="1"/>
    <col min="11" max="14" width="9.7109375" style="0" customWidth="1"/>
    <col min="15" max="15" width="5.8515625" style="0" customWidth="1"/>
    <col min="16" max="16" width="7.00390625" style="0" customWidth="1"/>
    <col min="17" max="17" width="13.140625" style="0" hidden="1" customWidth="1"/>
    <col min="18" max="19" width="16.421875" style="0" hidden="1" customWidth="1"/>
    <col min="20" max="20" width="16.57421875" style="0" hidden="1" customWidth="1"/>
    <col min="21" max="25" width="16.28125" style="0" hidden="1" customWidth="1"/>
    <col min="26" max="26" width="9.7109375" style="0" customWidth="1"/>
    <col min="27" max="28" width="15.7109375" style="0" customWidth="1"/>
  </cols>
  <sheetData>
    <row r="1" spans="2:28" s="18" customFormat="1" ht="26.25"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147"/>
    </row>
    <row r="2" spans="1:28" s="18" customFormat="1" ht="26.25">
      <c r="A2" s="91"/>
      <c r="B2" s="258" t="str">
        <f>+'TOT-1108'!B2</f>
        <v>ANEXO VI al Memoràndum D.T.E.E. N°  366 / 2010          </v>
      </c>
      <c r="C2" s="258"/>
      <c r="D2" s="258"/>
      <c r="E2" s="19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</row>
    <row r="3" spans="1:28" s="5" customFormat="1" ht="12.7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</row>
    <row r="4" spans="1:28" s="25" customFormat="1" ht="11.25">
      <c r="A4" s="259" t="s">
        <v>81</v>
      </c>
      <c r="B4" s="11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</row>
    <row r="5" spans="1:28" s="25" customFormat="1" ht="11.25">
      <c r="A5" s="259" t="s">
        <v>3</v>
      </c>
      <c r="B5" s="11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</row>
    <row r="6" spans="1:28" s="5" customFormat="1" ht="13.5" thickBo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</row>
    <row r="7" spans="1:28" s="5" customFormat="1" ht="13.5" thickTop="1">
      <c r="A7" s="90"/>
      <c r="B7" s="92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4"/>
    </row>
    <row r="8" spans="1:28" s="29" customFormat="1" ht="20.25">
      <c r="A8" s="106"/>
      <c r="B8" s="107"/>
      <c r="C8" s="106"/>
      <c r="D8" s="260" t="s">
        <v>70</v>
      </c>
      <c r="E8" s="106"/>
      <c r="F8" s="106"/>
      <c r="G8" s="261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96"/>
      <c r="S8" s="96"/>
      <c r="T8" s="96"/>
      <c r="U8" s="96"/>
      <c r="V8" s="96"/>
      <c r="W8" s="96"/>
      <c r="X8" s="96"/>
      <c r="Y8" s="96"/>
      <c r="Z8" s="96"/>
      <c r="AA8" s="96"/>
      <c r="AB8" s="108"/>
    </row>
    <row r="9" spans="1:28" s="5" customFormat="1" ht="12.75">
      <c r="A9" s="90"/>
      <c r="B9" s="95"/>
      <c r="C9" s="90"/>
      <c r="D9" s="15"/>
      <c r="E9" s="262"/>
      <c r="F9" s="90"/>
      <c r="G9" s="15"/>
      <c r="H9" s="90"/>
      <c r="I9" s="90"/>
      <c r="J9" s="90"/>
      <c r="K9" s="90"/>
      <c r="L9" s="90"/>
      <c r="M9" s="90"/>
      <c r="N9" s="90"/>
      <c r="O9" s="90"/>
      <c r="P9" s="90"/>
      <c r="Q9" s="90"/>
      <c r="R9" s="15"/>
      <c r="S9" s="15"/>
      <c r="T9" s="15"/>
      <c r="U9" s="15"/>
      <c r="V9" s="15"/>
      <c r="W9" s="15"/>
      <c r="X9" s="15"/>
      <c r="Y9" s="15"/>
      <c r="Z9" s="15"/>
      <c r="AA9" s="15"/>
      <c r="AB9" s="17"/>
    </row>
    <row r="10" spans="1:28" s="950" customFormat="1" ht="30" customHeight="1">
      <c r="A10" s="944"/>
      <c r="B10" s="945"/>
      <c r="C10" s="944"/>
      <c r="D10" s="946" t="s">
        <v>261</v>
      </c>
      <c r="E10" s="944"/>
      <c r="F10" s="947"/>
      <c r="G10" s="948"/>
      <c r="H10" s="944"/>
      <c r="I10" s="944"/>
      <c r="J10" s="944"/>
      <c r="K10" s="944"/>
      <c r="L10" s="944"/>
      <c r="M10" s="944"/>
      <c r="N10" s="944"/>
      <c r="O10" s="944"/>
      <c r="P10" s="944"/>
      <c r="Q10" s="944"/>
      <c r="R10" s="948"/>
      <c r="S10" s="948"/>
      <c r="T10" s="948"/>
      <c r="U10" s="948"/>
      <c r="V10" s="948"/>
      <c r="W10" s="948"/>
      <c r="X10" s="948"/>
      <c r="Y10" s="948"/>
      <c r="Z10" s="948"/>
      <c r="AA10" s="948"/>
      <c r="AB10" s="949"/>
    </row>
    <row r="11" spans="1:28" s="955" customFormat="1" ht="9.75" customHeight="1">
      <c r="A11" s="951"/>
      <c r="B11" s="952"/>
      <c r="C11" s="951"/>
      <c r="E11" s="953"/>
      <c r="F11" s="953"/>
      <c r="G11" s="953"/>
      <c r="H11" s="951"/>
      <c r="I11" s="951"/>
      <c r="J11" s="951"/>
      <c r="K11" s="951"/>
      <c r="L11" s="951"/>
      <c r="M11" s="951"/>
      <c r="N11" s="951"/>
      <c r="O11" s="951"/>
      <c r="P11" s="951"/>
      <c r="Q11" s="951"/>
      <c r="R11" s="953"/>
      <c r="S11" s="953"/>
      <c r="T11" s="953"/>
      <c r="U11" s="953"/>
      <c r="V11" s="953"/>
      <c r="W11" s="953"/>
      <c r="X11" s="953"/>
      <c r="Y11" s="953"/>
      <c r="Z11" s="953"/>
      <c r="AA11" s="953"/>
      <c r="AB11" s="954"/>
    </row>
    <row r="12" spans="1:28" s="955" customFormat="1" ht="21" customHeight="1">
      <c r="A12" s="944"/>
      <c r="B12" s="945"/>
      <c r="C12" s="944"/>
      <c r="D12" s="956" t="s">
        <v>262</v>
      </c>
      <c r="E12" s="944"/>
      <c r="F12" s="944"/>
      <c r="G12" s="944"/>
      <c r="H12" s="957"/>
      <c r="I12" s="957"/>
      <c r="J12" s="957"/>
      <c r="K12" s="957"/>
      <c r="L12" s="957"/>
      <c r="M12" s="951"/>
      <c r="N12" s="951"/>
      <c r="O12" s="951"/>
      <c r="P12" s="951"/>
      <c r="Q12" s="951"/>
      <c r="R12" s="953"/>
      <c r="S12" s="953"/>
      <c r="T12" s="953"/>
      <c r="U12" s="953"/>
      <c r="V12" s="953"/>
      <c r="W12" s="953"/>
      <c r="X12" s="953"/>
      <c r="Y12" s="953"/>
      <c r="Z12" s="953"/>
      <c r="AA12" s="953"/>
      <c r="AB12" s="954"/>
    </row>
    <row r="13" spans="1:28" s="5" customFormat="1" ht="12.75">
      <c r="A13" s="90"/>
      <c r="B13" s="95"/>
      <c r="C13" s="90"/>
      <c r="D13" s="15"/>
      <c r="E13" s="15"/>
      <c r="F13" s="15"/>
      <c r="G13" s="98"/>
      <c r="H13" s="15"/>
      <c r="I13" s="15"/>
      <c r="J13" s="15"/>
      <c r="K13" s="15"/>
      <c r="L13" s="15"/>
      <c r="M13" s="90"/>
      <c r="N13" s="90"/>
      <c r="O13" s="90"/>
      <c r="P13" s="90"/>
      <c r="Q13" s="90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7"/>
    </row>
    <row r="14" spans="1:28" s="36" customFormat="1" ht="19.5">
      <c r="A14" s="110"/>
      <c r="B14" s="37" t="str">
        <f>'TOT-1108'!B14</f>
        <v>Desde el 01 al 30 de noviembre de 2008</v>
      </c>
      <c r="C14" s="263"/>
      <c r="D14" s="113"/>
      <c r="E14" s="113"/>
      <c r="F14" s="113"/>
      <c r="G14" s="113"/>
      <c r="H14" s="113"/>
      <c r="I14" s="113"/>
      <c r="J14" s="113"/>
      <c r="K14" s="113"/>
      <c r="L14" s="113"/>
      <c r="M14" s="263"/>
      <c r="N14" s="263"/>
      <c r="O14" s="263"/>
      <c r="P14" s="263"/>
      <c r="Q14" s="26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264"/>
    </row>
    <row r="15" spans="1:28" s="5" customFormat="1" ht="13.5" thickBot="1">
      <c r="A15" s="90"/>
      <c r="B15" s="95"/>
      <c r="C15" s="90"/>
      <c r="D15" s="15"/>
      <c r="E15" s="15"/>
      <c r="F15" s="15"/>
      <c r="G15" s="98"/>
      <c r="H15" s="15"/>
      <c r="I15" s="15"/>
      <c r="J15" s="15"/>
      <c r="K15" s="15"/>
      <c r="L15" s="15"/>
      <c r="M15" s="90"/>
      <c r="N15" s="90"/>
      <c r="O15" s="90"/>
      <c r="P15" s="90"/>
      <c r="Q15" s="90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7"/>
    </row>
    <row r="16" spans="1:28" s="5" customFormat="1" ht="16.5" customHeight="1" thickBot="1" thickTop="1">
      <c r="A16" s="90"/>
      <c r="B16" s="95"/>
      <c r="C16" s="90"/>
      <c r="D16" s="265" t="s">
        <v>82</v>
      </c>
      <c r="E16" s="266"/>
      <c r="F16" s="267">
        <v>0.319</v>
      </c>
      <c r="H16" s="90"/>
      <c r="I16" s="90"/>
      <c r="J16" s="90"/>
      <c r="K16" s="90"/>
      <c r="L16" s="90"/>
      <c r="M16" s="90"/>
      <c r="N16" s="90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7"/>
    </row>
    <row r="17" spans="1:28" s="5" customFormat="1" ht="16.5" customHeight="1" thickBot="1" thickTop="1">
      <c r="A17" s="90"/>
      <c r="B17" s="95"/>
      <c r="C17" s="90"/>
      <c r="D17" s="111" t="s">
        <v>26</v>
      </c>
      <c r="E17" s="112"/>
      <c r="F17" s="924">
        <v>200</v>
      </c>
      <c r="G17"/>
      <c r="H17" s="15"/>
      <c r="I17" s="214"/>
      <c r="J17" s="215"/>
      <c r="K17" s="4"/>
      <c r="L17" s="15"/>
      <c r="M17" s="15"/>
      <c r="N17" s="15"/>
      <c r="O17" s="15"/>
      <c r="P17" s="15"/>
      <c r="Q17" s="15"/>
      <c r="R17" s="15"/>
      <c r="S17" s="15"/>
      <c r="T17" s="15"/>
      <c r="U17" s="99"/>
      <c r="V17" s="99"/>
      <c r="W17" s="99"/>
      <c r="X17" s="99"/>
      <c r="Y17" s="99"/>
      <c r="Z17" s="99"/>
      <c r="AA17" s="90"/>
      <c r="AB17" s="17"/>
    </row>
    <row r="18" spans="1:28" s="5" customFormat="1" ht="16.5" customHeight="1" thickBot="1" thickTop="1">
      <c r="A18" s="90"/>
      <c r="B18" s="95"/>
      <c r="C18" s="90"/>
      <c r="D18" s="15"/>
      <c r="E18" s="15"/>
      <c r="F18" s="15"/>
      <c r="G18" s="100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7"/>
    </row>
    <row r="19" spans="1:28" s="5" customFormat="1" ht="33.75" customHeight="1" thickBot="1" thickTop="1">
      <c r="A19" s="90"/>
      <c r="B19" s="95"/>
      <c r="C19" s="124" t="s">
        <v>13</v>
      </c>
      <c r="D19" s="120" t="s">
        <v>27</v>
      </c>
      <c r="E19" s="119" t="s">
        <v>28</v>
      </c>
      <c r="F19" s="121" t="s">
        <v>29</v>
      </c>
      <c r="G19" s="122" t="s">
        <v>14</v>
      </c>
      <c r="H19" s="130" t="s">
        <v>16</v>
      </c>
      <c r="I19" s="119" t="s">
        <v>17</v>
      </c>
      <c r="J19" s="119" t="s">
        <v>18</v>
      </c>
      <c r="K19" s="120" t="s">
        <v>30</v>
      </c>
      <c r="L19" s="120" t="s">
        <v>31</v>
      </c>
      <c r="M19" s="88" t="s">
        <v>19</v>
      </c>
      <c r="N19" s="88" t="s">
        <v>58</v>
      </c>
      <c r="O19" s="123" t="s">
        <v>32</v>
      </c>
      <c r="P19" s="119" t="s">
        <v>33</v>
      </c>
      <c r="Q19" s="268" t="s">
        <v>37</v>
      </c>
      <c r="R19" s="269" t="s">
        <v>20</v>
      </c>
      <c r="S19" s="270" t="s">
        <v>21</v>
      </c>
      <c r="T19" s="222" t="s">
        <v>83</v>
      </c>
      <c r="U19" s="224"/>
      <c r="V19" s="271" t="s">
        <v>84</v>
      </c>
      <c r="W19" s="272"/>
      <c r="X19" s="273" t="s">
        <v>22</v>
      </c>
      <c r="Y19" s="274" t="s">
        <v>79</v>
      </c>
      <c r="Z19" s="133" t="s">
        <v>80</v>
      </c>
      <c r="AA19" s="122" t="s">
        <v>24</v>
      </c>
      <c r="AB19" s="17"/>
    </row>
    <row r="20" spans="1:28" s="5" customFormat="1" ht="16.5" customHeight="1" thickTop="1">
      <c r="A20" s="90"/>
      <c r="B20" s="95"/>
      <c r="C20" s="275"/>
      <c r="D20" s="275"/>
      <c r="E20" s="275"/>
      <c r="F20" s="275"/>
      <c r="G20" s="276"/>
      <c r="H20" s="277"/>
      <c r="I20" s="275"/>
      <c r="J20" s="275"/>
      <c r="K20" s="275"/>
      <c r="L20" s="275"/>
      <c r="M20" s="275"/>
      <c r="N20" s="185"/>
      <c r="O20" s="278"/>
      <c r="P20" s="275"/>
      <c r="Q20" s="279"/>
      <c r="R20" s="280"/>
      <c r="S20" s="281"/>
      <c r="T20" s="282"/>
      <c r="U20" s="283"/>
      <c r="V20" s="284"/>
      <c r="W20" s="285"/>
      <c r="X20" s="286"/>
      <c r="Y20" s="287"/>
      <c r="Z20" s="278"/>
      <c r="AA20" s="288">
        <f>'TR-11 (1)'!AA42</f>
        <v>231690.02</v>
      </c>
      <c r="AB20" s="17"/>
    </row>
    <row r="21" spans="1:28" s="5" customFormat="1" ht="16.5" customHeight="1">
      <c r="A21" s="90"/>
      <c r="B21" s="95"/>
      <c r="C21" s="289"/>
      <c r="D21" s="289"/>
      <c r="E21" s="289"/>
      <c r="F21" s="289"/>
      <c r="G21" s="290"/>
      <c r="H21" s="291"/>
      <c r="I21" s="289"/>
      <c r="J21" s="289"/>
      <c r="K21" s="289"/>
      <c r="L21" s="289"/>
      <c r="M21" s="289"/>
      <c r="N21" s="188"/>
      <c r="O21" s="292"/>
      <c r="P21" s="289"/>
      <c r="Q21" s="293"/>
      <c r="R21" s="294"/>
      <c r="S21" s="295"/>
      <c r="T21" s="296"/>
      <c r="U21" s="297"/>
      <c r="V21" s="298"/>
      <c r="W21" s="299"/>
      <c r="X21" s="300"/>
      <c r="Y21" s="301"/>
      <c r="Z21" s="292"/>
      <c r="AA21" s="302"/>
      <c r="AB21" s="17"/>
    </row>
    <row r="22" spans="1:28" s="5" customFormat="1" ht="16.5" customHeight="1">
      <c r="A22" s="90"/>
      <c r="B22" s="95"/>
      <c r="C22" s="157">
        <v>54</v>
      </c>
      <c r="D22" s="151" t="s">
        <v>306</v>
      </c>
      <c r="E22" s="303" t="s">
        <v>307</v>
      </c>
      <c r="F22" s="304">
        <v>150</v>
      </c>
      <c r="G22" s="305" t="s">
        <v>128</v>
      </c>
      <c r="H22" s="306">
        <f aca="true" t="shared" si="0" ref="H22:H41">F22*$F$16</f>
        <v>47.85</v>
      </c>
      <c r="I22" s="158">
        <v>39780.14236111111</v>
      </c>
      <c r="J22" s="158">
        <v>39780.15625</v>
      </c>
      <c r="K22" s="307">
        <f aca="true" t="shared" si="1" ref="K22:K41">IF(D22="","",(J22-I22)*24)</f>
        <v>0.33333333337213844</v>
      </c>
      <c r="L22" s="14">
        <f aca="true" t="shared" si="2" ref="L22:L41">IF(D22="","",ROUND((J22-I22)*24*60,0))</f>
        <v>20</v>
      </c>
      <c r="M22" s="159" t="s">
        <v>279</v>
      </c>
      <c r="N22" s="235" t="str">
        <f aca="true" t="shared" si="3" ref="N22:N41">IF(D22="","","--")</f>
        <v>--</v>
      </c>
      <c r="O22" s="156" t="str">
        <f aca="true" t="shared" si="4" ref="O22:O41">IF(D22="","",IF(OR(M22="P",M22="RP"),"--","NO"))</f>
        <v>NO</v>
      </c>
      <c r="P22" s="155" t="s">
        <v>248</v>
      </c>
      <c r="Q22" s="308">
        <f aca="true" t="shared" si="5" ref="Q22:Q41">$F$17*IF(OR(M22="P",M22="RP"),0.1,1)*IF(P22="SI",1,0.1)</f>
        <v>200</v>
      </c>
      <c r="R22" s="309" t="str">
        <f aca="true" t="shared" si="6" ref="R22:R41">IF(M22="P",H22*Q22*ROUND(L22/60,2),"--")</f>
        <v>--</v>
      </c>
      <c r="S22" s="310" t="str">
        <f aca="true" t="shared" si="7" ref="S22:S41">IF(M22="RP",H22*Q22*N22/100*ROUND(L22/60,2),"--")</f>
        <v>--</v>
      </c>
      <c r="T22" s="311">
        <f aca="true" t="shared" si="8" ref="T22:T41">IF(AND(M22="F",O22="NO"),H22*Q22,"--")</f>
        <v>9570</v>
      </c>
      <c r="U22" s="312">
        <f aca="true" t="shared" si="9" ref="U22:U41">IF(M22="F",H22*Q22*ROUND(L22/60,2),"--")</f>
        <v>3158.1000000000004</v>
      </c>
      <c r="V22" s="313" t="str">
        <f aca="true" t="shared" si="10" ref="V22:V41">IF(AND(M22="R",O22="NO"),H22*Q22*N22/100,"--")</f>
        <v>--</v>
      </c>
      <c r="W22" s="314" t="str">
        <f aca="true" t="shared" si="11" ref="W22:W41">IF(M22="R",H22*Q22*N22/100*ROUND(L22/60,2),"--")</f>
        <v>--</v>
      </c>
      <c r="X22" s="315" t="str">
        <f aca="true" t="shared" si="12" ref="X22:X41">IF(M22="RF",H22*Q22*ROUND(L22/60,2),"--")</f>
        <v>--</v>
      </c>
      <c r="Y22" s="316" t="str">
        <f aca="true" t="shared" si="13" ref="Y22:Y41">IF(M22="RR",H22*Q22*N22/100*ROUND(L22/60,2),"--")</f>
        <v>--</v>
      </c>
      <c r="Z22" s="317" t="s">
        <v>248</v>
      </c>
      <c r="AA22" s="16">
        <f aca="true" t="shared" si="14" ref="AA22:AA41">IF(D22="","",(SUM(R22:Y22)*IF(Z22="SI",1,2)*IF(AND(N22&lt;&gt;"--",M22="RF"),N22/100,1)))</f>
        <v>12728.1</v>
      </c>
      <c r="AB22" s="17"/>
    </row>
    <row r="23" spans="1:28" s="5" customFormat="1" ht="16.5" customHeight="1">
      <c r="A23" s="90"/>
      <c r="B23" s="95"/>
      <c r="C23" s="289">
        <v>55</v>
      </c>
      <c r="D23" s="151" t="s">
        <v>306</v>
      </c>
      <c r="E23" s="303" t="s">
        <v>307</v>
      </c>
      <c r="F23" s="304">
        <v>150</v>
      </c>
      <c r="G23" s="305" t="s">
        <v>128</v>
      </c>
      <c r="H23" s="306">
        <f t="shared" si="0"/>
        <v>47.85</v>
      </c>
      <c r="I23" s="158">
        <v>39780.15694444445</v>
      </c>
      <c r="J23" s="158">
        <v>39780.819444444445</v>
      </c>
      <c r="K23" s="307">
        <f t="shared" si="1"/>
        <v>15.899999999965075</v>
      </c>
      <c r="L23" s="14">
        <f t="shared" si="2"/>
        <v>954</v>
      </c>
      <c r="M23" s="159" t="s">
        <v>385</v>
      </c>
      <c r="N23" s="235" t="str">
        <f t="shared" si="3"/>
        <v>--</v>
      </c>
      <c r="O23" s="156" t="str">
        <f t="shared" si="4"/>
        <v>NO</v>
      </c>
      <c r="P23" s="155" t="s">
        <v>391</v>
      </c>
      <c r="Q23" s="308">
        <f t="shared" si="5"/>
        <v>20</v>
      </c>
      <c r="R23" s="309" t="str">
        <f t="shared" si="6"/>
        <v>--</v>
      </c>
      <c r="S23" s="310" t="str">
        <f t="shared" si="7"/>
        <v>--</v>
      </c>
      <c r="T23" s="311" t="str">
        <f t="shared" si="8"/>
        <v>--</v>
      </c>
      <c r="U23" s="312" t="str">
        <f t="shared" si="9"/>
        <v>--</v>
      </c>
      <c r="V23" s="313" t="str">
        <f t="shared" si="10"/>
        <v>--</v>
      </c>
      <c r="W23" s="314" t="str">
        <f t="shared" si="11"/>
        <v>--</v>
      </c>
      <c r="X23" s="315">
        <f t="shared" si="12"/>
        <v>15216.300000000001</v>
      </c>
      <c r="Y23" s="316" t="str">
        <f t="shared" si="13"/>
        <v>--</v>
      </c>
      <c r="Z23" s="317" t="s">
        <v>248</v>
      </c>
      <c r="AA23" s="16">
        <f t="shared" si="14"/>
        <v>15216.300000000001</v>
      </c>
      <c r="AB23" s="17"/>
    </row>
    <row r="24" spans="1:28" s="5" customFormat="1" ht="16.5" customHeight="1">
      <c r="A24" s="90"/>
      <c r="B24" s="95"/>
      <c r="C24" s="157">
        <v>56</v>
      </c>
      <c r="D24" s="151" t="s">
        <v>306</v>
      </c>
      <c r="E24" s="303" t="s">
        <v>299</v>
      </c>
      <c r="F24" s="304">
        <v>150</v>
      </c>
      <c r="G24" s="305" t="s">
        <v>150</v>
      </c>
      <c r="H24" s="306">
        <f t="shared" si="0"/>
        <v>47.85</v>
      </c>
      <c r="I24" s="158">
        <v>39780.29513888889</v>
      </c>
      <c r="J24" s="158">
        <v>39780.56319444445</v>
      </c>
      <c r="K24" s="307">
        <f t="shared" si="1"/>
        <v>6.433333333348855</v>
      </c>
      <c r="L24" s="14">
        <f t="shared" si="2"/>
        <v>386</v>
      </c>
      <c r="M24" s="159" t="s">
        <v>279</v>
      </c>
      <c r="N24" s="235" t="str">
        <f t="shared" si="3"/>
        <v>--</v>
      </c>
      <c r="O24" s="155" t="s">
        <v>248</v>
      </c>
      <c r="P24" s="155" t="s">
        <v>248</v>
      </c>
      <c r="Q24" s="308">
        <f t="shared" si="5"/>
        <v>200</v>
      </c>
      <c r="R24" s="309" t="str">
        <f t="shared" si="6"/>
        <v>--</v>
      </c>
      <c r="S24" s="310" t="str">
        <f t="shared" si="7"/>
        <v>--</v>
      </c>
      <c r="T24" s="311" t="str">
        <f t="shared" si="8"/>
        <v>--</v>
      </c>
      <c r="U24" s="312">
        <f t="shared" si="9"/>
        <v>61535.1</v>
      </c>
      <c r="V24" s="313" t="str">
        <f t="shared" si="10"/>
        <v>--</v>
      </c>
      <c r="W24" s="314" t="str">
        <f t="shared" si="11"/>
        <v>--</v>
      </c>
      <c r="X24" s="315" t="str">
        <f t="shared" si="12"/>
        <v>--</v>
      </c>
      <c r="Y24" s="316" t="str">
        <f t="shared" si="13"/>
        <v>--</v>
      </c>
      <c r="Z24" s="317" t="s">
        <v>248</v>
      </c>
      <c r="AA24" s="16">
        <f t="shared" si="14"/>
        <v>61535.1</v>
      </c>
      <c r="AB24" s="17"/>
    </row>
    <row r="25" spans="1:28" s="5" customFormat="1" ht="16.5" customHeight="1">
      <c r="A25" s="90"/>
      <c r="B25" s="95"/>
      <c r="C25" s="289"/>
      <c r="D25" s="151"/>
      <c r="E25" s="303"/>
      <c r="F25" s="304"/>
      <c r="G25" s="305"/>
      <c r="H25" s="306">
        <f t="shared" si="0"/>
        <v>0</v>
      </c>
      <c r="I25" s="158"/>
      <c r="J25" s="158"/>
      <c r="K25" s="307">
        <f t="shared" si="1"/>
      </c>
      <c r="L25" s="14">
        <f t="shared" si="2"/>
      </c>
      <c r="M25" s="159"/>
      <c r="N25" s="235">
        <f t="shared" si="3"/>
      </c>
      <c r="O25" s="156">
        <f t="shared" si="4"/>
      </c>
      <c r="P25" s="155">
        <f aca="true" t="shared" si="15" ref="P25:P41">IF(D25="","","NO")</f>
      </c>
      <c r="Q25" s="308">
        <f t="shared" si="5"/>
        <v>20</v>
      </c>
      <c r="R25" s="309" t="str">
        <f t="shared" si="6"/>
        <v>--</v>
      </c>
      <c r="S25" s="310" t="str">
        <f t="shared" si="7"/>
        <v>--</v>
      </c>
      <c r="T25" s="311" t="str">
        <f t="shared" si="8"/>
        <v>--</v>
      </c>
      <c r="U25" s="312" t="str">
        <f t="shared" si="9"/>
        <v>--</v>
      </c>
      <c r="V25" s="313" t="str">
        <f t="shared" si="10"/>
        <v>--</v>
      </c>
      <c r="W25" s="314" t="str">
        <f t="shared" si="11"/>
        <v>--</v>
      </c>
      <c r="X25" s="315" t="str">
        <f t="shared" si="12"/>
        <v>--</v>
      </c>
      <c r="Y25" s="316" t="str">
        <f t="shared" si="13"/>
        <v>--</v>
      </c>
      <c r="Z25" s="317">
        <f aca="true" t="shared" si="16" ref="Z25:Z41">IF(D25="","","SI")</f>
      </c>
      <c r="AA25" s="16">
        <f t="shared" si="14"/>
      </c>
      <c r="AB25" s="17"/>
    </row>
    <row r="26" spans="1:28" s="5" customFormat="1" ht="16.5" customHeight="1">
      <c r="A26" s="90"/>
      <c r="B26" s="95"/>
      <c r="C26" s="157"/>
      <c r="D26" s="151"/>
      <c r="E26" s="303"/>
      <c r="F26" s="304"/>
      <c r="G26" s="305"/>
      <c r="H26" s="306">
        <f t="shared" si="0"/>
        <v>0</v>
      </c>
      <c r="I26" s="158"/>
      <c r="J26" s="158"/>
      <c r="K26" s="307">
        <f t="shared" si="1"/>
      </c>
      <c r="L26" s="14">
        <f t="shared" si="2"/>
      </c>
      <c r="M26" s="159"/>
      <c r="N26" s="235">
        <f t="shared" si="3"/>
      </c>
      <c r="O26" s="156">
        <f t="shared" si="4"/>
      </c>
      <c r="P26" s="155">
        <f t="shared" si="15"/>
      </c>
      <c r="Q26" s="308">
        <f t="shared" si="5"/>
        <v>20</v>
      </c>
      <c r="R26" s="309" t="str">
        <f t="shared" si="6"/>
        <v>--</v>
      </c>
      <c r="S26" s="310" t="str">
        <f t="shared" si="7"/>
        <v>--</v>
      </c>
      <c r="T26" s="311" t="str">
        <f t="shared" si="8"/>
        <v>--</v>
      </c>
      <c r="U26" s="312" t="str">
        <f t="shared" si="9"/>
        <v>--</v>
      </c>
      <c r="V26" s="313" t="str">
        <f t="shared" si="10"/>
        <v>--</v>
      </c>
      <c r="W26" s="314" t="str">
        <f t="shared" si="11"/>
        <v>--</v>
      </c>
      <c r="X26" s="315" t="str">
        <f t="shared" si="12"/>
        <v>--</v>
      </c>
      <c r="Y26" s="316" t="str">
        <f t="shared" si="13"/>
        <v>--</v>
      </c>
      <c r="Z26" s="317">
        <f t="shared" si="16"/>
      </c>
      <c r="AA26" s="16">
        <f t="shared" si="14"/>
      </c>
      <c r="AB26" s="17"/>
    </row>
    <row r="27" spans="1:28" s="5" customFormat="1" ht="16.5" customHeight="1">
      <c r="A27" s="90"/>
      <c r="B27" s="95"/>
      <c r="C27" s="289"/>
      <c r="D27" s="151"/>
      <c r="E27" s="303"/>
      <c r="F27" s="304"/>
      <c r="G27" s="305"/>
      <c r="H27" s="306">
        <f t="shared" si="0"/>
        <v>0</v>
      </c>
      <c r="I27" s="158"/>
      <c r="J27" s="158"/>
      <c r="K27" s="307">
        <f t="shared" si="1"/>
      </c>
      <c r="L27" s="14">
        <f t="shared" si="2"/>
      </c>
      <c r="M27" s="159"/>
      <c r="N27" s="235">
        <f t="shared" si="3"/>
      </c>
      <c r="O27" s="156">
        <f t="shared" si="4"/>
      </c>
      <c r="P27" s="155">
        <f t="shared" si="15"/>
      </c>
      <c r="Q27" s="308">
        <f t="shared" si="5"/>
        <v>20</v>
      </c>
      <c r="R27" s="309" t="str">
        <f t="shared" si="6"/>
        <v>--</v>
      </c>
      <c r="S27" s="310" t="str">
        <f t="shared" si="7"/>
        <v>--</v>
      </c>
      <c r="T27" s="311" t="str">
        <f t="shared" si="8"/>
        <v>--</v>
      </c>
      <c r="U27" s="312" t="str">
        <f t="shared" si="9"/>
        <v>--</v>
      </c>
      <c r="V27" s="313" t="str">
        <f t="shared" si="10"/>
        <v>--</v>
      </c>
      <c r="W27" s="314" t="str">
        <f t="shared" si="11"/>
        <v>--</v>
      </c>
      <c r="X27" s="315" t="str">
        <f t="shared" si="12"/>
        <v>--</v>
      </c>
      <c r="Y27" s="316" t="str">
        <f t="shared" si="13"/>
        <v>--</v>
      </c>
      <c r="Z27" s="317">
        <f t="shared" si="16"/>
      </c>
      <c r="AA27" s="16">
        <f t="shared" si="14"/>
      </c>
      <c r="AB27" s="17"/>
    </row>
    <row r="28" spans="1:29" s="5" customFormat="1" ht="16.5" customHeight="1">
      <c r="A28" s="90"/>
      <c r="B28" s="95"/>
      <c r="C28" s="157"/>
      <c r="D28" s="151"/>
      <c r="E28" s="303"/>
      <c r="F28" s="304"/>
      <c r="G28" s="305"/>
      <c r="H28" s="306">
        <f t="shared" si="0"/>
        <v>0</v>
      </c>
      <c r="I28" s="158"/>
      <c r="J28" s="158"/>
      <c r="K28" s="307">
        <f t="shared" si="1"/>
      </c>
      <c r="L28" s="14">
        <f t="shared" si="2"/>
      </c>
      <c r="M28" s="159"/>
      <c r="N28" s="235">
        <f t="shared" si="3"/>
      </c>
      <c r="O28" s="156">
        <f t="shared" si="4"/>
      </c>
      <c r="P28" s="155">
        <f t="shared" si="15"/>
      </c>
      <c r="Q28" s="308">
        <f t="shared" si="5"/>
        <v>20</v>
      </c>
      <c r="R28" s="309" t="str">
        <f t="shared" si="6"/>
        <v>--</v>
      </c>
      <c r="S28" s="310" t="str">
        <f t="shared" si="7"/>
        <v>--</v>
      </c>
      <c r="T28" s="311" t="str">
        <f t="shared" si="8"/>
        <v>--</v>
      </c>
      <c r="U28" s="312" t="str">
        <f t="shared" si="9"/>
        <v>--</v>
      </c>
      <c r="V28" s="313" t="str">
        <f t="shared" si="10"/>
        <v>--</v>
      </c>
      <c r="W28" s="314" t="str">
        <f t="shared" si="11"/>
        <v>--</v>
      </c>
      <c r="X28" s="315" t="str">
        <f t="shared" si="12"/>
        <v>--</v>
      </c>
      <c r="Y28" s="316" t="str">
        <f t="shared" si="13"/>
        <v>--</v>
      </c>
      <c r="Z28" s="317">
        <f t="shared" si="16"/>
      </c>
      <c r="AA28" s="16">
        <f t="shared" si="14"/>
      </c>
      <c r="AB28" s="17"/>
      <c r="AC28" s="15"/>
    </row>
    <row r="29" spans="1:28" s="5" customFormat="1" ht="16.5" customHeight="1">
      <c r="A29" s="90"/>
      <c r="B29" s="95"/>
      <c r="C29" s="289"/>
      <c r="D29" s="151"/>
      <c r="E29" s="303"/>
      <c r="F29" s="304"/>
      <c r="G29" s="305"/>
      <c r="H29" s="306">
        <f t="shared" si="0"/>
        <v>0</v>
      </c>
      <c r="I29" s="158"/>
      <c r="J29" s="158"/>
      <c r="K29" s="307">
        <f t="shared" si="1"/>
      </c>
      <c r="L29" s="14">
        <f t="shared" si="2"/>
      </c>
      <c r="M29" s="159"/>
      <c r="N29" s="235">
        <f t="shared" si="3"/>
      </c>
      <c r="O29" s="156">
        <f t="shared" si="4"/>
      </c>
      <c r="P29" s="155">
        <f t="shared" si="15"/>
      </c>
      <c r="Q29" s="308">
        <f t="shared" si="5"/>
        <v>20</v>
      </c>
      <c r="R29" s="309" t="str">
        <f t="shared" si="6"/>
        <v>--</v>
      </c>
      <c r="S29" s="310" t="str">
        <f t="shared" si="7"/>
        <v>--</v>
      </c>
      <c r="T29" s="311" t="str">
        <f t="shared" si="8"/>
        <v>--</v>
      </c>
      <c r="U29" s="312" t="str">
        <f t="shared" si="9"/>
        <v>--</v>
      </c>
      <c r="V29" s="313" t="str">
        <f t="shared" si="10"/>
        <v>--</v>
      </c>
      <c r="W29" s="314" t="str">
        <f t="shared" si="11"/>
        <v>--</v>
      </c>
      <c r="X29" s="315" t="str">
        <f t="shared" si="12"/>
        <v>--</v>
      </c>
      <c r="Y29" s="316" t="str">
        <f t="shared" si="13"/>
        <v>--</v>
      </c>
      <c r="Z29" s="317">
        <f t="shared" si="16"/>
      </c>
      <c r="AA29" s="16">
        <f t="shared" si="14"/>
      </c>
      <c r="AB29" s="17"/>
    </row>
    <row r="30" spans="1:28" s="5" customFormat="1" ht="16.5" customHeight="1">
      <c r="A30" s="90"/>
      <c r="B30" s="95"/>
      <c r="C30" s="157"/>
      <c r="D30" s="151"/>
      <c r="E30" s="303"/>
      <c r="F30" s="304"/>
      <c r="G30" s="305"/>
      <c r="H30" s="306">
        <f t="shared" si="0"/>
        <v>0</v>
      </c>
      <c r="I30" s="158"/>
      <c r="J30" s="158"/>
      <c r="K30" s="307">
        <f t="shared" si="1"/>
      </c>
      <c r="L30" s="14">
        <f t="shared" si="2"/>
      </c>
      <c r="M30" s="159"/>
      <c r="N30" s="235">
        <f t="shared" si="3"/>
      </c>
      <c r="O30" s="156">
        <f t="shared" si="4"/>
      </c>
      <c r="P30" s="155">
        <f t="shared" si="15"/>
      </c>
      <c r="Q30" s="308">
        <f t="shared" si="5"/>
        <v>20</v>
      </c>
      <c r="R30" s="309" t="str">
        <f t="shared" si="6"/>
        <v>--</v>
      </c>
      <c r="S30" s="310" t="str">
        <f t="shared" si="7"/>
        <v>--</v>
      </c>
      <c r="T30" s="311" t="str">
        <f t="shared" si="8"/>
        <v>--</v>
      </c>
      <c r="U30" s="312" t="str">
        <f t="shared" si="9"/>
        <v>--</v>
      </c>
      <c r="V30" s="313" t="str">
        <f t="shared" si="10"/>
        <v>--</v>
      </c>
      <c r="W30" s="314" t="str">
        <f t="shared" si="11"/>
        <v>--</v>
      </c>
      <c r="X30" s="315" t="str">
        <f t="shared" si="12"/>
        <v>--</v>
      </c>
      <c r="Y30" s="316" t="str">
        <f t="shared" si="13"/>
        <v>--</v>
      </c>
      <c r="Z30" s="317">
        <f t="shared" si="16"/>
      </c>
      <c r="AA30" s="16">
        <f t="shared" si="14"/>
      </c>
      <c r="AB30" s="17"/>
    </row>
    <row r="31" spans="1:28" s="5" customFormat="1" ht="16.5" customHeight="1">
      <c r="A31" s="90"/>
      <c r="B31" s="95"/>
      <c r="C31" s="289"/>
      <c r="D31" s="151"/>
      <c r="E31" s="303"/>
      <c r="F31" s="304"/>
      <c r="G31" s="305"/>
      <c r="H31" s="306">
        <f t="shared" si="0"/>
        <v>0</v>
      </c>
      <c r="I31" s="158"/>
      <c r="J31" s="158"/>
      <c r="K31" s="307">
        <f t="shared" si="1"/>
      </c>
      <c r="L31" s="14">
        <f t="shared" si="2"/>
      </c>
      <c r="M31" s="159"/>
      <c r="N31" s="235">
        <f t="shared" si="3"/>
      </c>
      <c r="O31" s="156">
        <f t="shared" si="4"/>
      </c>
      <c r="P31" s="155">
        <f t="shared" si="15"/>
      </c>
      <c r="Q31" s="308">
        <f t="shared" si="5"/>
        <v>20</v>
      </c>
      <c r="R31" s="309" t="str">
        <f t="shared" si="6"/>
        <v>--</v>
      </c>
      <c r="S31" s="310" t="str">
        <f t="shared" si="7"/>
        <v>--</v>
      </c>
      <c r="T31" s="311" t="str">
        <f t="shared" si="8"/>
        <v>--</v>
      </c>
      <c r="U31" s="312" t="str">
        <f t="shared" si="9"/>
        <v>--</v>
      </c>
      <c r="V31" s="313" t="str">
        <f t="shared" si="10"/>
        <v>--</v>
      </c>
      <c r="W31" s="314" t="str">
        <f t="shared" si="11"/>
        <v>--</v>
      </c>
      <c r="X31" s="315" t="str">
        <f t="shared" si="12"/>
        <v>--</v>
      </c>
      <c r="Y31" s="316" t="str">
        <f t="shared" si="13"/>
        <v>--</v>
      </c>
      <c r="Z31" s="317">
        <f t="shared" si="16"/>
      </c>
      <c r="AA31" s="16">
        <f t="shared" si="14"/>
      </c>
      <c r="AB31" s="17"/>
    </row>
    <row r="32" spans="1:28" s="5" customFormat="1" ht="16.5" customHeight="1">
      <c r="A32" s="90"/>
      <c r="B32" s="95"/>
      <c r="C32" s="157"/>
      <c r="D32" s="151"/>
      <c r="E32" s="319"/>
      <c r="F32" s="304"/>
      <c r="G32" s="305"/>
      <c r="H32" s="306">
        <f t="shared" si="0"/>
        <v>0</v>
      </c>
      <c r="I32" s="158"/>
      <c r="J32" s="158"/>
      <c r="K32" s="307">
        <f t="shared" si="1"/>
      </c>
      <c r="L32" s="14">
        <f t="shared" si="2"/>
      </c>
      <c r="M32" s="159"/>
      <c r="N32" s="235">
        <f t="shared" si="3"/>
      </c>
      <c r="O32" s="156">
        <f t="shared" si="4"/>
      </c>
      <c r="P32" s="155">
        <f t="shared" si="15"/>
      </c>
      <c r="Q32" s="308">
        <f t="shared" si="5"/>
        <v>20</v>
      </c>
      <c r="R32" s="309" t="str">
        <f t="shared" si="6"/>
        <v>--</v>
      </c>
      <c r="S32" s="310" t="str">
        <f t="shared" si="7"/>
        <v>--</v>
      </c>
      <c r="T32" s="311" t="str">
        <f t="shared" si="8"/>
        <v>--</v>
      </c>
      <c r="U32" s="312" t="str">
        <f t="shared" si="9"/>
        <v>--</v>
      </c>
      <c r="V32" s="313" t="str">
        <f t="shared" si="10"/>
        <v>--</v>
      </c>
      <c r="W32" s="314" t="str">
        <f t="shared" si="11"/>
        <v>--</v>
      </c>
      <c r="X32" s="315" t="str">
        <f t="shared" si="12"/>
        <v>--</v>
      </c>
      <c r="Y32" s="316" t="str">
        <f t="shared" si="13"/>
        <v>--</v>
      </c>
      <c r="Z32" s="317">
        <f t="shared" si="16"/>
      </c>
      <c r="AA32" s="16">
        <f t="shared" si="14"/>
      </c>
      <c r="AB32" s="17"/>
    </row>
    <row r="33" spans="1:28" s="5" customFormat="1" ht="16.5" customHeight="1">
      <c r="A33" s="90"/>
      <c r="B33" s="95"/>
      <c r="C33" s="289"/>
      <c r="D33" s="151"/>
      <c r="E33" s="319"/>
      <c r="F33" s="304"/>
      <c r="G33" s="305"/>
      <c r="H33" s="306">
        <f t="shared" si="0"/>
        <v>0</v>
      </c>
      <c r="I33" s="158"/>
      <c r="J33" s="158"/>
      <c r="K33" s="307">
        <f t="shared" si="1"/>
      </c>
      <c r="L33" s="14">
        <f t="shared" si="2"/>
      </c>
      <c r="M33" s="159"/>
      <c r="N33" s="235">
        <f t="shared" si="3"/>
      </c>
      <c r="O33" s="156">
        <f t="shared" si="4"/>
      </c>
      <c r="P33" s="155">
        <f t="shared" si="15"/>
      </c>
      <c r="Q33" s="308">
        <f t="shared" si="5"/>
        <v>20</v>
      </c>
      <c r="R33" s="309" t="str">
        <f t="shared" si="6"/>
        <v>--</v>
      </c>
      <c r="S33" s="310" t="str">
        <f t="shared" si="7"/>
        <v>--</v>
      </c>
      <c r="T33" s="311" t="str">
        <f t="shared" si="8"/>
        <v>--</v>
      </c>
      <c r="U33" s="312" t="str">
        <f t="shared" si="9"/>
        <v>--</v>
      </c>
      <c r="V33" s="313" t="str">
        <f t="shared" si="10"/>
        <v>--</v>
      </c>
      <c r="W33" s="314" t="str">
        <f t="shared" si="11"/>
        <v>--</v>
      </c>
      <c r="X33" s="315" t="str">
        <f t="shared" si="12"/>
        <v>--</v>
      </c>
      <c r="Y33" s="316" t="str">
        <f t="shared" si="13"/>
        <v>--</v>
      </c>
      <c r="Z33" s="317">
        <f t="shared" si="16"/>
      </c>
      <c r="AA33" s="16">
        <f t="shared" si="14"/>
      </c>
      <c r="AB33" s="17"/>
    </row>
    <row r="34" spans="1:28" s="5" customFormat="1" ht="16.5" customHeight="1">
      <c r="A34" s="90"/>
      <c r="B34" s="95"/>
      <c r="C34" s="157"/>
      <c r="D34" s="151"/>
      <c r="E34" s="319"/>
      <c r="F34" s="304"/>
      <c r="G34" s="305"/>
      <c r="H34" s="306">
        <f t="shared" si="0"/>
        <v>0</v>
      </c>
      <c r="I34" s="158"/>
      <c r="J34" s="158"/>
      <c r="K34" s="307">
        <f t="shared" si="1"/>
      </c>
      <c r="L34" s="14">
        <f t="shared" si="2"/>
      </c>
      <c r="M34" s="159"/>
      <c r="N34" s="235">
        <f t="shared" si="3"/>
      </c>
      <c r="O34" s="156">
        <f t="shared" si="4"/>
      </c>
      <c r="P34" s="155">
        <f t="shared" si="15"/>
      </c>
      <c r="Q34" s="308">
        <f t="shared" si="5"/>
        <v>20</v>
      </c>
      <c r="R34" s="309" t="str">
        <f t="shared" si="6"/>
        <v>--</v>
      </c>
      <c r="S34" s="310" t="str">
        <f t="shared" si="7"/>
        <v>--</v>
      </c>
      <c r="T34" s="311" t="str">
        <f t="shared" si="8"/>
        <v>--</v>
      </c>
      <c r="U34" s="312" t="str">
        <f t="shared" si="9"/>
        <v>--</v>
      </c>
      <c r="V34" s="313" t="str">
        <f t="shared" si="10"/>
        <v>--</v>
      </c>
      <c r="W34" s="314" t="str">
        <f t="shared" si="11"/>
        <v>--</v>
      </c>
      <c r="X34" s="315" t="str">
        <f t="shared" si="12"/>
        <v>--</v>
      </c>
      <c r="Y34" s="316" t="str">
        <f t="shared" si="13"/>
        <v>--</v>
      </c>
      <c r="Z34" s="317">
        <f t="shared" si="16"/>
      </c>
      <c r="AA34" s="16">
        <f t="shared" si="14"/>
      </c>
      <c r="AB34" s="17"/>
    </row>
    <row r="35" spans="1:28" s="5" customFormat="1" ht="16.5" customHeight="1">
      <c r="A35" s="90"/>
      <c r="B35" s="95"/>
      <c r="C35" s="289"/>
      <c r="D35" s="151"/>
      <c r="E35" s="319"/>
      <c r="F35" s="304"/>
      <c r="G35" s="305"/>
      <c r="H35" s="306">
        <f t="shared" si="0"/>
        <v>0</v>
      </c>
      <c r="I35" s="158"/>
      <c r="J35" s="158"/>
      <c r="K35" s="307">
        <f t="shared" si="1"/>
      </c>
      <c r="L35" s="14">
        <f t="shared" si="2"/>
      </c>
      <c r="M35" s="159"/>
      <c r="N35" s="235">
        <f t="shared" si="3"/>
      </c>
      <c r="O35" s="156">
        <f t="shared" si="4"/>
      </c>
      <c r="P35" s="155">
        <f t="shared" si="15"/>
      </c>
      <c r="Q35" s="308">
        <f t="shared" si="5"/>
        <v>20</v>
      </c>
      <c r="R35" s="309" t="str">
        <f t="shared" si="6"/>
        <v>--</v>
      </c>
      <c r="S35" s="310" t="str">
        <f t="shared" si="7"/>
        <v>--</v>
      </c>
      <c r="T35" s="311" t="str">
        <f t="shared" si="8"/>
        <v>--</v>
      </c>
      <c r="U35" s="312" t="str">
        <f t="shared" si="9"/>
        <v>--</v>
      </c>
      <c r="V35" s="313" t="str">
        <f t="shared" si="10"/>
        <v>--</v>
      </c>
      <c r="W35" s="314" t="str">
        <f t="shared" si="11"/>
        <v>--</v>
      </c>
      <c r="X35" s="315" t="str">
        <f t="shared" si="12"/>
        <v>--</v>
      </c>
      <c r="Y35" s="316" t="str">
        <f t="shared" si="13"/>
        <v>--</v>
      </c>
      <c r="Z35" s="317">
        <f t="shared" si="16"/>
      </c>
      <c r="AA35" s="16">
        <f t="shared" si="14"/>
      </c>
      <c r="AB35" s="17"/>
    </row>
    <row r="36" spans="1:28" s="5" customFormat="1" ht="16.5" customHeight="1">
      <c r="A36" s="90"/>
      <c r="B36" s="95"/>
      <c r="C36" s="157"/>
      <c r="D36" s="151"/>
      <c r="E36" s="319"/>
      <c r="F36" s="304"/>
      <c r="G36" s="305"/>
      <c r="H36" s="306">
        <f t="shared" si="0"/>
        <v>0</v>
      </c>
      <c r="I36" s="158"/>
      <c r="J36" s="158"/>
      <c r="K36" s="307">
        <f t="shared" si="1"/>
      </c>
      <c r="L36" s="14">
        <f t="shared" si="2"/>
      </c>
      <c r="M36" s="159"/>
      <c r="N36" s="235">
        <f t="shared" si="3"/>
      </c>
      <c r="O36" s="156">
        <f t="shared" si="4"/>
      </c>
      <c r="P36" s="155">
        <f t="shared" si="15"/>
      </c>
      <c r="Q36" s="308">
        <f t="shared" si="5"/>
        <v>20</v>
      </c>
      <c r="R36" s="309" t="str">
        <f t="shared" si="6"/>
        <v>--</v>
      </c>
      <c r="S36" s="310" t="str">
        <f t="shared" si="7"/>
        <v>--</v>
      </c>
      <c r="T36" s="311" t="str">
        <f t="shared" si="8"/>
        <v>--</v>
      </c>
      <c r="U36" s="312" t="str">
        <f t="shared" si="9"/>
        <v>--</v>
      </c>
      <c r="V36" s="313" t="str">
        <f t="shared" si="10"/>
        <v>--</v>
      </c>
      <c r="W36" s="314" t="str">
        <f t="shared" si="11"/>
        <v>--</v>
      </c>
      <c r="X36" s="315" t="str">
        <f t="shared" si="12"/>
        <v>--</v>
      </c>
      <c r="Y36" s="316" t="str">
        <f t="shared" si="13"/>
        <v>--</v>
      </c>
      <c r="Z36" s="317">
        <f t="shared" si="16"/>
      </c>
      <c r="AA36" s="16">
        <f t="shared" si="14"/>
      </c>
      <c r="AB36" s="17"/>
    </row>
    <row r="37" spans="1:28" s="5" customFormat="1" ht="16.5" customHeight="1">
      <c r="A37" s="90"/>
      <c r="B37" s="95"/>
      <c r="C37" s="289"/>
      <c r="D37" s="151"/>
      <c r="E37" s="319"/>
      <c r="F37" s="304"/>
      <c r="G37" s="305"/>
      <c r="H37" s="306">
        <f t="shared" si="0"/>
        <v>0</v>
      </c>
      <c r="I37" s="158"/>
      <c r="J37" s="158"/>
      <c r="K37" s="307">
        <f t="shared" si="1"/>
      </c>
      <c r="L37" s="14">
        <f t="shared" si="2"/>
      </c>
      <c r="M37" s="159"/>
      <c r="N37" s="235">
        <f t="shared" si="3"/>
      </c>
      <c r="O37" s="156">
        <f t="shared" si="4"/>
      </c>
      <c r="P37" s="155">
        <f t="shared" si="15"/>
      </c>
      <c r="Q37" s="308">
        <f t="shared" si="5"/>
        <v>20</v>
      </c>
      <c r="R37" s="309" t="str">
        <f t="shared" si="6"/>
        <v>--</v>
      </c>
      <c r="S37" s="310" t="str">
        <f t="shared" si="7"/>
        <v>--</v>
      </c>
      <c r="T37" s="311" t="str">
        <f t="shared" si="8"/>
        <v>--</v>
      </c>
      <c r="U37" s="312" t="str">
        <f t="shared" si="9"/>
        <v>--</v>
      </c>
      <c r="V37" s="313" t="str">
        <f t="shared" si="10"/>
        <v>--</v>
      </c>
      <c r="W37" s="314" t="str">
        <f t="shared" si="11"/>
        <v>--</v>
      </c>
      <c r="X37" s="315" t="str">
        <f t="shared" si="12"/>
        <v>--</v>
      </c>
      <c r="Y37" s="316" t="str">
        <f t="shared" si="13"/>
        <v>--</v>
      </c>
      <c r="Z37" s="317">
        <f t="shared" si="16"/>
      </c>
      <c r="AA37" s="16">
        <f t="shared" si="14"/>
      </c>
      <c r="AB37" s="17"/>
    </row>
    <row r="38" spans="1:28" s="5" customFormat="1" ht="16.5" customHeight="1">
      <c r="A38" s="90"/>
      <c r="B38" s="95"/>
      <c r="C38" s="157"/>
      <c r="D38" s="151"/>
      <c r="E38" s="319"/>
      <c r="F38" s="304"/>
      <c r="G38" s="305"/>
      <c r="H38" s="306">
        <f t="shared" si="0"/>
        <v>0</v>
      </c>
      <c r="I38" s="158"/>
      <c r="J38" s="158"/>
      <c r="K38" s="307">
        <f t="shared" si="1"/>
      </c>
      <c r="L38" s="14">
        <f t="shared" si="2"/>
      </c>
      <c r="M38" s="159"/>
      <c r="N38" s="235">
        <f t="shared" si="3"/>
      </c>
      <c r="O38" s="156">
        <f t="shared" si="4"/>
      </c>
      <c r="P38" s="155">
        <f t="shared" si="15"/>
      </c>
      <c r="Q38" s="308">
        <f t="shared" si="5"/>
        <v>20</v>
      </c>
      <c r="R38" s="309" t="str">
        <f t="shared" si="6"/>
        <v>--</v>
      </c>
      <c r="S38" s="310" t="str">
        <f t="shared" si="7"/>
        <v>--</v>
      </c>
      <c r="T38" s="311" t="str">
        <f t="shared" si="8"/>
        <v>--</v>
      </c>
      <c r="U38" s="312" t="str">
        <f t="shared" si="9"/>
        <v>--</v>
      </c>
      <c r="V38" s="313" t="str">
        <f t="shared" si="10"/>
        <v>--</v>
      </c>
      <c r="W38" s="314" t="str">
        <f t="shared" si="11"/>
        <v>--</v>
      </c>
      <c r="X38" s="315" t="str">
        <f t="shared" si="12"/>
        <v>--</v>
      </c>
      <c r="Y38" s="316" t="str">
        <f t="shared" si="13"/>
        <v>--</v>
      </c>
      <c r="Z38" s="317">
        <f t="shared" si="16"/>
      </c>
      <c r="AA38" s="16">
        <f t="shared" si="14"/>
      </c>
      <c r="AB38" s="17"/>
    </row>
    <row r="39" spans="1:28" s="5" customFormat="1" ht="16.5" customHeight="1">
      <c r="A39" s="90"/>
      <c r="B39" s="95"/>
      <c r="C39" s="289"/>
      <c r="D39" s="151"/>
      <c r="E39" s="319"/>
      <c r="F39" s="304"/>
      <c r="G39" s="305"/>
      <c r="H39" s="306">
        <f t="shared" si="0"/>
        <v>0</v>
      </c>
      <c r="I39" s="158"/>
      <c r="J39" s="158"/>
      <c r="K39" s="307">
        <f t="shared" si="1"/>
      </c>
      <c r="L39" s="14">
        <f t="shared" si="2"/>
      </c>
      <c r="M39" s="159"/>
      <c r="N39" s="235">
        <f t="shared" si="3"/>
      </c>
      <c r="O39" s="156">
        <f t="shared" si="4"/>
      </c>
      <c r="P39" s="155">
        <f t="shared" si="15"/>
      </c>
      <c r="Q39" s="308">
        <f t="shared" si="5"/>
        <v>20</v>
      </c>
      <c r="R39" s="309" t="str">
        <f t="shared" si="6"/>
        <v>--</v>
      </c>
      <c r="S39" s="310" t="str">
        <f t="shared" si="7"/>
        <v>--</v>
      </c>
      <c r="T39" s="311" t="str">
        <f t="shared" si="8"/>
        <v>--</v>
      </c>
      <c r="U39" s="312" t="str">
        <f t="shared" si="9"/>
        <v>--</v>
      </c>
      <c r="V39" s="313" t="str">
        <f t="shared" si="10"/>
        <v>--</v>
      </c>
      <c r="W39" s="314" t="str">
        <f t="shared" si="11"/>
        <v>--</v>
      </c>
      <c r="X39" s="315" t="str">
        <f t="shared" si="12"/>
        <v>--</v>
      </c>
      <c r="Y39" s="316" t="str">
        <f t="shared" si="13"/>
        <v>--</v>
      </c>
      <c r="Z39" s="317">
        <f t="shared" si="16"/>
      </c>
      <c r="AA39" s="16">
        <f t="shared" si="14"/>
      </c>
      <c r="AB39" s="17"/>
    </row>
    <row r="40" spans="1:28" s="5" customFormat="1" ht="16.5" customHeight="1">
      <c r="A40" s="90"/>
      <c r="B40" s="95"/>
      <c r="C40" s="157"/>
      <c r="D40" s="151"/>
      <c r="E40" s="319"/>
      <c r="F40" s="304"/>
      <c r="G40" s="305"/>
      <c r="H40" s="306">
        <f t="shared" si="0"/>
        <v>0</v>
      </c>
      <c r="I40" s="158"/>
      <c r="J40" s="158"/>
      <c r="K40" s="307">
        <f t="shared" si="1"/>
      </c>
      <c r="L40" s="14">
        <f t="shared" si="2"/>
      </c>
      <c r="M40" s="159"/>
      <c r="N40" s="235">
        <f t="shared" si="3"/>
      </c>
      <c r="O40" s="156">
        <f t="shared" si="4"/>
      </c>
      <c r="P40" s="155">
        <f t="shared" si="15"/>
      </c>
      <c r="Q40" s="308">
        <f t="shared" si="5"/>
        <v>20</v>
      </c>
      <c r="R40" s="309" t="str">
        <f t="shared" si="6"/>
        <v>--</v>
      </c>
      <c r="S40" s="310" t="str">
        <f t="shared" si="7"/>
        <v>--</v>
      </c>
      <c r="T40" s="311" t="str">
        <f t="shared" si="8"/>
        <v>--</v>
      </c>
      <c r="U40" s="312" t="str">
        <f t="shared" si="9"/>
        <v>--</v>
      </c>
      <c r="V40" s="313" t="str">
        <f t="shared" si="10"/>
        <v>--</v>
      </c>
      <c r="W40" s="314" t="str">
        <f t="shared" si="11"/>
        <v>--</v>
      </c>
      <c r="X40" s="315" t="str">
        <f t="shared" si="12"/>
        <v>--</v>
      </c>
      <c r="Y40" s="316" t="str">
        <f t="shared" si="13"/>
        <v>--</v>
      </c>
      <c r="Z40" s="317">
        <f t="shared" si="16"/>
      </c>
      <c r="AA40" s="16">
        <f t="shared" si="14"/>
      </c>
      <c r="AB40" s="17"/>
    </row>
    <row r="41" spans="1:28" s="5" customFormat="1" ht="16.5" customHeight="1">
      <c r="A41" s="90"/>
      <c r="B41" s="95"/>
      <c r="C41" s="289"/>
      <c r="D41" s="151"/>
      <c r="E41" s="319"/>
      <c r="F41" s="304"/>
      <c r="G41" s="305"/>
      <c r="H41" s="306">
        <f t="shared" si="0"/>
        <v>0</v>
      </c>
      <c r="I41" s="158"/>
      <c r="J41" s="158"/>
      <c r="K41" s="307">
        <f t="shared" si="1"/>
      </c>
      <c r="L41" s="14">
        <f t="shared" si="2"/>
      </c>
      <c r="M41" s="159"/>
      <c r="N41" s="235">
        <f t="shared" si="3"/>
      </c>
      <c r="O41" s="156">
        <f t="shared" si="4"/>
      </c>
      <c r="P41" s="155">
        <f t="shared" si="15"/>
      </c>
      <c r="Q41" s="308">
        <f t="shared" si="5"/>
        <v>20</v>
      </c>
      <c r="R41" s="309" t="str">
        <f t="shared" si="6"/>
        <v>--</v>
      </c>
      <c r="S41" s="310" t="str">
        <f t="shared" si="7"/>
        <v>--</v>
      </c>
      <c r="T41" s="311" t="str">
        <f t="shared" si="8"/>
        <v>--</v>
      </c>
      <c r="U41" s="312" t="str">
        <f t="shared" si="9"/>
        <v>--</v>
      </c>
      <c r="V41" s="313" t="str">
        <f t="shared" si="10"/>
        <v>--</v>
      </c>
      <c r="W41" s="314" t="str">
        <f t="shared" si="11"/>
        <v>--</v>
      </c>
      <c r="X41" s="315" t="str">
        <f t="shared" si="12"/>
        <v>--</v>
      </c>
      <c r="Y41" s="316" t="str">
        <f t="shared" si="13"/>
        <v>--</v>
      </c>
      <c r="Z41" s="317">
        <f t="shared" si="16"/>
      </c>
      <c r="AA41" s="16">
        <f t="shared" si="14"/>
      </c>
      <c r="AB41" s="17"/>
    </row>
    <row r="42" spans="1:28" s="5" customFormat="1" ht="16.5" customHeight="1" thickBot="1">
      <c r="A42" s="90"/>
      <c r="B42" s="95"/>
      <c r="C42" s="157"/>
      <c r="D42" s="320"/>
      <c r="E42" s="321"/>
      <c r="F42" s="320"/>
      <c r="G42" s="322"/>
      <c r="H42" s="132"/>
      <c r="I42" s="160"/>
      <c r="J42" s="323"/>
      <c r="K42" s="324"/>
      <c r="L42" s="325"/>
      <c r="M42" s="165"/>
      <c r="N42" s="197"/>
      <c r="O42" s="163"/>
      <c r="P42" s="165"/>
      <c r="Q42" s="326"/>
      <c r="R42" s="327"/>
      <c r="S42" s="328"/>
      <c r="T42" s="329"/>
      <c r="U42" s="330"/>
      <c r="V42" s="331"/>
      <c r="W42" s="332"/>
      <c r="X42" s="333"/>
      <c r="Y42" s="334"/>
      <c r="Z42" s="335"/>
      <c r="AA42" s="336"/>
      <c r="AB42" s="17"/>
    </row>
    <row r="43" spans="1:28" s="5" customFormat="1" ht="16.5" customHeight="1" thickBot="1" thickTop="1">
      <c r="A43" s="90"/>
      <c r="B43" s="95"/>
      <c r="C43" s="128" t="s">
        <v>25</v>
      </c>
      <c r="D43" s="129" t="s">
        <v>368</v>
      </c>
      <c r="E43" s="15"/>
      <c r="F43" s="15"/>
      <c r="G43" s="15"/>
      <c r="H43" s="15"/>
      <c r="I43" s="15"/>
      <c r="J43" s="99"/>
      <c r="K43" s="15"/>
      <c r="L43" s="15"/>
      <c r="M43" s="15"/>
      <c r="N43" s="15"/>
      <c r="O43" s="15"/>
      <c r="P43" s="15"/>
      <c r="Q43" s="15"/>
      <c r="R43" s="337">
        <f aca="true" t="shared" si="17" ref="R43:Y43">SUM(R20:R42)</f>
        <v>0</v>
      </c>
      <c r="S43" s="338">
        <f t="shared" si="17"/>
        <v>0</v>
      </c>
      <c r="T43" s="339">
        <f t="shared" si="17"/>
        <v>9570</v>
      </c>
      <c r="U43" s="340">
        <f t="shared" si="17"/>
        <v>64693.2</v>
      </c>
      <c r="V43" s="341">
        <f t="shared" si="17"/>
        <v>0</v>
      </c>
      <c r="W43" s="342">
        <f t="shared" si="17"/>
        <v>0</v>
      </c>
      <c r="X43" s="343">
        <f t="shared" si="17"/>
        <v>15216.300000000001</v>
      </c>
      <c r="Y43" s="344">
        <f t="shared" si="17"/>
        <v>0</v>
      </c>
      <c r="Z43" s="90"/>
      <c r="AA43" s="345">
        <f>ROUND(SUM(AA20:AA42),2)</f>
        <v>321169.52</v>
      </c>
      <c r="AB43" s="17"/>
    </row>
    <row r="44" spans="1:28" s="5" customFormat="1" ht="16.5" customHeight="1" thickBot="1" thickTop="1">
      <c r="A44" s="90"/>
      <c r="B44" s="102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4"/>
    </row>
    <row r="45" spans="1:29" ht="16.5" customHeight="1" thickTop="1">
      <c r="A45" s="2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</row>
    <row r="46" spans="1:29" ht="16.5" customHeight="1">
      <c r="A46" s="2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</row>
    <row r="47" spans="1:29" ht="16.5" customHeight="1">
      <c r="A47" s="2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</row>
    <row r="48" spans="1:29" ht="16.5" customHeight="1">
      <c r="A48" s="2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</row>
    <row r="49" spans="4:29" ht="16.5" customHeight="1"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</row>
    <row r="50" spans="4:29" ht="16.5" customHeight="1"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</row>
    <row r="51" spans="4:29" ht="16.5" customHeight="1"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</row>
    <row r="52" spans="4:29" ht="16.5" customHeight="1"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</row>
    <row r="53" spans="4:29" ht="16.5" customHeight="1"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</row>
    <row r="54" spans="4:29" ht="16.5" customHeight="1"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</row>
    <row r="55" spans="4:29" ht="16.5" customHeight="1"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</row>
    <row r="56" spans="4:29" ht="16.5" customHeight="1"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</row>
    <row r="57" spans="4:29" ht="16.5" customHeight="1"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</row>
    <row r="58" spans="4:29" ht="16.5" customHeight="1"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</row>
    <row r="59" spans="4:29" ht="16.5" customHeight="1"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</row>
    <row r="60" spans="4:29" ht="16.5" customHeight="1"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</row>
    <row r="61" spans="4:29" ht="16.5" customHeight="1"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</row>
    <row r="62" spans="4:29" ht="16.5" customHeight="1"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</row>
    <row r="63" spans="4:29" ht="16.5" customHeight="1"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</row>
    <row r="64" spans="4:29" ht="16.5" customHeight="1"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</row>
    <row r="65" spans="4:29" ht="16.5" customHeight="1"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</row>
    <row r="66" spans="4:29" ht="16.5" customHeight="1"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</row>
    <row r="67" spans="4:29" ht="16.5" customHeight="1"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</row>
    <row r="68" spans="4:29" ht="16.5" customHeight="1"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</row>
    <row r="69" spans="4:29" ht="16.5" customHeight="1"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</row>
    <row r="70" spans="4:29" ht="16.5" customHeight="1"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</row>
    <row r="71" spans="4:29" ht="16.5" customHeight="1"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179"/>
      <c r="AC71" s="179"/>
    </row>
    <row r="72" spans="4:29" ht="16.5" customHeight="1"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</row>
    <row r="73" spans="4:29" ht="16.5" customHeight="1"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  <c r="AB73" s="179"/>
      <c r="AC73" s="179"/>
    </row>
    <row r="74" spans="4:29" ht="16.5" customHeight="1"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179"/>
    </row>
    <row r="75" spans="4:29" ht="16.5" customHeight="1"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79"/>
      <c r="AB75" s="179"/>
      <c r="AC75" s="179"/>
    </row>
    <row r="76" spans="4:29" ht="16.5" customHeight="1"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</row>
    <row r="77" spans="4:29" ht="16.5" customHeight="1"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  <c r="AA77" s="179"/>
      <c r="AB77" s="179"/>
      <c r="AC77" s="179"/>
    </row>
    <row r="78" spans="4:29" ht="16.5" customHeight="1"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</row>
    <row r="79" spans="4:29" ht="16.5" customHeight="1"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</row>
    <row r="80" spans="4:29" ht="16.5" customHeight="1"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  <c r="AA80" s="179"/>
      <c r="AB80" s="179"/>
      <c r="AC80" s="179"/>
    </row>
    <row r="81" spans="4:29" ht="16.5" customHeight="1"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  <c r="AA81" s="179"/>
      <c r="AB81" s="179"/>
      <c r="AC81" s="179"/>
    </row>
    <row r="82" spans="4:29" ht="16.5" customHeight="1"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  <c r="Z82" s="179"/>
      <c r="AA82" s="179"/>
      <c r="AB82" s="179"/>
      <c r="AC82" s="179"/>
    </row>
    <row r="83" spans="4:29" ht="16.5" customHeight="1"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79"/>
      <c r="AA83" s="179"/>
      <c r="AB83" s="179"/>
      <c r="AC83" s="179"/>
    </row>
    <row r="84" spans="4:29" ht="16.5" customHeight="1"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  <c r="T84" s="179"/>
      <c r="U84" s="179"/>
      <c r="V84" s="179"/>
      <c r="W84" s="179"/>
      <c r="X84" s="179"/>
      <c r="Y84" s="179"/>
      <c r="Z84" s="179"/>
      <c r="AA84" s="179"/>
      <c r="AB84" s="179"/>
      <c r="AC84" s="179"/>
    </row>
    <row r="85" spans="4:29" ht="16.5" customHeight="1"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  <c r="AB85" s="179"/>
      <c r="AC85" s="179"/>
    </row>
    <row r="86" spans="4:29" ht="16.5" customHeight="1"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  <c r="W86" s="179"/>
      <c r="X86" s="179"/>
      <c r="Y86" s="179"/>
      <c r="Z86" s="179"/>
      <c r="AA86" s="179"/>
      <c r="AB86" s="179"/>
      <c r="AC86" s="179"/>
    </row>
    <row r="87" spans="4:29" ht="16.5" customHeight="1"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</row>
    <row r="88" spans="4:29" ht="16.5" customHeight="1"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79"/>
      <c r="X88" s="179"/>
      <c r="Y88" s="179"/>
      <c r="Z88" s="179"/>
      <c r="AA88" s="179"/>
      <c r="AB88" s="179"/>
      <c r="AC88" s="179"/>
    </row>
    <row r="89" spans="4:29" ht="16.5" customHeight="1"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  <c r="AA89" s="179"/>
      <c r="AB89" s="179"/>
      <c r="AC89" s="179"/>
    </row>
    <row r="90" spans="4:29" ht="16.5" customHeight="1"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  <c r="X90" s="179"/>
      <c r="Y90" s="179"/>
      <c r="Z90" s="179"/>
      <c r="AA90" s="179"/>
      <c r="AB90" s="179"/>
      <c r="AC90" s="179"/>
    </row>
    <row r="91" spans="4:29" ht="16.5" customHeight="1"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79"/>
      <c r="Z91" s="179"/>
      <c r="AA91" s="179"/>
      <c r="AB91" s="179"/>
      <c r="AC91" s="179"/>
    </row>
    <row r="92" spans="4:29" ht="16.5" customHeight="1"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  <c r="AB92" s="179"/>
      <c r="AC92" s="179"/>
    </row>
    <row r="93" spans="4:29" ht="16.5" customHeight="1"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  <c r="X93" s="179"/>
      <c r="Y93" s="179"/>
      <c r="Z93" s="179"/>
      <c r="AA93" s="179"/>
      <c r="AB93" s="179"/>
      <c r="AC93" s="179"/>
    </row>
    <row r="94" spans="4:29" ht="16.5" customHeight="1"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9"/>
      <c r="Z94" s="179"/>
      <c r="AA94" s="179"/>
      <c r="AB94" s="179"/>
      <c r="AC94" s="179"/>
    </row>
    <row r="95" spans="4:29" ht="16.5" customHeight="1"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  <c r="X95" s="179"/>
      <c r="Y95" s="179"/>
      <c r="Z95" s="179"/>
      <c r="AA95" s="179"/>
      <c r="AB95" s="179"/>
      <c r="AC95" s="179"/>
    </row>
    <row r="96" spans="4:29" ht="16.5" customHeight="1"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79"/>
      <c r="AA96" s="179"/>
      <c r="AB96" s="179"/>
      <c r="AC96" s="179"/>
    </row>
    <row r="97" spans="4:29" ht="16.5" customHeight="1"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  <c r="Z97" s="179"/>
      <c r="AA97" s="179"/>
      <c r="AB97" s="179"/>
      <c r="AC97" s="179"/>
    </row>
    <row r="98" spans="4:29" ht="16.5" customHeight="1"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  <c r="S98" s="179"/>
      <c r="T98" s="179"/>
      <c r="U98" s="179"/>
      <c r="V98" s="179"/>
      <c r="W98" s="179"/>
      <c r="X98" s="179"/>
      <c r="Y98" s="179"/>
      <c r="Z98" s="179"/>
      <c r="AA98" s="179"/>
      <c r="AB98" s="179"/>
      <c r="AC98" s="179"/>
    </row>
    <row r="99" spans="4:29" ht="16.5" customHeight="1"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  <c r="S99" s="179"/>
      <c r="T99" s="179"/>
      <c r="U99" s="179"/>
      <c r="V99" s="179"/>
      <c r="W99" s="179"/>
      <c r="X99" s="179"/>
      <c r="Y99" s="179"/>
      <c r="Z99" s="179"/>
      <c r="AA99" s="179"/>
      <c r="AB99" s="179"/>
      <c r="AC99" s="179"/>
    </row>
    <row r="100" spans="4:29" ht="16.5" customHeight="1"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179"/>
      <c r="U100" s="179"/>
      <c r="V100" s="179"/>
      <c r="W100" s="179"/>
      <c r="X100" s="179"/>
      <c r="Y100" s="179"/>
      <c r="Z100" s="179"/>
      <c r="AA100" s="179"/>
      <c r="AB100" s="179"/>
      <c r="AC100" s="179"/>
    </row>
    <row r="101" spans="4:29" ht="16.5" customHeight="1"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  <c r="S101" s="179"/>
      <c r="T101" s="179"/>
      <c r="U101" s="179"/>
      <c r="V101" s="179"/>
      <c r="W101" s="179"/>
      <c r="X101" s="179"/>
      <c r="Y101" s="179"/>
      <c r="Z101" s="179"/>
      <c r="AA101" s="179"/>
      <c r="AB101" s="179"/>
      <c r="AC101" s="179"/>
    </row>
    <row r="102" spans="4:29" ht="16.5" customHeight="1"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179"/>
      <c r="Y102" s="179"/>
      <c r="Z102" s="179"/>
      <c r="AA102" s="179"/>
      <c r="AB102" s="179"/>
      <c r="AC102" s="179"/>
    </row>
    <row r="103" spans="4:29" ht="16.5" customHeight="1"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  <c r="S103" s="179"/>
      <c r="T103" s="179"/>
      <c r="U103" s="179"/>
      <c r="V103" s="179"/>
      <c r="W103" s="179"/>
      <c r="X103" s="179"/>
      <c r="Y103" s="179"/>
      <c r="Z103" s="179"/>
      <c r="AA103" s="179"/>
      <c r="AB103" s="179"/>
      <c r="AC103" s="179"/>
    </row>
    <row r="104" spans="4:29" ht="16.5" customHeight="1"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179"/>
      <c r="U104" s="179"/>
      <c r="V104" s="179"/>
      <c r="W104" s="179"/>
      <c r="X104" s="179"/>
      <c r="Y104" s="179"/>
      <c r="Z104" s="179"/>
      <c r="AA104" s="179"/>
      <c r="AB104" s="179"/>
      <c r="AC104" s="179"/>
    </row>
    <row r="105" spans="4:29" ht="16.5" customHeight="1"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  <c r="S105" s="179"/>
      <c r="T105" s="179"/>
      <c r="U105" s="179"/>
      <c r="V105" s="179"/>
      <c r="W105" s="179"/>
      <c r="X105" s="179"/>
      <c r="Y105" s="179"/>
      <c r="Z105" s="179"/>
      <c r="AA105" s="179"/>
      <c r="AB105" s="179"/>
      <c r="AC105" s="179"/>
    </row>
    <row r="106" spans="4:29" ht="16.5" customHeight="1"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T106" s="179"/>
      <c r="U106" s="179"/>
      <c r="V106" s="179"/>
      <c r="W106" s="179"/>
      <c r="X106" s="179"/>
      <c r="Y106" s="179"/>
      <c r="Z106" s="179"/>
      <c r="AA106" s="179"/>
      <c r="AB106" s="179"/>
      <c r="AC106" s="179"/>
    </row>
    <row r="107" spans="4:29" ht="16.5" customHeight="1"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  <c r="S107" s="179"/>
      <c r="T107" s="179"/>
      <c r="U107" s="179"/>
      <c r="V107" s="179"/>
      <c r="W107" s="179"/>
      <c r="X107" s="179"/>
      <c r="Y107" s="179"/>
      <c r="Z107" s="179"/>
      <c r="AA107" s="179"/>
      <c r="AB107" s="179"/>
      <c r="AC107" s="179"/>
    </row>
    <row r="108" spans="4:29" ht="16.5" customHeight="1"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  <c r="S108" s="179"/>
      <c r="T108" s="179"/>
      <c r="U108" s="179"/>
      <c r="V108" s="179"/>
      <c r="W108" s="179"/>
      <c r="X108" s="179"/>
      <c r="Y108" s="179"/>
      <c r="Z108" s="179"/>
      <c r="AA108" s="179"/>
      <c r="AB108" s="179"/>
      <c r="AC108" s="179"/>
    </row>
    <row r="109" spans="4:29" ht="16.5" customHeight="1"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  <c r="S109" s="179"/>
      <c r="T109" s="179"/>
      <c r="U109" s="179"/>
      <c r="V109" s="179"/>
      <c r="W109" s="179"/>
      <c r="X109" s="179"/>
      <c r="Y109" s="179"/>
      <c r="Z109" s="179"/>
      <c r="AA109" s="179"/>
      <c r="AB109" s="179"/>
      <c r="AC109" s="179"/>
    </row>
    <row r="110" spans="4:29" ht="16.5" customHeight="1"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  <c r="S110" s="179"/>
      <c r="T110" s="179"/>
      <c r="U110" s="179"/>
      <c r="V110" s="179"/>
      <c r="W110" s="179"/>
      <c r="X110" s="179"/>
      <c r="Y110" s="179"/>
      <c r="Z110" s="179"/>
      <c r="AA110" s="179"/>
      <c r="AB110" s="179"/>
      <c r="AC110" s="179"/>
    </row>
    <row r="111" spans="4:29" ht="16.5" customHeight="1"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  <c r="S111" s="179"/>
      <c r="T111" s="179"/>
      <c r="U111" s="179"/>
      <c r="V111" s="179"/>
      <c r="W111" s="179"/>
      <c r="X111" s="179"/>
      <c r="Y111" s="179"/>
      <c r="Z111" s="179"/>
      <c r="AA111" s="179"/>
      <c r="AB111" s="179"/>
      <c r="AC111" s="179"/>
    </row>
    <row r="112" spans="4:29" ht="16.5" customHeight="1"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  <c r="S112" s="179"/>
      <c r="T112" s="179"/>
      <c r="U112" s="179"/>
      <c r="V112" s="179"/>
      <c r="W112" s="179"/>
      <c r="X112" s="179"/>
      <c r="Y112" s="179"/>
      <c r="Z112" s="179"/>
      <c r="AA112" s="179"/>
      <c r="AB112" s="179"/>
      <c r="AC112" s="179"/>
    </row>
    <row r="113" spans="4:29" ht="16.5" customHeight="1"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  <c r="S113" s="179"/>
      <c r="T113" s="179"/>
      <c r="U113" s="179"/>
      <c r="V113" s="179"/>
      <c r="W113" s="179"/>
      <c r="X113" s="179"/>
      <c r="Y113" s="179"/>
      <c r="Z113" s="179"/>
      <c r="AA113" s="179"/>
      <c r="AB113" s="179"/>
      <c r="AC113" s="179"/>
    </row>
    <row r="114" spans="4:29" ht="16.5" customHeight="1"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  <c r="S114" s="179"/>
      <c r="T114" s="179"/>
      <c r="U114" s="179"/>
      <c r="V114" s="179"/>
      <c r="W114" s="179"/>
      <c r="X114" s="179"/>
      <c r="Y114" s="179"/>
      <c r="Z114" s="179"/>
      <c r="AA114" s="179"/>
      <c r="AB114" s="179"/>
      <c r="AC114" s="179"/>
    </row>
    <row r="115" spans="4:29" ht="16.5" customHeight="1"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  <c r="S115" s="179"/>
      <c r="T115" s="179"/>
      <c r="U115" s="179"/>
      <c r="V115" s="179"/>
      <c r="W115" s="179"/>
      <c r="X115" s="179"/>
      <c r="Y115" s="179"/>
      <c r="Z115" s="179"/>
      <c r="AA115" s="179"/>
      <c r="AB115" s="179"/>
      <c r="AC115" s="179"/>
    </row>
    <row r="116" spans="4:29" ht="16.5" customHeight="1"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  <c r="S116" s="179"/>
      <c r="T116" s="179"/>
      <c r="U116" s="179"/>
      <c r="V116" s="179"/>
      <c r="W116" s="179"/>
      <c r="X116" s="179"/>
      <c r="Y116" s="179"/>
      <c r="Z116" s="179"/>
      <c r="AA116" s="179"/>
      <c r="AB116" s="179"/>
      <c r="AC116" s="179"/>
    </row>
    <row r="117" spans="4:29" ht="16.5" customHeight="1"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  <c r="S117" s="179"/>
      <c r="T117" s="179"/>
      <c r="U117" s="179"/>
      <c r="V117" s="179"/>
      <c r="W117" s="179"/>
      <c r="X117" s="179"/>
      <c r="Y117" s="179"/>
      <c r="Z117" s="179"/>
      <c r="AA117" s="179"/>
      <c r="AB117" s="179"/>
      <c r="AC117" s="179"/>
    </row>
    <row r="118" spans="4:29" ht="16.5" customHeight="1"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  <c r="S118" s="179"/>
      <c r="T118" s="179"/>
      <c r="U118" s="179"/>
      <c r="V118" s="179"/>
      <c r="W118" s="179"/>
      <c r="X118" s="179"/>
      <c r="Y118" s="179"/>
      <c r="Z118" s="179"/>
      <c r="AA118" s="179"/>
      <c r="AB118" s="179"/>
      <c r="AC118" s="179"/>
    </row>
    <row r="119" spans="4:29" ht="16.5" customHeight="1"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  <c r="S119" s="179"/>
      <c r="T119" s="179"/>
      <c r="U119" s="179"/>
      <c r="V119" s="179"/>
      <c r="W119" s="179"/>
      <c r="X119" s="179"/>
      <c r="Y119" s="179"/>
      <c r="Z119" s="179"/>
      <c r="AA119" s="179"/>
      <c r="AB119" s="179"/>
      <c r="AC119" s="179"/>
    </row>
    <row r="120" spans="4:29" ht="16.5" customHeight="1"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  <c r="S120" s="179"/>
      <c r="T120" s="179"/>
      <c r="U120" s="179"/>
      <c r="V120" s="179"/>
      <c r="W120" s="179"/>
      <c r="X120" s="179"/>
      <c r="Y120" s="179"/>
      <c r="Z120" s="179"/>
      <c r="AA120" s="179"/>
      <c r="AB120" s="179"/>
      <c r="AC120" s="179"/>
    </row>
    <row r="121" spans="4:29" ht="16.5" customHeight="1"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  <c r="S121" s="179"/>
      <c r="T121" s="179"/>
      <c r="U121" s="179"/>
      <c r="V121" s="179"/>
      <c r="W121" s="179"/>
      <c r="X121" s="179"/>
      <c r="Y121" s="179"/>
      <c r="Z121" s="179"/>
      <c r="AA121" s="179"/>
      <c r="AB121" s="179"/>
      <c r="AC121" s="179"/>
    </row>
    <row r="122" spans="4:29" ht="16.5" customHeight="1"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  <c r="S122" s="179"/>
      <c r="T122" s="179"/>
      <c r="U122" s="179"/>
      <c r="V122" s="179"/>
      <c r="W122" s="179"/>
      <c r="X122" s="179"/>
      <c r="Y122" s="179"/>
      <c r="Z122" s="179"/>
      <c r="AA122" s="179"/>
      <c r="AB122" s="179"/>
      <c r="AC122" s="179"/>
    </row>
    <row r="123" spans="4:29" ht="16.5" customHeight="1"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  <c r="S123" s="179"/>
      <c r="T123" s="179"/>
      <c r="U123" s="179"/>
      <c r="V123" s="179"/>
      <c r="W123" s="179"/>
      <c r="X123" s="179"/>
      <c r="Y123" s="179"/>
      <c r="Z123" s="179"/>
      <c r="AA123" s="179"/>
      <c r="AB123" s="179"/>
      <c r="AC123" s="179"/>
    </row>
    <row r="124" spans="4:29" ht="16.5" customHeight="1"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  <c r="S124" s="179"/>
      <c r="T124" s="179"/>
      <c r="U124" s="179"/>
      <c r="V124" s="179"/>
      <c r="W124" s="179"/>
      <c r="X124" s="179"/>
      <c r="Y124" s="179"/>
      <c r="Z124" s="179"/>
      <c r="AA124" s="179"/>
      <c r="AB124" s="179"/>
      <c r="AC124" s="179"/>
    </row>
    <row r="125" spans="4:29" ht="16.5" customHeight="1"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  <c r="S125" s="179"/>
      <c r="T125" s="179"/>
      <c r="U125" s="179"/>
      <c r="V125" s="179"/>
      <c r="W125" s="179"/>
      <c r="X125" s="179"/>
      <c r="Y125" s="179"/>
      <c r="Z125" s="179"/>
      <c r="AA125" s="179"/>
      <c r="AB125" s="179"/>
      <c r="AC125" s="179"/>
    </row>
    <row r="126" spans="4:29" ht="16.5" customHeight="1"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  <c r="S126" s="179"/>
      <c r="T126" s="179"/>
      <c r="U126" s="179"/>
      <c r="V126" s="179"/>
      <c r="W126" s="179"/>
      <c r="X126" s="179"/>
      <c r="Y126" s="179"/>
      <c r="Z126" s="179"/>
      <c r="AA126" s="179"/>
      <c r="AB126" s="179"/>
      <c r="AC126" s="179"/>
    </row>
    <row r="127" spans="4:29" ht="16.5" customHeight="1"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  <c r="S127" s="179"/>
      <c r="T127" s="179"/>
      <c r="U127" s="179"/>
      <c r="V127" s="179"/>
      <c r="W127" s="179"/>
      <c r="X127" s="179"/>
      <c r="Y127" s="179"/>
      <c r="Z127" s="179"/>
      <c r="AA127" s="179"/>
      <c r="AB127" s="179"/>
      <c r="AC127" s="179"/>
    </row>
    <row r="128" spans="4:29" ht="16.5" customHeight="1"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  <c r="S128" s="179"/>
      <c r="T128" s="179"/>
      <c r="U128" s="179"/>
      <c r="V128" s="179"/>
      <c r="W128" s="179"/>
      <c r="X128" s="179"/>
      <c r="Y128" s="179"/>
      <c r="Z128" s="179"/>
      <c r="AA128" s="179"/>
      <c r="AB128" s="179"/>
      <c r="AC128" s="179"/>
    </row>
    <row r="129" spans="4:29" ht="16.5" customHeight="1"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  <c r="S129" s="179"/>
      <c r="T129" s="179"/>
      <c r="U129" s="179"/>
      <c r="V129" s="179"/>
      <c r="W129" s="179"/>
      <c r="X129" s="179"/>
      <c r="Y129" s="179"/>
      <c r="Z129" s="179"/>
      <c r="AA129" s="179"/>
      <c r="AB129" s="179"/>
      <c r="AC129" s="179"/>
    </row>
    <row r="130" spans="4:29" ht="16.5" customHeight="1"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  <c r="S130" s="179"/>
      <c r="T130" s="179"/>
      <c r="U130" s="179"/>
      <c r="V130" s="179"/>
      <c r="W130" s="179"/>
      <c r="X130" s="179"/>
      <c r="Y130" s="179"/>
      <c r="Z130" s="179"/>
      <c r="AA130" s="179"/>
      <c r="AB130" s="179"/>
      <c r="AC130" s="179"/>
    </row>
    <row r="131" spans="4:29" ht="16.5" customHeight="1"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  <c r="S131" s="179"/>
      <c r="T131" s="179"/>
      <c r="U131" s="179"/>
      <c r="V131" s="179"/>
      <c r="W131" s="179"/>
      <c r="X131" s="179"/>
      <c r="Y131" s="179"/>
      <c r="Z131" s="179"/>
      <c r="AA131" s="179"/>
      <c r="AB131" s="179"/>
      <c r="AC131" s="179"/>
    </row>
    <row r="132" spans="4:29" ht="16.5" customHeight="1"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  <c r="S132" s="179"/>
      <c r="T132" s="179"/>
      <c r="U132" s="179"/>
      <c r="V132" s="179"/>
      <c r="W132" s="179"/>
      <c r="X132" s="179"/>
      <c r="Y132" s="179"/>
      <c r="Z132" s="179"/>
      <c r="AA132" s="179"/>
      <c r="AB132" s="179"/>
      <c r="AC132" s="179"/>
    </row>
    <row r="133" spans="4:29" ht="16.5" customHeight="1"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  <c r="S133" s="179"/>
      <c r="T133" s="179"/>
      <c r="U133" s="179"/>
      <c r="V133" s="179"/>
      <c r="W133" s="179"/>
      <c r="X133" s="179"/>
      <c r="Y133" s="179"/>
      <c r="Z133" s="179"/>
      <c r="AA133" s="179"/>
      <c r="AB133" s="179"/>
      <c r="AC133" s="179"/>
    </row>
    <row r="134" spans="4:29" ht="16.5" customHeight="1"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  <c r="S134" s="179"/>
      <c r="T134" s="179"/>
      <c r="U134" s="179"/>
      <c r="V134" s="179"/>
      <c r="W134" s="179"/>
      <c r="X134" s="179"/>
      <c r="Y134" s="179"/>
      <c r="Z134" s="179"/>
      <c r="AA134" s="179"/>
      <c r="AB134" s="179"/>
      <c r="AC134" s="179"/>
    </row>
    <row r="135" spans="4:29" ht="16.5" customHeight="1"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  <c r="S135" s="179"/>
      <c r="T135" s="179"/>
      <c r="U135" s="179"/>
      <c r="V135" s="179"/>
      <c r="W135" s="179"/>
      <c r="X135" s="179"/>
      <c r="Y135" s="179"/>
      <c r="Z135" s="179"/>
      <c r="AA135" s="179"/>
      <c r="AB135" s="179"/>
      <c r="AC135" s="179"/>
    </row>
    <row r="136" spans="4:29" ht="16.5" customHeight="1"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  <c r="S136" s="179"/>
      <c r="T136" s="179"/>
      <c r="U136" s="179"/>
      <c r="V136" s="179"/>
      <c r="W136" s="179"/>
      <c r="X136" s="179"/>
      <c r="Y136" s="179"/>
      <c r="Z136" s="179"/>
      <c r="AA136" s="179"/>
      <c r="AB136" s="179"/>
      <c r="AC136" s="179"/>
    </row>
    <row r="137" spans="4:29" ht="16.5" customHeight="1"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  <c r="S137" s="179"/>
      <c r="T137" s="179"/>
      <c r="U137" s="179"/>
      <c r="V137" s="179"/>
      <c r="W137" s="179"/>
      <c r="X137" s="179"/>
      <c r="Y137" s="179"/>
      <c r="Z137" s="179"/>
      <c r="AA137" s="179"/>
      <c r="AB137" s="179"/>
      <c r="AC137" s="179"/>
    </row>
    <row r="138" spans="4:29" ht="16.5" customHeight="1"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  <c r="S138" s="179"/>
      <c r="T138" s="179"/>
      <c r="U138" s="179"/>
      <c r="V138" s="179"/>
      <c r="W138" s="179"/>
      <c r="X138" s="179"/>
      <c r="Y138" s="179"/>
      <c r="Z138" s="179"/>
      <c r="AA138" s="179"/>
      <c r="AB138" s="179"/>
      <c r="AC138" s="179"/>
    </row>
    <row r="139" spans="4:29" ht="16.5" customHeight="1"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  <c r="S139" s="179"/>
      <c r="T139" s="179"/>
      <c r="U139" s="179"/>
      <c r="V139" s="179"/>
      <c r="W139" s="179"/>
      <c r="X139" s="179"/>
      <c r="Y139" s="179"/>
      <c r="Z139" s="179"/>
      <c r="AA139" s="179"/>
      <c r="AB139" s="179"/>
      <c r="AC139" s="179"/>
    </row>
    <row r="140" spans="4:29" ht="16.5" customHeight="1"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  <c r="S140" s="179"/>
      <c r="T140" s="179"/>
      <c r="U140" s="179"/>
      <c r="V140" s="179"/>
      <c r="W140" s="179"/>
      <c r="X140" s="179"/>
      <c r="Y140" s="179"/>
      <c r="Z140" s="179"/>
      <c r="AA140" s="179"/>
      <c r="AB140" s="179"/>
      <c r="AC140" s="179"/>
    </row>
    <row r="141" spans="4:29" ht="16.5" customHeight="1"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  <c r="S141" s="179"/>
      <c r="T141" s="179"/>
      <c r="U141" s="179"/>
      <c r="V141" s="179"/>
      <c r="W141" s="179"/>
      <c r="X141" s="179"/>
      <c r="Y141" s="179"/>
      <c r="Z141" s="179"/>
      <c r="AA141" s="179"/>
      <c r="AB141" s="179"/>
      <c r="AC141" s="179"/>
    </row>
    <row r="142" spans="4:29" ht="16.5" customHeight="1"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  <c r="S142" s="179"/>
      <c r="T142" s="179"/>
      <c r="U142" s="179"/>
      <c r="V142" s="179"/>
      <c r="W142" s="179"/>
      <c r="X142" s="179"/>
      <c r="Y142" s="179"/>
      <c r="Z142" s="179"/>
      <c r="AA142" s="179"/>
      <c r="AB142" s="179"/>
      <c r="AC142" s="179"/>
    </row>
    <row r="143" spans="4:29" ht="16.5" customHeight="1"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  <c r="S143" s="179"/>
      <c r="T143" s="179"/>
      <c r="U143" s="179"/>
      <c r="V143" s="179"/>
      <c r="W143" s="179"/>
      <c r="X143" s="179"/>
      <c r="Y143" s="179"/>
      <c r="Z143" s="179"/>
      <c r="AA143" s="179"/>
      <c r="AB143" s="179"/>
      <c r="AC143" s="179"/>
    </row>
    <row r="144" spans="4:29" ht="16.5" customHeight="1"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  <c r="S144" s="179"/>
      <c r="T144" s="179"/>
      <c r="U144" s="179"/>
      <c r="V144" s="179"/>
      <c r="W144" s="179"/>
      <c r="X144" s="179"/>
      <c r="Y144" s="179"/>
      <c r="Z144" s="179"/>
      <c r="AA144" s="179"/>
      <c r="AB144" s="179"/>
      <c r="AC144" s="179"/>
    </row>
    <row r="145" spans="4:29" ht="16.5" customHeight="1"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  <c r="S145" s="179"/>
      <c r="T145" s="179"/>
      <c r="U145" s="179"/>
      <c r="V145" s="179"/>
      <c r="W145" s="179"/>
      <c r="X145" s="179"/>
      <c r="Y145" s="179"/>
      <c r="Z145" s="179"/>
      <c r="AA145" s="179"/>
      <c r="AB145" s="179"/>
      <c r="AC145" s="179"/>
    </row>
    <row r="146" spans="4:29" ht="16.5" customHeight="1"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  <c r="S146" s="179"/>
      <c r="T146" s="179"/>
      <c r="U146" s="179"/>
      <c r="V146" s="179"/>
      <c r="W146" s="179"/>
      <c r="X146" s="179"/>
      <c r="Y146" s="179"/>
      <c r="Z146" s="179"/>
      <c r="AA146" s="179"/>
      <c r="AB146" s="179"/>
      <c r="AC146" s="179"/>
    </row>
    <row r="147" spans="4:29" ht="16.5" customHeight="1"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  <c r="S147" s="179"/>
      <c r="T147" s="179"/>
      <c r="U147" s="179"/>
      <c r="V147" s="179"/>
      <c r="W147" s="179"/>
      <c r="X147" s="179"/>
      <c r="Y147" s="179"/>
      <c r="Z147" s="179"/>
      <c r="AA147" s="179"/>
      <c r="AB147" s="179"/>
      <c r="AC147" s="179"/>
    </row>
    <row r="148" spans="4:29" ht="16.5" customHeight="1"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  <c r="S148" s="179"/>
      <c r="T148" s="179"/>
      <c r="U148" s="179"/>
      <c r="V148" s="179"/>
      <c r="W148" s="179"/>
      <c r="X148" s="179"/>
      <c r="Y148" s="179"/>
      <c r="Z148" s="179"/>
      <c r="AA148" s="179"/>
      <c r="AB148" s="179"/>
      <c r="AC148" s="179"/>
    </row>
    <row r="149" spans="4:29" ht="16.5" customHeight="1"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  <c r="S149" s="179"/>
      <c r="T149" s="179"/>
      <c r="U149" s="179"/>
      <c r="V149" s="179"/>
      <c r="W149" s="179"/>
      <c r="X149" s="179"/>
      <c r="Y149" s="179"/>
      <c r="Z149" s="179"/>
      <c r="AA149" s="179"/>
      <c r="AB149" s="179"/>
      <c r="AC149" s="179"/>
    </row>
    <row r="150" spans="4:29" ht="16.5" customHeight="1"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  <c r="S150" s="179"/>
      <c r="T150" s="179"/>
      <c r="U150" s="179"/>
      <c r="V150" s="179"/>
      <c r="W150" s="179"/>
      <c r="X150" s="179"/>
      <c r="Y150" s="179"/>
      <c r="Z150" s="179"/>
      <c r="AA150" s="179"/>
      <c r="AB150" s="179"/>
      <c r="AC150" s="179"/>
    </row>
    <row r="151" spans="4:29" ht="16.5" customHeight="1"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  <c r="S151" s="179"/>
      <c r="T151" s="179"/>
      <c r="U151" s="179"/>
      <c r="V151" s="179"/>
      <c r="W151" s="179"/>
      <c r="X151" s="179"/>
      <c r="Y151" s="179"/>
      <c r="Z151" s="179"/>
      <c r="AA151" s="179"/>
      <c r="AB151" s="179"/>
      <c r="AC151" s="179"/>
    </row>
    <row r="152" spans="4:29" ht="16.5" customHeight="1"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  <c r="S152" s="179"/>
      <c r="T152" s="179"/>
      <c r="U152" s="179"/>
      <c r="V152" s="179"/>
      <c r="W152" s="179"/>
      <c r="X152" s="179"/>
      <c r="Y152" s="179"/>
      <c r="Z152" s="179"/>
      <c r="AA152" s="179"/>
      <c r="AB152" s="179"/>
      <c r="AC152" s="179"/>
    </row>
    <row r="153" ht="16.5" customHeight="1">
      <c r="AC153" s="179"/>
    </row>
    <row r="154" ht="16.5" customHeight="1">
      <c r="AC154" s="179"/>
    </row>
    <row r="155" ht="16.5" customHeight="1">
      <c r="AC155" s="179"/>
    </row>
    <row r="156" ht="16.5" customHeight="1">
      <c r="AC156" s="179"/>
    </row>
    <row r="157" ht="16.5" customHeight="1"/>
    <row r="158" ht="16.5" customHeight="1"/>
    <row r="159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7" r:id="rId4"/>
  <headerFooter alignWithMargins="0">
    <oddFooter>&amp;L&amp;"Times New Roman,Normal"&amp;5&amp;F  - TRANSPORTE de ENERGÍA ELÉCTRICA - PJL - JI -JM - &amp;P/&amp;N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6"/>
  <sheetViews>
    <sheetView zoomScale="70" zoomScaleNormal="70" workbookViewId="0" topLeftCell="A1">
      <selection activeCell="D12" sqref="D12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5" width="25.7109375" style="0" customWidth="1"/>
    <col min="6" max="6" width="9.7109375" style="0" customWidth="1"/>
    <col min="7" max="7" width="12.7109375" style="0" customWidth="1"/>
    <col min="8" max="8" width="13.7109375" style="0" hidden="1" customWidth="1"/>
    <col min="9" max="10" width="15.7109375" style="0" customWidth="1"/>
    <col min="11" max="14" width="9.7109375" style="0" customWidth="1"/>
    <col min="15" max="15" width="5.8515625" style="0" customWidth="1"/>
    <col min="16" max="16" width="7.00390625" style="0" customWidth="1"/>
    <col min="17" max="17" width="13.140625" style="0" hidden="1" customWidth="1"/>
    <col min="18" max="19" width="16.421875" style="0" hidden="1" customWidth="1"/>
    <col min="20" max="20" width="16.57421875" style="0" hidden="1" customWidth="1"/>
    <col min="21" max="25" width="16.28125" style="0" hidden="1" customWidth="1"/>
    <col min="26" max="26" width="9.7109375" style="0" customWidth="1"/>
    <col min="27" max="28" width="15.7109375" style="0" customWidth="1"/>
  </cols>
  <sheetData>
    <row r="1" spans="2:28" s="18" customFormat="1" ht="26.25"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147"/>
    </row>
    <row r="2" spans="1:28" s="18" customFormat="1" ht="26.25">
      <c r="A2" s="91"/>
      <c r="B2" s="258" t="str">
        <f>+'TOT-1108'!B2</f>
        <v>ANEXO VI al Memoràndum D.T.E.E. N°  366 / 2010          </v>
      </c>
      <c r="C2" s="258"/>
      <c r="D2" s="258"/>
      <c r="E2" s="19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</row>
    <row r="3" spans="1:28" s="5" customFormat="1" ht="12.7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</row>
    <row r="4" spans="1:28" s="25" customFormat="1" ht="11.25">
      <c r="A4" s="259" t="s">
        <v>81</v>
      </c>
      <c r="B4" s="11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</row>
    <row r="5" spans="1:28" s="25" customFormat="1" ht="11.25">
      <c r="A5" s="259" t="s">
        <v>3</v>
      </c>
      <c r="B5" s="11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</row>
    <row r="6" spans="1:28" s="5" customFormat="1" ht="13.5" thickBo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</row>
    <row r="7" spans="1:28" s="5" customFormat="1" ht="13.5" thickTop="1">
      <c r="A7" s="90"/>
      <c r="B7" s="92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4"/>
    </row>
    <row r="8" spans="1:28" s="29" customFormat="1" ht="20.25">
      <c r="A8" s="106"/>
      <c r="B8" s="107"/>
      <c r="C8" s="106"/>
      <c r="D8" s="260" t="s">
        <v>70</v>
      </c>
      <c r="E8" s="106"/>
      <c r="F8" s="106"/>
      <c r="G8" s="261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96"/>
      <c r="S8" s="96"/>
      <c r="T8" s="96"/>
      <c r="U8" s="96"/>
      <c r="V8" s="96"/>
      <c r="W8" s="96"/>
      <c r="X8" s="96"/>
      <c r="Y8" s="96"/>
      <c r="Z8" s="96"/>
      <c r="AA8" s="96"/>
      <c r="AB8" s="108"/>
    </row>
    <row r="9" spans="1:28" s="5" customFormat="1" ht="12.75">
      <c r="A9" s="90"/>
      <c r="B9" s="95"/>
      <c r="C9" s="90"/>
      <c r="D9" s="15"/>
      <c r="E9" s="262"/>
      <c r="F9" s="90"/>
      <c r="G9" s="15"/>
      <c r="H9" s="90"/>
      <c r="I9" s="90"/>
      <c r="J9" s="90"/>
      <c r="K9" s="90"/>
      <c r="L9" s="90"/>
      <c r="M9" s="90"/>
      <c r="N9" s="90"/>
      <c r="O9" s="90"/>
      <c r="P9" s="90"/>
      <c r="Q9" s="90"/>
      <c r="R9" s="15"/>
      <c r="S9" s="15"/>
      <c r="T9" s="15"/>
      <c r="U9" s="15"/>
      <c r="V9" s="15"/>
      <c r="W9" s="15"/>
      <c r="X9" s="15"/>
      <c r="Y9" s="15"/>
      <c r="Z9" s="15"/>
      <c r="AA9" s="15"/>
      <c r="AB9" s="17"/>
    </row>
    <row r="10" spans="1:28" s="950" customFormat="1" ht="30" customHeight="1">
      <c r="A10" s="944"/>
      <c r="B10" s="945"/>
      <c r="C10" s="944"/>
      <c r="D10" s="946" t="s">
        <v>261</v>
      </c>
      <c r="E10" s="944"/>
      <c r="F10" s="947"/>
      <c r="G10" s="948"/>
      <c r="H10" s="944"/>
      <c r="I10" s="944"/>
      <c r="J10" s="944"/>
      <c r="K10" s="944"/>
      <c r="L10" s="944"/>
      <c r="M10" s="944"/>
      <c r="N10" s="944"/>
      <c r="O10" s="944"/>
      <c r="P10" s="944"/>
      <c r="Q10" s="944"/>
      <c r="R10" s="948"/>
      <c r="S10" s="948"/>
      <c r="T10" s="948"/>
      <c r="U10" s="948"/>
      <c r="V10" s="948"/>
      <c r="W10" s="948"/>
      <c r="X10" s="948"/>
      <c r="Y10" s="948"/>
      <c r="Z10" s="948"/>
      <c r="AA10" s="948"/>
      <c r="AB10" s="949"/>
    </row>
    <row r="11" spans="1:28" s="955" customFormat="1" ht="9.75" customHeight="1">
      <c r="A11" s="951"/>
      <c r="B11" s="952"/>
      <c r="C11" s="951"/>
      <c r="E11" s="953"/>
      <c r="F11" s="953"/>
      <c r="G11" s="953"/>
      <c r="H11" s="951"/>
      <c r="I11" s="951"/>
      <c r="J11" s="951"/>
      <c r="K11" s="951"/>
      <c r="L11" s="951"/>
      <c r="M11" s="951"/>
      <c r="N11" s="951"/>
      <c r="O11" s="951"/>
      <c r="P11" s="951"/>
      <c r="Q11" s="951"/>
      <c r="R11" s="953"/>
      <c r="S11" s="953"/>
      <c r="T11" s="953"/>
      <c r="U11" s="953"/>
      <c r="V11" s="953"/>
      <c r="W11" s="953"/>
      <c r="X11" s="953"/>
      <c r="Y11" s="953"/>
      <c r="Z11" s="953"/>
      <c r="AA11" s="953"/>
      <c r="AB11" s="954"/>
    </row>
    <row r="12" spans="1:28" s="955" customFormat="1" ht="21" customHeight="1">
      <c r="A12" s="944"/>
      <c r="B12" s="945"/>
      <c r="C12" s="944"/>
      <c r="D12" s="946" t="s">
        <v>405</v>
      </c>
      <c r="E12" s="944"/>
      <c r="F12" s="944"/>
      <c r="G12" s="944"/>
      <c r="H12" s="957"/>
      <c r="I12" s="957"/>
      <c r="J12" s="957"/>
      <c r="K12" s="957"/>
      <c r="L12" s="957"/>
      <c r="M12" s="951"/>
      <c r="N12" s="951"/>
      <c r="O12" s="951"/>
      <c r="P12" s="951"/>
      <c r="Q12" s="951"/>
      <c r="R12" s="953"/>
      <c r="S12" s="953"/>
      <c r="T12" s="953"/>
      <c r="U12" s="953"/>
      <c r="V12" s="953"/>
      <c r="W12" s="953"/>
      <c r="X12" s="953"/>
      <c r="Y12" s="953"/>
      <c r="Z12" s="953"/>
      <c r="AA12" s="953"/>
      <c r="AB12" s="954"/>
    </row>
    <row r="13" spans="1:28" s="5" customFormat="1" ht="12.75">
      <c r="A13" s="90"/>
      <c r="B13" s="95"/>
      <c r="C13" s="90"/>
      <c r="D13" s="15"/>
      <c r="E13" s="15"/>
      <c r="F13" s="15"/>
      <c r="G13" s="98"/>
      <c r="H13" s="15"/>
      <c r="I13" s="15"/>
      <c r="J13" s="15"/>
      <c r="K13" s="15"/>
      <c r="L13" s="15"/>
      <c r="M13" s="90"/>
      <c r="N13" s="90"/>
      <c r="O13" s="90"/>
      <c r="P13" s="90"/>
      <c r="Q13" s="90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7"/>
    </row>
    <row r="14" spans="1:28" s="36" customFormat="1" ht="19.5">
      <c r="A14" s="110"/>
      <c r="B14" s="37" t="str">
        <f>'TOT-1108'!B14</f>
        <v>Desde el 01 al 30 de noviembre de 2008</v>
      </c>
      <c r="C14" s="263"/>
      <c r="D14" s="113"/>
      <c r="E14" s="113"/>
      <c r="F14" s="113"/>
      <c r="G14" s="113"/>
      <c r="H14" s="113"/>
      <c r="I14" s="113"/>
      <c r="J14" s="113"/>
      <c r="K14" s="113"/>
      <c r="L14" s="113"/>
      <c r="M14" s="263"/>
      <c r="N14" s="263"/>
      <c r="O14" s="263"/>
      <c r="P14" s="263"/>
      <c r="Q14" s="26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264"/>
    </row>
    <row r="15" spans="1:28" s="5" customFormat="1" ht="13.5" thickBot="1">
      <c r="A15" s="90"/>
      <c r="B15" s="95"/>
      <c r="C15" s="90"/>
      <c r="D15" s="15"/>
      <c r="E15" s="15"/>
      <c r="F15" s="15"/>
      <c r="G15" s="98"/>
      <c r="H15" s="15"/>
      <c r="I15" s="15"/>
      <c r="J15" s="15"/>
      <c r="K15" s="15"/>
      <c r="L15" s="15"/>
      <c r="M15" s="90"/>
      <c r="N15" s="90"/>
      <c r="O15" s="90"/>
      <c r="P15" s="90"/>
      <c r="Q15" s="90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7"/>
    </row>
    <row r="16" spans="1:28" s="5" customFormat="1" ht="16.5" customHeight="1" thickBot="1" thickTop="1">
      <c r="A16" s="90"/>
      <c r="B16" s="95"/>
      <c r="C16" s="90"/>
      <c r="D16" s="265" t="s">
        <v>82</v>
      </c>
      <c r="E16" s="266"/>
      <c r="F16" s="267">
        <v>0.319</v>
      </c>
      <c r="H16" s="90"/>
      <c r="I16" s="90"/>
      <c r="J16" s="90"/>
      <c r="K16" s="90"/>
      <c r="L16" s="90"/>
      <c r="M16" s="90"/>
      <c r="N16" s="90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7"/>
    </row>
    <row r="17" spans="1:28" s="5" customFormat="1" ht="16.5" customHeight="1" thickBot="1" thickTop="1">
      <c r="A17" s="90"/>
      <c r="B17" s="95"/>
      <c r="C17" s="90"/>
      <c r="D17" s="111" t="s">
        <v>26</v>
      </c>
      <c r="E17" s="112"/>
      <c r="F17" s="924">
        <v>200</v>
      </c>
      <c r="G17"/>
      <c r="H17" s="15"/>
      <c r="I17" s="214"/>
      <c r="J17" s="215"/>
      <c r="K17" s="4"/>
      <c r="L17" s="15"/>
      <c r="M17" s="15"/>
      <c r="N17" s="15"/>
      <c r="O17" s="15"/>
      <c r="P17" s="15"/>
      <c r="Q17" s="15"/>
      <c r="R17" s="15"/>
      <c r="S17" s="15"/>
      <c r="T17" s="15"/>
      <c r="U17" s="99"/>
      <c r="V17" s="99"/>
      <c r="W17" s="99"/>
      <c r="X17" s="99"/>
      <c r="Y17" s="99"/>
      <c r="Z17" s="99"/>
      <c r="AA17" s="90"/>
      <c r="AB17" s="17"/>
    </row>
    <row r="18" spans="1:28" s="5" customFormat="1" ht="16.5" customHeight="1" thickBot="1" thickTop="1">
      <c r="A18" s="90"/>
      <c r="B18" s="95"/>
      <c r="C18" s="90"/>
      <c r="D18" s="15"/>
      <c r="E18" s="15"/>
      <c r="F18" s="15"/>
      <c r="G18" s="100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7"/>
    </row>
    <row r="19" spans="1:28" s="5" customFormat="1" ht="33.75" customHeight="1" thickBot="1" thickTop="1">
      <c r="A19" s="90"/>
      <c r="B19" s="95"/>
      <c r="C19" s="124" t="s">
        <v>13</v>
      </c>
      <c r="D19" s="120" t="s">
        <v>27</v>
      </c>
      <c r="E19" s="119" t="s">
        <v>28</v>
      </c>
      <c r="F19" s="121" t="s">
        <v>29</v>
      </c>
      <c r="G19" s="122" t="s">
        <v>14</v>
      </c>
      <c r="H19" s="130" t="s">
        <v>16</v>
      </c>
      <c r="I19" s="119" t="s">
        <v>17</v>
      </c>
      <c r="J19" s="119" t="s">
        <v>18</v>
      </c>
      <c r="K19" s="120" t="s">
        <v>30</v>
      </c>
      <c r="L19" s="120" t="s">
        <v>31</v>
      </c>
      <c r="M19" s="88" t="s">
        <v>19</v>
      </c>
      <c r="N19" s="88" t="s">
        <v>58</v>
      </c>
      <c r="O19" s="123" t="s">
        <v>32</v>
      </c>
      <c r="P19" s="119" t="s">
        <v>33</v>
      </c>
      <c r="Q19" s="268" t="s">
        <v>37</v>
      </c>
      <c r="R19" s="269" t="s">
        <v>20</v>
      </c>
      <c r="S19" s="270" t="s">
        <v>21</v>
      </c>
      <c r="T19" s="222" t="s">
        <v>83</v>
      </c>
      <c r="U19" s="224"/>
      <c r="V19" s="271" t="s">
        <v>84</v>
      </c>
      <c r="W19" s="272"/>
      <c r="X19" s="273" t="s">
        <v>22</v>
      </c>
      <c r="Y19" s="274" t="s">
        <v>79</v>
      </c>
      <c r="Z19" s="133" t="s">
        <v>80</v>
      </c>
      <c r="AA19" s="122" t="s">
        <v>24</v>
      </c>
      <c r="AB19" s="17"/>
    </row>
    <row r="20" spans="1:28" s="5" customFormat="1" ht="16.5" customHeight="1" thickTop="1">
      <c r="A20" s="90"/>
      <c r="B20" s="95"/>
      <c r="C20" s="275"/>
      <c r="D20" s="275"/>
      <c r="E20" s="275"/>
      <c r="F20" s="275"/>
      <c r="G20" s="276"/>
      <c r="H20" s="277"/>
      <c r="I20" s="275"/>
      <c r="J20" s="275"/>
      <c r="K20" s="275"/>
      <c r="L20" s="275"/>
      <c r="M20" s="275"/>
      <c r="N20" s="185"/>
      <c r="O20" s="278"/>
      <c r="P20" s="275"/>
      <c r="Q20" s="279"/>
      <c r="R20" s="280"/>
      <c r="S20" s="281"/>
      <c r="T20" s="282"/>
      <c r="U20" s="283"/>
      <c r="V20" s="284"/>
      <c r="W20" s="285"/>
      <c r="X20" s="286"/>
      <c r="Y20" s="287"/>
      <c r="Z20" s="278"/>
      <c r="AA20" s="288"/>
      <c r="AB20" s="17"/>
    </row>
    <row r="21" spans="1:28" s="5" customFormat="1" ht="16.5" customHeight="1">
      <c r="A21" s="90"/>
      <c r="B21" s="95"/>
      <c r="C21" s="289"/>
      <c r="D21" s="289"/>
      <c r="E21" s="289"/>
      <c r="F21" s="289"/>
      <c r="G21" s="290"/>
      <c r="H21" s="291"/>
      <c r="I21" s="289"/>
      <c r="J21" s="289"/>
      <c r="K21" s="289"/>
      <c r="L21" s="289"/>
      <c r="M21" s="289"/>
      <c r="N21" s="188"/>
      <c r="O21" s="292"/>
      <c r="P21" s="289"/>
      <c r="Q21" s="293"/>
      <c r="R21" s="294"/>
      <c r="S21" s="295"/>
      <c r="T21" s="296"/>
      <c r="U21" s="297"/>
      <c r="V21" s="298"/>
      <c r="W21" s="299"/>
      <c r="X21" s="300"/>
      <c r="Y21" s="301"/>
      <c r="Z21" s="292"/>
      <c r="AA21" s="302"/>
      <c r="AB21" s="17"/>
    </row>
    <row r="22" spans="1:28" s="5" customFormat="1" ht="16.5" customHeight="1">
      <c r="A22" s="90"/>
      <c r="B22" s="95"/>
      <c r="C22" s="157">
        <v>35</v>
      </c>
      <c r="D22" s="151" t="s">
        <v>295</v>
      </c>
      <c r="E22" s="303" t="s">
        <v>296</v>
      </c>
      <c r="F22" s="304">
        <v>150</v>
      </c>
      <c r="G22" s="305" t="s">
        <v>297</v>
      </c>
      <c r="H22" s="306">
        <f>F22*$F$16</f>
        <v>47.85</v>
      </c>
      <c r="I22" s="158">
        <v>39753</v>
      </c>
      <c r="J22" s="158">
        <v>39766.99930555555</v>
      </c>
      <c r="K22" s="307">
        <f>IF(D22="","",(J22-I22)*24)</f>
        <v>335.983333333279</v>
      </c>
      <c r="L22" s="14">
        <f>IF(D22="","",ROUND((J22-I22)*24*60,0))</f>
        <v>20159</v>
      </c>
      <c r="M22" s="159" t="s">
        <v>385</v>
      </c>
      <c r="N22" s="235" t="str">
        <f>IF(D22="","","--")</f>
        <v>--</v>
      </c>
      <c r="O22" s="156" t="str">
        <f>IF(D22="","",IF(OR(M22="P",M22="RP"),"--","NO"))</f>
        <v>NO</v>
      </c>
      <c r="P22" s="155" t="str">
        <f>IF(D22="","","NO")</f>
        <v>NO</v>
      </c>
      <c r="Q22" s="308">
        <f>$F$17*IF(OR(M22="P",M22="RP"),0.1,1)*IF(P22="SI",1,0.1)</f>
        <v>20</v>
      </c>
      <c r="R22" s="309" t="str">
        <f>IF(M22="P",H22*Q22*ROUND(L22/60,2),"--")</f>
        <v>--</v>
      </c>
      <c r="S22" s="310" t="str">
        <f>IF(M22="RP",H22*Q22*N22/100*ROUND(L22/60,2),"--")</f>
        <v>--</v>
      </c>
      <c r="T22" s="311" t="str">
        <f>IF(AND(M22="F",O22="NO"),H22*Q22,"--")</f>
        <v>--</v>
      </c>
      <c r="U22" s="312" t="str">
        <f>IF(M22="F",H22*Q22*ROUND(L22/60,2),"--")</f>
        <v>--</v>
      </c>
      <c r="V22" s="313" t="str">
        <f>IF(AND(M22="R",O22="NO"),H22*Q22*N22/100,"--")</f>
        <v>--</v>
      </c>
      <c r="W22" s="314" t="str">
        <f>IF(M22="R",H22*Q22*N22/100*ROUND(L22/60,2),"--")</f>
        <v>--</v>
      </c>
      <c r="X22" s="315">
        <f>IF(M22="RF",H22*Q22*ROUND(L22/60,2),"--")</f>
        <v>321532.86000000004</v>
      </c>
      <c r="Y22" s="316" t="str">
        <f>IF(M22="RR",H22*Q22*N22/100*ROUND(L22/60,2),"--")</f>
        <v>--</v>
      </c>
      <c r="Z22" s="317" t="s">
        <v>248</v>
      </c>
      <c r="AA22" s="16">
        <f>IF(D22="","",(SUM(R22:Y22)*IF(Z22="SI",1,2)*IF(AND(N22&lt;&gt;"--",M22="RF"),N22/100,1)))</f>
        <v>321532.86000000004</v>
      </c>
      <c r="AB22" s="17"/>
    </row>
    <row r="23" spans="1:28" s="5" customFormat="1" ht="16.5" customHeight="1">
      <c r="A23" s="90"/>
      <c r="B23" s="95"/>
      <c r="C23" s="289">
        <v>44</v>
      </c>
      <c r="D23" s="151" t="s">
        <v>295</v>
      </c>
      <c r="E23" s="303" t="s">
        <v>296</v>
      </c>
      <c r="F23" s="304">
        <v>150</v>
      </c>
      <c r="G23" s="305" t="s">
        <v>297</v>
      </c>
      <c r="H23" s="306">
        <f>F23*$F$16</f>
        <v>47.85</v>
      </c>
      <c r="I23" s="158">
        <v>39767</v>
      </c>
      <c r="J23" s="158">
        <v>39782.99930555555</v>
      </c>
      <c r="K23" s="307">
        <f>IF(D23="","",(J23-I23)*24)</f>
        <v>383.983333333279</v>
      </c>
      <c r="L23" s="14">
        <f>IF(D23="","",ROUND((J23-I23)*24*60,0))</f>
        <v>23039</v>
      </c>
      <c r="M23" s="159" t="s">
        <v>251</v>
      </c>
      <c r="N23" s="235" t="str">
        <f>IF(D23="","","--")</f>
        <v>--</v>
      </c>
      <c r="O23" s="156" t="str">
        <f>IF(D23="","",IF(OR(M23="P",M23="RP"),"--","NO"))</f>
        <v>--</v>
      </c>
      <c r="P23" s="155" t="str">
        <f>IF(D23="","","NO")</f>
        <v>NO</v>
      </c>
      <c r="Q23" s="308">
        <f>$F$17*IF(OR(M23="P",M23="RP"),0.1,1)*IF(P23="SI",1,0.1)</f>
        <v>2</v>
      </c>
      <c r="R23" s="309">
        <f>IF(M23="P",H23*Q23*ROUND(L23/60,2),"--")</f>
        <v>36746.886000000006</v>
      </c>
      <c r="S23" s="310" t="str">
        <f>IF(M23="RP",H23*Q23*N23/100*ROUND(L23/60,2),"--")</f>
        <v>--</v>
      </c>
      <c r="T23" s="311" t="str">
        <f>IF(AND(M23="F",O23="NO"),H23*Q23,"--")</f>
        <v>--</v>
      </c>
      <c r="U23" s="312" t="str">
        <f>IF(M23="F",H23*Q23*ROUND(L23/60,2),"--")</f>
        <v>--</v>
      </c>
      <c r="V23" s="313" t="str">
        <f>IF(AND(M23="R",O23="NO"),H23*Q23*N23/100,"--")</f>
        <v>--</v>
      </c>
      <c r="W23" s="314" t="str">
        <f>IF(M23="R",H23*Q23*N23/100*ROUND(L23/60,2),"--")</f>
        <v>--</v>
      </c>
      <c r="X23" s="315" t="str">
        <f>IF(M23="RF",H23*Q23*ROUND(L23/60,2),"--")</f>
        <v>--</v>
      </c>
      <c r="Y23" s="316" t="str">
        <f>IF(M23="RR",H23*Q23*N23/100*ROUND(L23/60,2),"--")</f>
        <v>--</v>
      </c>
      <c r="Z23" s="317" t="s">
        <v>248</v>
      </c>
      <c r="AA23" s="16">
        <f>IF(D23="","",(SUM(R23:Y23)*IF(Z23="SI",1,2)*IF(AND(N23&lt;&gt;"--",M23="RF"),N23/100,1)))</f>
        <v>36746.886000000006</v>
      </c>
      <c r="AB23" s="17"/>
    </row>
    <row r="24" spans="1:28" s="5" customFormat="1" ht="16.5" customHeight="1">
      <c r="A24" s="90"/>
      <c r="B24" s="95"/>
      <c r="C24" s="157"/>
      <c r="D24" s="151"/>
      <c r="E24" s="303"/>
      <c r="F24" s="304"/>
      <c r="G24" s="305"/>
      <c r="H24" s="306"/>
      <c r="I24" s="158"/>
      <c r="J24" s="158"/>
      <c r="K24" s="307"/>
      <c r="L24" s="14"/>
      <c r="M24" s="159"/>
      <c r="N24" s="235"/>
      <c r="O24" s="156"/>
      <c r="P24" s="155"/>
      <c r="Q24" s="308"/>
      <c r="R24" s="309"/>
      <c r="S24" s="310"/>
      <c r="T24" s="311"/>
      <c r="U24" s="312"/>
      <c r="V24" s="313"/>
      <c r="W24" s="314"/>
      <c r="X24" s="315"/>
      <c r="Y24" s="316"/>
      <c r="Z24" s="317"/>
      <c r="AA24" s="16"/>
      <c r="AB24" s="17"/>
    </row>
    <row r="25" spans="1:28" s="5" customFormat="1" ht="16.5" customHeight="1">
      <c r="A25" s="90"/>
      <c r="B25" s="95"/>
      <c r="C25" s="289"/>
      <c r="D25" s="151"/>
      <c r="E25" s="303"/>
      <c r="F25" s="304"/>
      <c r="G25" s="305"/>
      <c r="H25" s="306"/>
      <c r="I25" s="158"/>
      <c r="J25" s="158"/>
      <c r="K25" s="307"/>
      <c r="L25" s="14"/>
      <c r="M25" s="159"/>
      <c r="N25" s="235"/>
      <c r="O25" s="156"/>
      <c r="P25" s="155"/>
      <c r="Q25" s="308"/>
      <c r="R25" s="309"/>
      <c r="S25" s="310"/>
      <c r="T25" s="311"/>
      <c r="U25" s="312"/>
      <c r="V25" s="313"/>
      <c r="W25" s="314"/>
      <c r="X25" s="315"/>
      <c r="Y25" s="316"/>
      <c r="Z25" s="317"/>
      <c r="AA25" s="16"/>
      <c r="AB25" s="17"/>
    </row>
    <row r="26" spans="1:28" s="5" customFormat="1" ht="16.5" customHeight="1">
      <c r="A26" s="90"/>
      <c r="B26" s="95"/>
      <c r="C26" s="157"/>
      <c r="D26" s="151"/>
      <c r="E26" s="303"/>
      <c r="F26" s="304"/>
      <c r="G26" s="305"/>
      <c r="H26" s="306"/>
      <c r="I26" s="158"/>
      <c r="J26" s="158"/>
      <c r="K26" s="307"/>
      <c r="L26" s="14"/>
      <c r="M26" s="159"/>
      <c r="N26" s="235"/>
      <c r="O26" s="156"/>
      <c r="P26" s="155"/>
      <c r="Q26" s="308"/>
      <c r="R26" s="309"/>
      <c r="S26" s="310"/>
      <c r="T26" s="311"/>
      <c r="U26" s="312"/>
      <c r="V26" s="313"/>
      <c r="W26" s="314"/>
      <c r="X26" s="315"/>
      <c r="Y26" s="316"/>
      <c r="Z26" s="317"/>
      <c r="AA26" s="16"/>
      <c r="AB26" s="17"/>
    </row>
    <row r="27" spans="1:28" s="5" customFormat="1" ht="16.5" customHeight="1">
      <c r="A27" s="90"/>
      <c r="B27" s="95"/>
      <c r="C27" s="289"/>
      <c r="D27" s="151"/>
      <c r="E27" s="303"/>
      <c r="F27" s="304"/>
      <c r="G27" s="305"/>
      <c r="H27" s="306"/>
      <c r="I27" s="158"/>
      <c r="J27" s="158"/>
      <c r="K27" s="307"/>
      <c r="L27" s="14"/>
      <c r="M27" s="159"/>
      <c r="N27" s="235"/>
      <c r="O27" s="156"/>
      <c r="P27" s="155"/>
      <c r="Q27" s="308"/>
      <c r="R27" s="309"/>
      <c r="S27" s="310"/>
      <c r="T27" s="311"/>
      <c r="U27" s="312"/>
      <c r="V27" s="313"/>
      <c r="W27" s="314"/>
      <c r="X27" s="315"/>
      <c r="Y27" s="316"/>
      <c r="Z27" s="317"/>
      <c r="AA27" s="16"/>
      <c r="AB27" s="17"/>
    </row>
    <row r="28" spans="1:29" s="5" customFormat="1" ht="16.5" customHeight="1">
      <c r="A28" s="90"/>
      <c r="B28" s="95"/>
      <c r="C28" s="157"/>
      <c r="D28" s="151"/>
      <c r="E28" s="303"/>
      <c r="F28" s="304"/>
      <c r="G28" s="305"/>
      <c r="H28" s="306"/>
      <c r="I28" s="158"/>
      <c r="J28" s="158"/>
      <c r="K28" s="307"/>
      <c r="L28" s="14"/>
      <c r="M28" s="159"/>
      <c r="N28" s="235"/>
      <c r="O28" s="156"/>
      <c r="P28" s="155"/>
      <c r="Q28" s="308"/>
      <c r="R28" s="309"/>
      <c r="S28" s="310"/>
      <c r="T28" s="311"/>
      <c r="U28" s="312"/>
      <c r="V28" s="313"/>
      <c r="W28" s="314"/>
      <c r="X28" s="315"/>
      <c r="Y28" s="316"/>
      <c r="Z28" s="317"/>
      <c r="AA28" s="16"/>
      <c r="AB28" s="17"/>
      <c r="AC28" s="15"/>
    </row>
    <row r="29" spans="1:28" s="5" customFormat="1" ht="16.5" customHeight="1">
      <c r="A29" s="90"/>
      <c r="B29" s="95"/>
      <c r="C29" s="289"/>
      <c r="D29" s="151"/>
      <c r="E29" s="303"/>
      <c r="F29" s="304"/>
      <c r="G29" s="305"/>
      <c r="H29" s="306"/>
      <c r="I29" s="158"/>
      <c r="J29" s="158"/>
      <c r="K29" s="307"/>
      <c r="L29" s="14"/>
      <c r="M29" s="159"/>
      <c r="N29" s="235"/>
      <c r="O29" s="156"/>
      <c r="P29" s="155"/>
      <c r="Q29" s="308"/>
      <c r="R29" s="309"/>
      <c r="S29" s="310"/>
      <c r="T29" s="311"/>
      <c r="U29" s="312"/>
      <c r="V29" s="313"/>
      <c r="W29" s="314"/>
      <c r="X29" s="315"/>
      <c r="Y29" s="316"/>
      <c r="Z29" s="317"/>
      <c r="AA29" s="16"/>
      <c r="AB29" s="17"/>
    </row>
    <row r="30" spans="1:28" s="5" customFormat="1" ht="16.5" customHeight="1">
      <c r="A30" s="90"/>
      <c r="B30" s="95"/>
      <c r="C30" s="157"/>
      <c r="D30" s="151"/>
      <c r="E30" s="303"/>
      <c r="F30" s="304"/>
      <c r="G30" s="305"/>
      <c r="H30" s="306"/>
      <c r="I30" s="158"/>
      <c r="J30" s="158"/>
      <c r="K30" s="307"/>
      <c r="L30" s="14"/>
      <c r="M30" s="159"/>
      <c r="N30" s="235"/>
      <c r="O30" s="156"/>
      <c r="P30" s="155"/>
      <c r="Q30" s="308"/>
      <c r="R30" s="309"/>
      <c r="S30" s="310"/>
      <c r="T30" s="311"/>
      <c r="U30" s="312"/>
      <c r="V30" s="313"/>
      <c r="W30" s="314"/>
      <c r="X30" s="315"/>
      <c r="Y30" s="316"/>
      <c r="Z30" s="317"/>
      <c r="AA30" s="16"/>
      <c r="AB30" s="17"/>
    </row>
    <row r="31" spans="1:28" s="5" customFormat="1" ht="16.5" customHeight="1">
      <c r="A31" s="90"/>
      <c r="B31" s="95"/>
      <c r="C31" s="289"/>
      <c r="D31" s="151"/>
      <c r="E31" s="303"/>
      <c r="F31" s="304"/>
      <c r="G31" s="305"/>
      <c r="H31" s="306"/>
      <c r="I31" s="158"/>
      <c r="J31" s="158"/>
      <c r="K31" s="307"/>
      <c r="L31" s="14"/>
      <c r="M31" s="159"/>
      <c r="N31" s="235"/>
      <c r="O31" s="156"/>
      <c r="P31" s="155"/>
      <c r="Q31" s="308"/>
      <c r="R31" s="309"/>
      <c r="S31" s="310"/>
      <c r="T31" s="311"/>
      <c r="U31" s="312"/>
      <c r="V31" s="313"/>
      <c r="W31" s="314"/>
      <c r="X31" s="315"/>
      <c r="Y31" s="316"/>
      <c r="Z31" s="317"/>
      <c r="AA31" s="16"/>
      <c r="AB31" s="17"/>
    </row>
    <row r="32" spans="1:28" s="5" customFormat="1" ht="16.5" customHeight="1">
      <c r="A32" s="90"/>
      <c r="B32" s="95"/>
      <c r="C32" s="157"/>
      <c r="D32" s="151"/>
      <c r="E32" s="319"/>
      <c r="F32" s="304"/>
      <c r="G32" s="305"/>
      <c r="H32" s="306"/>
      <c r="I32" s="158"/>
      <c r="J32" s="158"/>
      <c r="K32" s="307"/>
      <c r="L32" s="14"/>
      <c r="M32" s="159"/>
      <c r="N32" s="235"/>
      <c r="O32" s="156"/>
      <c r="P32" s="155"/>
      <c r="Q32" s="308"/>
      <c r="R32" s="309"/>
      <c r="S32" s="310"/>
      <c r="T32" s="311"/>
      <c r="U32" s="312"/>
      <c r="V32" s="313"/>
      <c r="W32" s="314"/>
      <c r="X32" s="315"/>
      <c r="Y32" s="316"/>
      <c r="Z32" s="317"/>
      <c r="AA32" s="16"/>
      <c r="AB32" s="17"/>
    </row>
    <row r="33" spans="1:28" s="5" customFormat="1" ht="16.5" customHeight="1">
      <c r="A33" s="90"/>
      <c r="B33" s="95"/>
      <c r="C33" s="289"/>
      <c r="D33" s="151"/>
      <c r="E33" s="319"/>
      <c r="F33" s="304"/>
      <c r="G33" s="305"/>
      <c r="H33" s="306"/>
      <c r="I33" s="158"/>
      <c r="J33" s="158"/>
      <c r="K33" s="307"/>
      <c r="L33" s="14"/>
      <c r="M33" s="159"/>
      <c r="N33" s="235"/>
      <c r="O33" s="156"/>
      <c r="P33" s="155"/>
      <c r="Q33" s="308"/>
      <c r="R33" s="309"/>
      <c r="S33" s="310"/>
      <c r="T33" s="311"/>
      <c r="U33" s="312"/>
      <c r="V33" s="313"/>
      <c r="W33" s="314"/>
      <c r="X33" s="315"/>
      <c r="Y33" s="316"/>
      <c r="Z33" s="317"/>
      <c r="AA33" s="16"/>
      <c r="AB33" s="17"/>
    </row>
    <row r="34" spans="1:28" s="5" customFormat="1" ht="16.5" customHeight="1">
      <c r="A34" s="90"/>
      <c r="B34" s="95"/>
      <c r="C34" s="157"/>
      <c r="D34" s="151"/>
      <c r="E34" s="319"/>
      <c r="F34" s="304"/>
      <c r="G34" s="305"/>
      <c r="H34" s="306"/>
      <c r="I34" s="158"/>
      <c r="J34" s="158"/>
      <c r="K34" s="307"/>
      <c r="L34" s="14"/>
      <c r="M34" s="159"/>
      <c r="N34" s="235"/>
      <c r="O34" s="155"/>
      <c r="P34" s="155"/>
      <c r="Q34" s="308"/>
      <c r="R34" s="309"/>
      <c r="S34" s="310"/>
      <c r="T34" s="311"/>
      <c r="U34" s="312"/>
      <c r="V34" s="313"/>
      <c r="W34" s="314"/>
      <c r="X34" s="315"/>
      <c r="Y34" s="316"/>
      <c r="Z34" s="317"/>
      <c r="AA34" s="16"/>
      <c r="AB34" s="17"/>
    </row>
    <row r="35" spans="1:28" s="5" customFormat="1" ht="16.5" customHeight="1">
      <c r="A35" s="90"/>
      <c r="B35" s="95"/>
      <c r="C35" s="289"/>
      <c r="D35" s="151"/>
      <c r="E35" s="319"/>
      <c r="F35" s="304"/>
      <c r="G35" s="305"/>
      <c r="H35" s="306"/>
      <c r="I35" s="158"/>
      <c r="J35" s="158"/>
      <c r="K35" s="307"/>
      <c r="L35" s="14"/>
      <c r="M35" s="159"/>
      <c r="N35" s="235"/>
      <c r="O35" s="156"/>
      <c r="P35" s="155"/>
      <c r="Q35" s="308"/>
      <c r="R35" s="309"/>
      <c r="S35" s="310"/>
      <c r="T35" s="311"/>
      <c r="U35" s="312"/>
      <c r="V35" s="313"/>
      <c r="W35" s="314"/>
      <c r="X35" s="315"/>
      <c r="Y35" s="316"/>
      <c r="Z35" s="317"/>
      <c r="AA35" s="16"/>
      <c r="AB35" s="17"/>
    </row>
    <row r="36" spans="1:28" s="5" customFormat="1" ht="16.5" customHeight="1">
      <c r="A36" s="90"/>
      <c r="B36" s="95"/>
      <c r="C36" s="157"/>
      <c r="D36" s="151"/>
      <c r="E36" s="319"/>
      <c r="F36" s="304"/>
      <c r="G36" s="305"/>
      <c r="H36" s="306"/>
      <c r="I36" s="158"/>
      <c r="J36" s="158"/>
      <c r="K36" s="307"/>
      <c r="L36" s="14"/>
      <c r="M36" s="159"/>
      <c r="N36" s="235"/>
      <c r="O36" s="156"/>
      <c r="P36" s="155"/>
      <c r="Q36" s="308"/>
      <c r="R36" s="309"/>
      <c r="S36" s="310"/>
      <c r="T36" s="311"/>
      <c r="U36" s="312"/>
      <c r="V36" s="313"/>
      <c r="W36" s="314"/>
      <c r="X36" s="315"/>
      <c r="Y36" s="316"/>
      <c r="Z36" s="317"/>
      <c r="AA36" s="16"/>
      <c r="AB36" s="17"/>
    </row>
    <row r="37" spans="1:28" s="5" customFormat="1" ht="16.5" customHeight="1">
      <c r="A37" s="90"/>
      <c r="B37" s="95"/>
      <c r="C37" s="289"/>
      <c r="D37" s="151"/>
      <c r="E37" s="319"/>
      <c r="F37" s="304"/>
      <c r="G37" s="305"/>
      <c r="H37" s="306"/>
      <c r="I37" s="158"/>
      <c r="J37" s="158"/>
      <c r="K37" s="307"/>
      <c r="L37" s="14"/>
      <c r="M37" s="159"/>
      <c r="N37" s="235"/>
      <c r="O37" s="156"/>
      <c r="P37" s="155"/>
      <c r="Q37" s="308"/>
      <c r="R37" s="309"/>
      <c r="S37" s="310"/>
      <c r="T37" s="311"/>
      <c r="U37" s="312"/>
      <c r="V37" s="313"/>
      <c r="W37" s="314"/>
      <c r="X37" s="315"/>
      <c r="Y37" s="316"/>
      <c r="Z37" s="317"/>
      <c r="AA37" s="16"/>
      <c r="AB37" s="17"/>
    </row>
    <row r="38" spans="1:28" s="5" customFormat="1" ht="16.5" customHeight="1">
      <c r="A38" s="90"/>
      <c r="B38" s="95"/>
      <c r="C38" s="157"/>
      <c r="D38" s="151"/>
      <c r="E38" s="319"/>
      <c r="F38" s="304"/>
      <c r="G38" s="305"/>
      <c r="H38" s="306"/>
      <c r="I38" s="158"/>
      <c r="J38" s="158"/>
      <c r="K38" s="307"/>
      <c r="L38" s="14"/>
      <c r="M38" s="159"/>
      <c r="N38" s="235"/>
      <c r="O38" s="156"/>
      <c r="P38" s="155"/>
      <c r="Q38" s="308"/>
      <c r="R38" s="309"/>
      <c r="S38" s="310"/>
      <c r="T38" s="311"/>
      <c r="U38" s="312"/>
      <c r="V38" s="313"/>
      <c r="W38" s="314"/>
      <c r="X38" s="315"/>
      <c r="Y38" s="316"/>
      <c r="Z38" s="317"/>
      <c r="AA38" s="16"/>
      <c r="AB38" s="17"/>
    </row>
    <row r="39" spans="1:28" s="5" customFormat="1" ht="16.5" customHeight="1">
      <c r="A39" s="90"/>
      <c r="B39" s="95"/>
      <c r="C39" s="289"/>
      <c r="D39" s="151"/>
      <c r="E39" s="319"/>
      <c r="F39" s="304"/>
      <c r="G39" s="305"/>
      <c r="H39" s="306"/>
      <c r="I39" s="158"/>
      <c r="J39" s="158"/>
      <c r="K39" s="307"/>
      <c r="L39" s="14"/>
      <c r="M39" s="159"/>
      <c r="N39" s="235"/>
      <c r="O39" s="156"/>
      <c r="P39" s="155"/>
      <c r="Q39" s="308"/>
      <c r="R39" s="309"/>
      <c r="S39" s="310"/>
      <c r="T39" s="311"/>
      <c r="U39" s="312"/>
      <c r="V39" s="313"/>
      <c r="W39" s="314"/>
      <c r="X39" s="315"/>
      <c r="Y39" s="316"/>
      <c r="Z39" s="317"/>
      <c r="AA39" s="16"/>
      <c r="AB39" s="17"/>
    </row>
    <row r="40" spans="1:28" s="5" customFormat="1" ht="16.5" customHeight="1">
      <c r="A40" s="90"/>
      <c r="B40" s="95"/>
      <c r="C40" s="157"/>
      <c r="D40" s="151"/>
      <c r="E40" s="319"/>
      <c r="F40" s="304"/>
      <c r="G40" s="305"/>
      <c r="H40" s="306"/>
      <c r="I40" s="158"/>
      <c r="J40" s="158"/>
      <c r="K40" s="307"/>
      <c r="L40" s="14"/>
      <c r="M40" s="159"/>
      <c r="N40" s="235"/>
      <c r="O40" s="156"/>
      <c r="P40" s="155"/>
      <c r="Q40" s="308"/>
      <c r="R40" s="309"/>
      <c r="S40" s="310"/>
      <c r="T40" s="311"/>
      <c r="U40" s="312"/>
      <c r="V40" s="313"/>
      <c r="W40" s="314"/>
      <c r="X40" s="315"/>
      <c r="Y40" s="316"/>
      <c r="Z40" s="317"/>
      <c r="AA40" s="16"/>
      <c r="AB40" s="17"/>
    </row>
    <row r="41" spans="1:28" s="5" customFormat="1" ht="16.5" customHeight="1">
      <c r="A41" s="90"/>
      <c r="B41" s="95"/>
      <c r="C41" s="289"/>
      <c r="D41" s="151"/>
      <c r="E41" s="319"/>
      <c r="F41" s="304"/>
      <c r="G41" s="305"/>
      <c r="H41" s="306">
        <f>F41*$F$16</f>
        <v>0</v>
      </c>
      <c r="I41" s="158"/>
      <c r="J41" s="158"/>
      <c r="K41" s="307">
        <f>IF(D41="","",(J41-I41)*24)</f>
      </c>
      <c r="L41" s="14">
        <f>IF(D41="","",ROUND((J41-I41)*24*60,0))</f>
      </c>
      <c r="M41" s="159"/>
      <c r="N41" s="235">
        <f>IF(D41="","","--")</f>
      </c>
      <c r="O41" s="156">
        <f>IF(D41="","",IF(OR(M41="P",M41="RP"),"--","NO"))</f>
      </c>
      <c r="P41" s="155">
        <f>IF(D41="","","NO")</f>
      </c>
      <c r="Q41" s="308">
        <f>$F$17*IF(OR(M41="P",M41="RP"),0.1,1)*IF(P41="SI",1,0.1)</f>
        <v>20</v>
      </c>
      <c r="R41" s="309" t="str">
        <f>IF(M41="P",H41*Q41*ROUND(L41/60,2),"--")</f>
        <v>--</v>
      </c>
      <c r="S41" s="310" t="str">
        <f>IF(M41="RP",H41*Q41*N41/100*ROUND(L41/60,2),"--")</f>
        <v>--</v>
      </c>
      <c r="T41" s="311" t="str">
        <f>IF(AND(M41="F",O41="NO"),H41*Q41,"--")</f>
        <v>--</v>
      </c>
      <c r="U41" s="312" t="str">
        <f>IF(M41="F",H41*Q41*ROUND(L41/60,2),"--")</f>
        <v>--</v>
      </c>
      <c r="V41" s="313" t="str">
        <f>IF(AND(M41="R",O41="NO"),H41*Q41*N41/100,"--")</f>
        <v>--</v>
      </c>
      <c r="W41" s="314" t="str">
        <f>IF(M41="R",H41*Q41*N41/100*ROUND(L41/60,2),"--")</f>
        <v>--</v>
      </c>
      <c r="X41" s="315" t="str">
        <f>IF(M41="RF",H41*Q41*ROUND(L41/60,2),"--")</f>
        <v>--</v>
      </c>
      <c r="Y41" s="316" t="str">
        <f>IF(M41="RR",H41*Q41*N41/100*ROUND(L41/60,2),"--")</f>
        <v>--</v>
      </c>
      <c r="Z41" s="317">
        <f>IF(D41="","","SI")</f>
      </c>
      <c r="AA41" s="16">
        <f>IF(D41="","",(SUM(R41:Y41)*IF(Z41="SI",1,2)*IF(AND(N41&lt;&gt;"--",M41="RF"),N41/100,1)))</f>
      </c>
      <c r="AB41" s="17"/>
    </row>
    <row r="42" spans="1:28" s="5" customFormat="1" ht="16.5" customHeight="1" thickBot="1">
      <c r="A42" s="90"/>
      <c r="B42" s="95"/>
      <c r="C42" s="157"/>
      <c r="D42" s="320"/>
      <c r="E42" s="321"/>
      <c r="F42" s="320"/>
      <c r="G42" s="322"/>
      <c r="H42" s="132"/>
      <c r="I42" s="160"/>
      <c r="J42" s="323"/>
      <c r="K42" s="324"/>
      <c r="L42" s="325"/>
      <c r="M42" s="165"/>
      <c r="N42" s="197"/>
      <c r="O42" s="163"/>
      <c r="P42" s="165"/>
      <c r="Q42" s="326"/>
      <c r="R42" s="327"/>
      <c r="S42" s="328"/>
      <c r="T42" s="329"/>
      <c r="U42" s="330"/>
      <c r="V42" s="331"/>
      <c r="W42" s="332"/>
      <c r="X42" s="333"/>
      <c r="Y42" s="334"/>
      <c r="Z42" s="335"/>
      <c r="AA42" s="336"/>
      <c r="AB42" s="17"/>
    </row>
    <row r="43" spans="1:28" s="5" customFormat="1" ht="16.5" customHeight="1" thickBot="1" thickTop="1">
      <c r="A43" s="90"/>
      <c r="B43" s="95"/>
      <c r="C43" s="128" t="s">
        <v>25</v>
      </c>
      <c r="D43" s="129" t="s">
        <v>367</v>
      </c>
      <c r="E43" s="15"/>
      <c r="F43" s="15"/>
      <c r="G43" s="15"/>
      <c r="H43" s="15"/>
      <c r="I43" s="15"/>
      <c r="J43" s="99"/>
      <c r="K43" s="15"/>
      <c r="L43" s="15"/>
      <c r="M43" s="15"/>
      <c r="N43" s="15"/>
      <c r="O43" s="15"/>
      <c r="P43" s="15"/>
      <c r="Q43" s="15"/>
      <c r="R43" s="337">
        <f aca="true" t="shared" si="0" ref="R43:Y43">SUM(R20:R42)</f>
        <v>36746.886000000006</v>
      </c>
      <c r="S43" s="338">
        <f t="shared" si="0"/>
        <v>0</v>
      </c>
      <c r="T43" s="339">
        <f t="shared" si="0"/>
        <v>0</v>
      </c>
      <c r="U43" s="340">
        <f t="shared" si="0"/>
        <v>0</v>
      </c>
      <c r="V43" s="341">
        <f t="shared" si="0"/>
        <v>0</v>
      </c>
      <c r="W43" s="342">
        <f t="shared" si="0"/>
        <v>0</v>
      </c>
      <c r="X43" s="343">
        <f t="shared" si="0"/>
        <v>321532.86000000004</v>
      </c>
      <c r="Y43" s="344">
        <f t="shared" si="0"/>
        <v>0</v>
      </c>
      <c r="Z43" s="90"/>
      <c r="AA43" s="345">
        <f>ROUND(SUM(AA20:AA42),2)</f>
        <v>358279.75</v>
      </c>
      <c r="AB43" s="17"/>
    </row>
    <row r="44" spans="1:28" s="5" customFormat="1" ht="16.5" customHeight="1" thickBot="1" thickTop="1">
      <c r="A44" s="90"/>
      <c r="B44" s="102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4"/>
    </row>
    <row r="45" spans="1:29" ht="16.5" customHeight="1" thickTop="1">
      <c r="A45" s="2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</row>
    <row r="46" spans="1:29" ht="16.5" customHeight="1">
      <c r="A46" s="2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</row>
    <row r="47" spans="1:29" ht="16.5" customHeight="1">
      <c r="A47" s="2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</row>
    <row r="48" spans="1:29" ht="16.5" customHeight="1">
      <c r="A48" s="2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</row>
    <row r="49" spans="4:29" ht="16.5" customHeight="1"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</row>
    <row r="50" spans="4:29" ht="16.5" customHeight="1"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</row>
    <row r="51" spans="4:29" ht="16.5" customHeight="1"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</row>
    <row r="52" spans="4:29" ht="16.5" customHeight="1"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</row>
    <row r="53" spans="4:29" ht="16.5" customHeight="1"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</row>
    <row r="54" spans="4:29" ht="16.5" customHeight="1"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</row>
    <row r="55" spans="4:29" ht="16.5" customHeight="1"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</row>
    <row r="56" spans="4:29" ht="16.5" customHeight="1"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</row>
    <row r="57" spans="4:29" ht="16.5" customHeight="1"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</row>
    <row r="58" spans="4:29" ht="16.5" customHeight="1"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</row>
    <row r="59" spans="4:29" ht="16.5" customHeight="1"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</row>
    <row r="60" spans="4:29" ht="16.5" customHeight="1"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</row>
    <row r="61" spans="4:29" ht="16.5" customHeight="1"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</row>
    <row r="62" spans="4:29" ht="16.5" customHeight="1"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</row>
    <row r="63" spans="4:29" ht="16.5" customHeight="1"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</row>
    <row r="64" spans="4:29" ht="16.5" customHeight="1"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</row>
    <row r="65" spans="4:29" ht="16.5" customHeight="1"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</row>
    <row r="66" spans="4:29" ht="16.5" customHeight="1"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</row>
    <row r="67" spans="4:29" ht="16.5" customHeight="1"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</row>
    <row r="68" spans="4:29" ht="16.5" customHeight="1"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</row>
    <row r="69" spans="4:29" ht="16.5" customHeight="1"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</row>
    <row r="70" spans="4:29" ht="16.5" customHeight="1"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</row>
    <row r="71" spans="4:29" ht="16.5" customHeight="1"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179"/>
      <c r="AC71" s="179"/>
    </row>
    <row r="72" spans="4:29" ht="16.5" customHeight="1"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</row>
    <row r="73" spans="4:29" ht="16.5" customHeight="1"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  <c r="AB73" s="179"/>
      <c r="AC73" s="179"/>
    </row>
    <row r="74" spans="4:29" ht="16.5" customHeight="1"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179"/>
    </row>
    <row r="75" spans="4:29" ht="16.5" customHeight="1"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79"/>
      <c r="AB75" s="179"/>
      <c r="AC75" s="179"/>
    </row>
    <row r="76" spans="4:29" ht="16.5" customHeight="1"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</row>
    <row r="77" spans="4:29" ht="16.5" customHeight="1"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  <c r="AA77" s="179"/>
      <c r="AB77" s="179"/>
      <c r="AC77" s="179"/>
    </row>
    <row r="78" spans="4:29" ht="16.5" customHeight="1"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</row>
    <row r="79" spans="4:29" ht="16.5" customHeight="1"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</row>
    <row r="80" spans="4:29" ht="16.5" customHeight="1"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  <c r="AA80" s="179"/>
      <c r="AB80" s="179"/>
      <c r="AC80" s="179"/>
    </row>
    <row r="81" spans="4:29" ht="16.5" customHeight="1"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  <c r="AA81" s="179"/>
      <c r="AB81" s="179"/>
      <c r="AC81" s="179"/>
    </row>
    <row r="82" spans="4:29" ht="16.5" customHeight="1"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  <c r="Z82" s="179"/>
      <c r="AA82" s="179"/>
      <c r="AB82" s="179"/>
      <c r="AC82" s="179"/>
    </row>
    <row r="83" spans="4:29" ht="16.5" customHeight="1"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79"/>
      <c r="AA83" s="179"/>
      <c r="AB83" s="179"/>
      <c r="AC83" s="179"/>
    </row>
    <row r="84" spans="4:29" ht="16.5" customHeight="1"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  <c r="T84" s="179"/>
      <c r="U84" s="179"/>
      <c r="V84" s="179"/>
      <c r="W84" s="179"/>
      <c r="X84" s="179"/>
      <c r="Y84" s="179"/>
      <c r="Z84" s="179"/>
      <c r="AA84" s="179"/>
      <c r="AB84" s="179"/>
      <c r="AC84" s="179"/>
    </row>
    <row r="85" spans="4:29" ht="16.5" customHeight="1"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  <c r="AB85" s="179"/>
      <c r="AC85" s="179"/>
    </row>
    <row r="86" spans="4:29" ht="16.5" customHeight="1"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  <c r="W86" s="179"/>
      <c r="X86" s="179"/>
      <c r="Y86" s="179"/>
      <c r="Z86" s="179"/>
      <c r="AA86" s="179"/>
      <c r="AB86" s="179"/>
      <c r="AC86" s="179"/>
    </row>
    <row r="87" spans="4:29" ht="16.5" customHeight="1"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</row>
    <row r="88" spans="4:29" ht="16.5" customHeight="1"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79"/>
      <c r="X88" s="179"/>
      <c r="Y88" s="179"/>
      <c r="Z88" s="179"/>
      <c r="AA88" s="179"/>
      <c r="AB88" s="179"/>
      <c r="AC88" s="179"/>
    </row>
    <row r="89" spans="4:29" ht="16.5" customHeight="1"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  <c r="AA89" s="179"/>
      <c r="AB89" s="179"/>
      <c r="AC89" s="179"/>
    </row>
    <row r="90" spans="4:29" ht="16.5" customHeight="1"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  <c r="X90" s="179"/>
      <c r="Y90" s="179"/>
      <c r="Z90" s="179"/>
      <c r="AA90" s="179"/>
      <c r="AB90" s="179"/>
      <c r="AC90" s="179"/>
    </row>
    <row r="91" spans="4:29" ht="16.5" customHeight="1"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79"/>
      <c r="Z91" s="179"/>
      <c r="AA91" s="179"/>
      <c r="AB91" s="179"/>
      <c r="AC91" s="179"/>
    </row>
    <row r="92" spans="4:29" ht="16.5" customHeight="1"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  <c r="AB92" s="179"/>
      <c r="AC92" s="179"/>
    </row>
    <row r="93" spans="4:29" ht="16.5" customHeight="1"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  <c r="X93" s="179"/>
      <c r="Y93" s="179"/>
      <c r="Z93" s="179"/>
      <c r="AA93" s="179"/>
      <c r="AB93" s="179"/>
      <c r="AC93" s="179"/>
    </row>
    <row r="94" spans="4:29" ht="16.5" customHeight="1"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9"/>
      <c r="Z94" s="179"/>
      <c r="AA94" s="179"/>
      <c r="AB94" s="179"/>
      <c r="AC94" s="179"/>
    </row>
    <row r="95" spans="4:29" ht="16.5" customHeight="1"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  <c r="X95" s="179"/>
      <c r="Y95" s="179"/>
      <c r="Z95" s="179"/>
      <c r="AA95" s="179"/>
      <c r="AB95" s="179"/>
      <c r="AC95" s="179"/>
    </row>
    <row r="96" spans="4:29" ht="16.5" customHeight="1"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79"/>
      <c r="AA96" s="179"/>
      <c r="AB96" s="179"/>
      <c r="AC96" s="179"/>
    </row>
    <row r="97" spans="4:29" ht="16.5" customHeight="1"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  <c r="Z97" s="179"/>
      <c r="AA97" s="179"/>
      <c r="AB97" s="179"/>
      <c r="AC97" s="179"/>
    </row>
    <row r="98" spans="4:29" ht="16.5" customHeight="1"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  <c r="S98" s="179"/>
      <c r="T98" s="179"/>
      <c r="U98" s="179"/>
      <c r="V98" s="179"/>
      <c r="W98" s="179"/>
      <c r="X98" s="179"/>
      <c r="Y98" s="179"/>
      <c r="Z98" s="179"/>
      <c r="AA98" s="179"/>
      <c r="AB98" s="179"/>
      <c r="AC98" s="179"/>
    </row>
    <row r="99" spans="4:29" ht="16.5" customHeight="1"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  <c r="S99" s="179"/>
      <c r="T99" s="179"/>
      <c r="U99" s="179"/>
      <c r="V99" s="179"/>
      <c r="W99" s="179"/>
      <c r="X99" s="179"/>
      <c r="Y99" s="179"/>
      <c r="Z99" s="179"/>
      <c r="AA99" s="179"/>
      <c r="AB99" s="179"/>
      <c r="AC99" s="179"/>
    </row>
    <row r="100" spans="4:29" ht="16.5" customHeight="1"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179"/>
      <c r="U100" s="179"/>
      <c r="V100" s="179"/>
      <c r="W100" s="179"/>
      <c r="X100" s="179"/>
      <c r="Y100" s="179"/>
      <c r="Z100" s="179"/>
      <c r="AA100" s="179"/>
      <c r="AB100" s="179"/>
      <c r="AC100" s="179"/>
    </row>
    <row r="101" spans="4:29" ht="16.5" customHeight="1"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  <c r="S101" s="179"/>
      <c r="T101" s="179"/>
      <c r="U101" s="179"/>
      <c r="V101" s="179"/>
      <c r="W101" s="179"/>
      <c r="X101" s="179"/>
      <c r="Y101" s="179"/>
      <c r="Z101" s="179"/>
      <c r="AA101" s="179"/>
      <c r="AB101" s="179"/>
      <c r="AC101" s="179"/>
    </row>
    <row r="102" spans="4:29" ht="16.5" customHeight="1"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179"/>
      <c r="Y102" s="179"/>
      <c r="Z102" s="179"/>
      <c r="AA102" s="179"/>
      <c r="AB102" s="179"/>
      <c r="AC102" s="179"/>
    </row>
    <row r="103" spans="4:29" ht="16.5" customHeight="1"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  <c r="S103" s="179"/>
      <c r="T103" s="179"/>
      <c r="U103" s="179"/>
      <c r="V103" s="179"/>
      <c r="W103" s="179"/>
      <c r="X103" s="179"/>
      <c r="Y103" s="179"/>
      <c r="Z103" s="179"/>
      <c r="AA103" s="179"/>
      <c r="AB103" s="179"/>
      <c r="AC103" s="179"/>
    </row>
    <row r="104" spans="4:29" ht="16.5" customHeight="1"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179"/>
      <c r="U104" s="179"/>
      <c r="V104" s="179"/>
      <c r="W104" s="179"/>
      <c r="X104" s="179"/>
      <c r="Y104" s="179"/>
      <c r="Z104" s="179"/>
      <c r="AA104" s="179"/>
      <c r="AB104" s="179"/>
      <c r="AC104" s="179"/>
    </row>
    <row r="105" spans="4:29" ht="16.5" customHeight="1"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  <c r="S105" s="179"/>
      <c r="T105" s="179"/>
      <c r="U105" s="179"/>
      <c r="V105" s="179"/>
      <c r="W105" s="179"/>
      <c r="X105" s="179"/>
      <c r="Y105" s="179"/>
      <c r="Z105" s="179"/>
      <c r="AA105" s="179"/>
      <c r="AB105" s="179"/>
      <c r="AC105" s="179"/>
    </row>
    <row r="106" spans="4:29" ht="16.5" customHeight="1"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T106" s="179"/>
      <c r="U106" s="179"/>
      <c r="V106" s="179"/>
      <c r="W106" s="179"/>
      <c r="X106" s="179"/>
      <c r="Y106" s="179"/>
      <c r="Z106" s="179"/>
      <c r="AA106" s="179"/>
      <c r="AB106" s="179"/>
      <c r="AC106" s="179"/>
    </row>
    <row r="107" spans="4:29" ht="16.5" customHeight="1"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  <c r="S107" s="179"/>
      <c r="T107" s="179"/>
      <c r="U107" s="179"/>
      <c r="V107" s="179"/>
      <c r="W107" s="179"/>
      <c r="X107" s="179"/>
      <c r="Y107" s="179"/>
      <c r="Z107" s="179"/>
      <c r="AA107" s="179"/>
      <c r="AB107" s="179"/>
      <c r="AC107" s="179"/>
    </row>
    <row r="108" spans="4:29" ht="16.5" customHeight="1"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  <c r="S108" s="179"/>
      <c r="T108" s="179"/>
      <c r="U108" s="179"/>
      <c r="V108" s="179"/>
      <c r="W108" s="179"/>
      <c r="X108" s="179"/>
      <c r="Y108" s="179"/>
      <c r="Z108" s="179"/>
      <c r="AA108" s="179"/>
      <c r="AB108" s="179"/>
      <c r="AC108" s="179"/>
    </row>
    <row r="109" spans="4:29" ht="16.5" customHeight="1"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  <c r="S109" s="179"/>
      <c r="T109" s="179"/>
      <c r="U109" s="179"/>
      <c r="V109" s="179"/>
      <c r="W109" s="179"/>
      <c r="X109" s="179"/>
      <c r="Y109" s="179"/>
      <c r="Z109" s="179"/>
      <c r="AA109" s="179"/>
      <c r="AB109" s="179"/>
      <c r="AC109" s="179"/>
    </row>
    <row r="110" spans="4:29" ht="16.5" customHeight="1"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  <c r="S110" s="179"/>
      <c r="T110" s="179"/>
      <c r="U110" s="179"/>
      <c r="V110" s="179"/>
      <c r="W110" s="179"/>
      <c r="X110" s="179"/>
      <c r="Y110" s="179"/>
      <c r="Z110" s="179"/>
      <c r="AA110" s="179"/>
      <c r="AB110" s="179"/>
      <c r="AC110" s="179"/>
    </row>
    <row r="111" spans="4:29" ht="16.5" customHeight="1"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  <c r="S111" s="179"/>
      <c r="T111" s="179"/>
      <c r="U111" s="179"/>
      <c r="V111" s="179"/>
      <c r="W111" s="179"/>
      <c r="X111" s="179"/>
      <c r="Y111" s="179"/>
      <c r="Z111" s="179"/>
      <c r="AA111" s="179"/>
      <c r="AB111" s="179"/>
      <c r="AC111" s="179"/>
    </row>
    <row r="112" spans="4:29" ht="16.5" customHeight="1"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  <c r="S112" s="179"/>
      <c r="T112" s="179"/>
      <c r="U112" s="179"/>
      <c r="V112" s="179"/>
      <c r="W112" s="179"/>
      <c r="X112" s="179"/>
      <c r="Y112" s="179"/>
      <c r="Z112" s="179"/>
      <c r="AA112" s="179"/>
      <c r="AB112" s="179"/>
      <c r="AC112" s="179"/>
    </row>
    <row r="113" spans="4:29" ht="16.5" customHeight="1"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  <c r="S113" s="179"/>
      <c r="T113" s="179"/>
      <c r="U113" s="179"/>
      <c r="V113" s="179"/>
      <c r="W113" s="179"/>
      <c r="X113" s="179"/>
      <c r="Y113" s="179"/>
      <c r="Z113" s="179"/>
      <c r="AA113" s="179"/>
      <c r="AB113" s="179"/>
      <c r="AC113" s="179"/>
    </row>
    <row r="114" spans="4:29" ht="16.5" customHeight="1"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  <c r="S114" s="179"/>
      <c r="T114" s="179"/>
      <c r="U114" s="179"/>
      <c r="V114" s="179"/>
      <c r="W114" s="179"/>
      <c r="X114" s="179"/>
      <c r="Y114" s="179"/>
      <c r="Z114" s="179"/>
      <c r="AA114" s="179"/>
      <c r="AB114" s="179"/>
      <c r="AC114" s="179"/>
    </row>
    <row r="115" spans="4:29" ht="16.5" customHeight="1"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  <c r="S115" s="179"/>
      <c r="T115" s="179"/>
      <c r="U115" s="179"/>
      <c r="V115" s="179"/>
      <c r="W115" s="179"/>
      <c r="X115" s="179"/>
      <c r="Y115" s="179"/>
      <c r="Z115" s="179"/>
      <c r="AA115" s="179"/>
      <c r="AB115" s="179"/>
      <c r="AC115" s="179"/>
    </row>
    <row r="116" spans="4:29" ht="16.5" customHeight="1"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  <c r="S116" s="179"/>
      <c r="T116" s="179"/>
      <c r="U116" s="179"/>
      <c r="V116" s="179"/>
      <c r="W116" s="179"/>
      <c r="X116" s="179"/>
      <c r="Y116" s="179"/>
      <c r="Z116" s="179"/>
      <c r="AA116" s="179"/>
      <c r="AB116" s="179"/>
      <c r="AC116" s="179"/>
    </row>
    <row r="117" spans="4:29" ht="16.5" customHeight="1"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  <c r="S117" s="179"/>
      <c r="T117" s="179"/>
      <c r="U117" s="179"/>
      <c r="V117" s="179"/>
      <c r="W117" s="179"/>
      <c r="X117" s="179"/>
      <c r="Y117" s="179"/>
      <c r="Z117" s="179"/>
      <c r="AA117" s="179"/>
      <c r="AB117" s="179"/>
      <c r="AC117" s="179"/>
    </row>
    <row r="118" spans="4:29" ht="16.5" customHeight="1"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  <c r="S118" s="179"/>
      <c r="T118" s="179"/>
      <c r="U118" s="179"/>
      <c r="V118" s="179"/>
      <c r="W118" s="179"/>
      <c r="X118" s="179"/>
      <c r="Y118" s="179"/>
      <c r="Z118" s="179"/>
      <c r="AA118" s="179"/>
      <c r="AB118" s="179"/>
      <c r="AC118" s="179"/>
    </row>
    <row r="119" spans="4:29" ht="16.5" customHeight="1"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  <c r="S119" s="179"/>
      <c r="T119" s="179"/>
      <c r="U119" s="179"/>
      <c r="V119" s="179"/>
      <c r="W119" s="179"/>
      <c r="X119" s="179"/>
      <c r="Y119" s="179"/>
      <c r="Z119" s="179"/>
      <c r="AA119" s="179"/>
      <c r="AB119" s="179"/>
      <c r="AC119" s="179"/>
    </row>
    <row r="120" spans="4:29" ht="16.5" customHeight="1"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  <c r="S120" s="179"/>
      <c r="T120" s="179"/>
      <c r="U120" s="179"/>
      <c r="V120" s="179"/>
      <c r="W120" s="179"/>
      <c r="X120" s="179"/>
      <c r="Y120" s="179"/>
      <c r="Z120" s="179"/>
      <c r="AA120" s="179"/>
      <c r="AB120" s="179"/>
      <c r="AC120" s="179"/>
    </row>
    <row r="121" spans="4:29" ht="16.5" customHeight="1"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  <c r="S121" s="179"/>
      <c r="T121" s="179"/>
      <c r="U121" s="179"/>
      <c r="V121" s="179"/>
      <c r="W121" s="179"/>
      <c r="X121" s="179"/>
      <c r="Y121" s="179"/>
      <c r="Z121" s="179"/>
      <c r="AA121" s="179"/>
      <c r="AB121" s="179"/>
      <c r="AC121" s="179"/>
    </row>
    <row r="122" spans="4:29" ht="16.5" customHeight="1"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  <c r="S122" s="179"/>
      <c r="T122" s="179"/>
      <c r="U122" s="179"/>
      <c r="V122" s="179"/>
      <c r="W122" s="179"/>
      <c r="X122" s="179"/>
      <c r="Y122" s="179"/>
      <c r="Z122" s="179"/>
      <c r="AA122" s="179"/>
      <c r="AB122" s="179"/>
      <c r="AC122" s="179"/>
    </row>
    <row r="123" spans="4:29" ht="16.5" customHeight="1"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  <c r="S123" s="179"/>
      <c r="T123" s="179"/>
      <c r="U123" s="179"/>
      <c r="V123" s="179"/>
      <c r="W123" s="179"/>
      <c r="X123" s="179"/>
      <c r="Y123" s="179"/>
      <c r="Z123" s="179"/>
      <c r="AA123" s="179"/>
      <c r="AB123" s="179"/>
      <c r="AC123" s="179"/>
    </row>
    <row r="124" spans="4:29" ht="16.5" customHeight="1"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  <c r="S124" s="179"/>
      <c r="T124" s="179"/>
      <c r="U124" s="179"/>
      <c r="V124" s="179"/>
      <c r="W124" s="179"/>
      <c r="X124" s="179"/>
      <c r="Y124" s="179"/>
      <c r="Z124" s="179"/>
      <c r="AA124" s="179"/>
      <c r="AB124" s="179"/>
      <c r="AC124" s="179"/>
    </row>
    <row r="125" spans="4:29" ht="16.5" customHeight="1"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  <c r="S125" s="179"/>
      <c r="T125" s="179"/>
      <c r="U125" s="179"/>
      <c r="V125" s="179"/>
      <c r="W125" s="179"/>
      <c r="X125" s="179"/>
      <c r="Y125" s="179"/>
      <c r="Z125" s="179"/>
      <c r="AA125" s="179"/>
      <c r="AB125" s="179"/>
      <c r="AC125" s="179"/>
    </row>
    <row r="126" spans="4:29" ht="16.5" customHeight="1"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  <c r="S126" s="179"/>
      <c r="T126" s="179"/>
      <c r="U126" s="179"/>
      <c r="V126" s="179"/>
      <c r="W126" s="179"/>
      <c r="X126" s="179"/>
      <c r="Y126" s="179"/>
      <c r="Z126" s="179"/>
      <c r="AA126" s="179"/>
      <c r="AB126" s="179"/>
      <c r="AC126" s="179"/>
    </row>
    <row r="127" spans="4:29" ht="16.5" customHeight="1"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  <c r="S127" s="179"/>
      <c r="T127" s="179"/>
      <c r="U127" s="179"/>
      <c r="V127" s="179"/>
      <c r="W127" s="179"/>
      <c r="X127" s="179"/>
      <c r="Y127" s="179"/>
      <c r="Z127" s="179"/>
      <c r="AA127" s="179"/>
      <c r="AB127" s="179"/>
      <c r="AC127" s="179"/>
    </row>
    <row r="128" spans="4:29" ht="16.5" customHeight="1"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  <c r="S128" s="179"/>
      <c r="T128" s="179"/>
      <c r="U128" s="179"/>
      <c r="V128" s="179"/>
      <c r="W128" s="179"/>
      <c r="X128" s="179"/>
      <c r="Y128" s="179"/>
      <c r="Z128" s="179"/>
      <c r="AA128" s="179"/>
      <c r="AB128" s="179"/>
      <c r="AC128" s="179"/>
    </row>
    <row r="129" spans="4:29" ht="16.5" customHeight="1"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  <c r="S129" s="179"/>
      <c r="T129" s="179"/>
      <c r="U129" s="179"/>
      <c r="V129" s="179"/>
      <c r="W129" s="179"/>
      <c r="X129" s="179"/>
      <c r="Y129" s="179"/>
      <c r="Z129" s="179"/>
      <c r="AA129" s="179"/>
      <c r="AB129" s="179"/>
      <c r="AC129" s="179"/>
    </row>
    <row r="130" spans="4:29" ht="16.5" customHeight="1"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  <c r="S130" s="179"/>
      <c r="T130" s="179"/>
      <c r="U130" s="179"/>
      <c r="V130" s="179"/>
      <c r="W130" s="179"/>
      <c r="X130" s="179"/>
      <c r="Y130" s="179"/>
      <c r="Z130" s="179"/>
      <c r="AA130" s="179"/>
      <c r="AB130" s="179"/>
      <c r="AC130" s="179"/>
    </row>
    <row r="131" spans="4:29" ht="16.5" customHeight="1"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  <c r="S131" s="179"/>
      <c r="T131" s="179"/>
      <c r="U131" s="179"/>
      <c r="V131" s="179"/>
      <c r="W131" s="179"/>
      <c r="X131" s="179"/>
      <c r="Y131" s="179"/>
      <c r="Z131" s="179"/>
      <c r="AA131" s="179"/>
      <c r="AB131" s="179"/>
      <c r="AC131" s="179"/>
    </row>
    <row r="132" spans="4:29" ht="16.5" customHeight="1"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  <c r="S132" s="179"/>
      <c r="T132" s="179"/>
      <c r="U132" s="179"/>
      <c r="V132" s="179"/>
      <c r="W132" s="179"/>
      <c r="X132" s="179"/>
      <c r="Y132" s="179"/>
      <c r="Z132" s="179"/>
      <c r="AA132" s="179"/>
      <c r="AB132" s="179"/>
      <c r="AC132" s="179"/>
    </row>
    <row r="133" spans="4:29" ht="16.5" customHeight="1"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  <c r="S133" s="179"/>
      <c r="T133" s="179"/>
      <c r="U133" s="179"/>
      <c r="V133" s="179"/>
      <c r="W133" s="179"/>
      <c r="X133" s="179"/>
      <c r="Y133" s="179"/>
      <c r="Z133" s="179"/>
      <c r="AA133" s="179"/>
      <c r="AB133" s="179"/>
      <c r="AC133" s="179"/>
    </row>
    <row r="134" spans="4:29" ht="16.5" customHeight="1"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  <c r="S134" s="179"/>
      <c r="T134" s="179"/>
      <c r="U134" s="179"/>
      <c r="V134" s="179"/>
      <c r="W134" s="179"/>
      <c r="X134" s="179"/>
      <c r="Y134" s="179"/>
      <c r="Z134" s="179"/>
      <c r="AA134" s="179"/>
      <c r="AB134" s="179"/>
      <c r="AC134" s="179"/>
    </row>
    <row r="135" spans="4:29" ht="16.5" customHeight="1"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  <c r="S135" s="179"/>
      <c r="T135" s="179"/>
      <c r="U135" s="179"/>
      <c r="V135" s="179"/>
      <c r="W135" s="179"/>
      <c r="X135" s="179"/>
      <c r="Y135" s="179"/>
      <c r="Z135" s="179"/>
      <c r="AA135" s="179"/>
      <c r="AB135" s="179"/>
      <c r="AC135" s="179"/>
    </row>
    <row r="136" spans="4:29" ht="16.5" customHeight="1"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  <c r="S136" s="179"/>
      <c r="T136" s="179"/>
      <c r="U136" s="179"/>
      <c r="V136" s="179"/>
      <c r="W136" s="179"/>
      <c r="X136" s="179"/>
      <c r="Y136" s="179"/>
      <c r="Z136" s="179"/>
      <c r="AA136" s="179"/>
      <c r="AB136" s="179"/>
      <c r="AC136" s="179"/>
    </row>
    <row r="137" spans="4:29" ht="16.5" customHeight="1"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  <c r="S137" s="179"/>
      <c r="T137" s="179"/>
      <c r="U137" s="179"/>
      <c r="V137" s="179"/>
      <c r="W137" s="179"/>
      <c r="X137" s="179"/>
      <c r="Y137" s="179"/>
      <c r="Z137" s="179"/>
      <c r="AA137" s="179"/>
      <c r="AB137" s="179"/>
      <c r="AC137" s="179"/>
    </row>
    <row r="138" spans="4:29" ht="16.5" customHeight="1"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  <c r="S138" s="179"/>
      <c r="T138" s="179"/>
      <c r="U138" s="179"/>
      <c r="V138" s="179"/>
      <c r="W138" s="179"/>
      <c r="X138" s="179"/>
      <c r="Y138" s="179"/>
      <c r="Z138" s="179"/>
      <c r="AA138" s="179"/>
      <c r="AB138" s="179"/>
      <c r="AC138" s="179"/>
    </row>
    <row r="139" spans="4:29" ht="16.5" customHeight="1"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  <c r="S139" s="179"/>
      <c r="T139" s="179"/>
      <c r="U139" s="179"/>
      <c r="V139" s="179"/>
      <c r="W139" s="179"/>
      <c r="X139" s="179"/>
      <c r="Y139" s="179"/>
      <c r="Z139" s="179"/>
      <c r="AA139" s="179"/>
      <c r="AB139" s="179"/>
      <c r="AC139" s="179"/>
    </row>
    <row r="140" spans="4:29" ht="16.5" customHeight="1"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  <c r="S140" s="179"/>
      <c r="T140" s="179"/>
      <c r="U140" s="179"/>
      <c r="V140" s="179"/>
      <c r="W140" s="179"/>
      <c r="X140" s="179"/>
      <c r="Y140" s="179"/>
      <c r="Z140" s="179"/>
      <c r="AA140" s="179"/>
      <c r="AB140" s="179"/>
      <c r="AC140" s="179"/>
    </row>
    <row r="141" spans="4:29" ht="16.5" customHeight="1"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  <c r="S141" s="179"/>
      <c r="T141" s="179"/>
      <c r="U141" s="179"/>
      <c r="V141" s="179"/>
      <c r="W141" s="179"/>
      <c r="X141" s="179"/>
      <c r="Y141" s="179"/>
      <c r="Z141" s="179"/>
      <c r="AA141" s="179"/>
      <c r="AB141" s="179"/>
      <c r="AC141" s="179"/>
    </row>
    <row r="142" spans="4:29" ht="16.5" customHeight="1"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  <c r="S142" s="179"/>
      <c r="T142" s="179"/>
      <c r="U142" s="179"/>
      <c r="V142" s="179"/>
      <c r="W142" s="179"/>
      <c r="X142" s="179"/>
      <c r="Y142" s="179"/>
      <c r="Z142" s="179"/>
      <c r="AA142" s="179"/>
      <c r="AB142" s="179"/>
      <c r="AC142" s="179"/>
    </row>
    <row r="143" spans="4:29" ht="16.5" customHeight="1"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  <c r="S143" s="179"/>
      <c r="T143" s="179"/>
      <c r="U143" s="179"/>
      <c r="V143" s="179"/>
      <c r="W143" s="179"/>
      <c r="X143" s="179"/>
      <c r="Y143" s="179"/>
      <c r="Z143" s="179"/>
      <c r="AA143" s="179"/>
      <c r="AB143" s="179"/>
      <c r="AC143" s="179"/>
    </row>
    <row r="144" spans="4:29" ht="16.5" customHeight="1"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  <c r="S144" s="179"/>
      <c r="T144" s="179"/>
      <c r="U144" s="179"/>
      <c r="V144" s="179"/>
      <c r="W144" s="179"/>
      <c r="X144" s="179"/>
      <c r="Y144" s="179"/>
      <c r="Z144" s="179"/>
      <c r="AA144" s="179"/>
      <c r="AB144" s="179"/>
      <c r="AC144" s="179"/>
    </row>
    <row r="145" spans="4:29" ht="16.5" customHeight="1"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  <c r="S145" s="179"/>
      <c r="T145" s="179"/>
      <c r="U145" s="179"/>
      <c r="V145" s="179"/>
      <c r="W145" s="179"/>
      <c r="X145" s="179"/>
      <c r="Y145" s="179"/>
      <c r="Z145" s="179"/>
      <c r="AA145" s="179"/>
      <c r="AB145" s="179"/>
      <c r="AC145" s="179"/>
    </row>
    <row r="146" spans="4:29" ht="16.5" customHeight="1"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  <c r="S146" s="179"/>
      <c r="T146" s="179"/>
      <c r="U146" s="179"/>
      <c r="V146" s="179"/>
      <c r="W146" s="179"/>
      <c r="X146" s="179"/>
      <c r="Y146" s="179"/>
      <c r="Z146" s="179"/>
      <c r="AA146" s="179"/>
      <c r="AB146" s="179"/>
      <c r="AC146" s="179"/>
    </row>
    <row r="147" spans="4:29" ht="16.5" customHeight="1"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  <c r="S147" s="179"/>
      <c r="T147" s="179"/>
      <c r="U147" s="179"/>
      <c r="V147" s="179"/>
      <c r="W147" s="179"/>
      <c r="X147" s="179"/>
      <c r="Y147" s="179"/>
      <c r="Z147" s="179"/>
      <c r="AA147" s="179"/>
      <c r="AB147" s="179"/>
      <c r="AC147" s="179"/>
    </row>
    <row r="148" spans="4:29" ht="16.5" customHeight="1"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  <c r="S148" s="179"/>
      <c r="T148" s="179"/>
      <c r="U148" s="179"/>
      <c r="V148" s="179"/>
      <c r="W148" s="179"/>
      <c r="X148" s="179"/>
      <c r="Y148" s="179"/>
      <c r="Z148" s="179"/>
      <c r="AA148" s="179"/>
      <c r="AB148" s="179"/>
      <c r="AC148" s="179"/>
    </row>
    <row r="149" spans="4:29" ht="16.5" customHeight="1"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  <c r="S149" s="179"/>
      <c r="T149" s="179"/>
      <c r="U149" s="179"/>
      <c r="V149" s="179"/>
      <c r="W149" s="179"/>
      <c r="X149" s="179"/>
      <c r="Y149" s="179"/>
      <c r="Z149" s="179"/>
      <c r="AA149" s="179"/>
      <c r="AB149" s="179"/>
      <c r="AC149" s="179"/>
    </row>
    <row r="150" spans="4:29" ht="16.5" customHeight="1"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  <c r="S150" s="179"/>
      <c r="T150" s="179"/>
      <c r="U150" s="179"/>
      <c r="V150" s="179"/>
      <c r="W150" s="179"/>
      <c r="X150" s="179"/>
      <c r="Y150" s="179"/>
      <c r="Z150" s="179"/>
      <c r="AA150" s="179"/>
      <c r="AB150" s="179"/>
      <c r="AC150" s="179"/>
    </row>
    <row r="151" spans="4:29" ht="16.5" customHeight="1"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  <c r="S151" s="179"/>
      <c r="T151" s="179"/>
      <c r="U151" s="179"/>
      <c r="V151" s="179"/>
      <c r="W151" s="179"/>
      <c r="X151" s="179"/>
      <c r="Y151" s="179"/>
      <c r="Z151" s="179"/>
      <c r="AA151" s="179"/>
      <c r="AB151" s="179"/>
      <c r="AC151" s="179"/>
    </row>
    <row r="152" spans="4:29" ht="16.5" customHeight="1"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  <c r="S152" s="179"/>
      <c r="T152" s="179"/>
      <c r="U152" s="179"/>
      <c r="V152" s="179"/>
      <c r="W152" s="179"/>
      <c r="X152" s="179"/>
      <c r="Y152" s="179"/>
      <c r="Z152" s="179"/>
      <c r="AA152" s="179"/>
      <c r="AB152" s="179"/>
      <c r="AC152" s="179"/>
    </row>
    <row r="153" ht="16.5" customHeight="1">
      <c r="AC153" s="179"/>
    </row>
    <row r="154" ht="16.5" customHeight="1">
      <c r="AC154" s="179"/>
    </row>
    <row r="155" ht="16.5" customHeight="1">
      <c r="AC155" s="179"/>
    </row>
    <row r="156" ht="16.5" customHeight="1">
      <c r="AC156" s="179"/>
    </row>
    <row r="157" ht="16.5" customHeight="1"/>
    <row r="158" ht="16.5" customHeight="1"/>
    <row r="159" ht="16.5" customHeight="1"/>
  </sheetData>
  <printOptions/>
  <pageMargins left="0.75" right="0.75" top="1" bottom="1" header="0" footer="0"/>
  <pageSetup fitToHeight="1" fitToWidth="1" horizontalDpi="600" verticalDpi="600" orientation="landscape" paperSize="9" scale="53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36">
    <pageSetUpPr fitToPage="1"/>
  </sheetPr>
  <dimension ref="A1:W159"/>
  <sheetViews>
    <sheetView zoomScale="75" zoomScaleNormal="75" workbookViewId="0" topLeftCell="C1">
      <selection activeCell="T43" sqref="T43"/>
    </sheetView>
  </sheetViews>
  <sheetFormatPr defaultColWidth="11.421875" defaultRowHeight="16.5" customHeight="1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40.7109375" style="0" customWidth="1"/>
    <col min="6" max="6" width="9.7109375" style="0" customWidth="1"/>
    <col min="7" max="7" width="14.28125" style="0" hidden="1" customWidth="1"/>
    <col min="8" max="9" width="15.7109375" style="0" customWidth="1"/>
    <col min="10" max="12" width="9.7109375" style="0" customWidth="1"/>
    <col min="13" max="13" width="6.421875" style="0" customWidth="1"/>
    <col min="14" max="14" width="12.00390625" style="0" hidden="1" customWidth="1"/>
    <col min="15" max="15" width="16.28125" style="0" hidden="1" customWidth="1"/>
    <col min="16" max="16" width="17.140625" style="0" hidden="1" customWidth="1"/>
    <col min="17" max="18" width="15.421875" style="0" hidden="1" customWidth="1"/>
    <col min="19" max="19" width="9.7109375" style="0" customWidth="1"/>
    <col min="20" max="21" width="15.7109375" style="0" customWidth="1"/>
  </cols>
  <sheetData>
    <row r="1" s="18" customFormat="1" ht="26.25">
      <c r="U1" s="146"/>
    </row>
    <row r="2" spans="1:21" s="18" customFormat="1" ht="26.25">
      <c r="A2" s="91"/>
      <c r="B2" s="19" t="str">
        <f>+'TOT-1108'!B2</f>
        <v>ANEXO VI al Memoràndum D.T.E.E. N°  366 / 2010          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="5" customFormat="1" ht="12.75">
      <c r="A3" s="90"/>
    </row>
    <row r="4" spans="1:2" s="25" customFormat="1" ht="11.25">
      <c r="A4" s="23" t="s">
        <v>2</v>
      </c>
      <c r="B4" s="125"/>
    </row>
    <row r="5" spans="1:2" s="25" customFormat="1" ht="11.25">
      <c r="A5" s="23" t="s">
        <v>3</v>
      </c>
      <c r="B5" s="125"/>
    </row>
    <row r="6" s="5" customFormat="1" ht="13.5" thickBot="1"/>
    <row r="7" spans="2:21" s="5" customFormat="1" ht="13.5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1"/>
    </row>
    <row r="8" spans="2:21" s="29" customFormat="1" ht="20.25">
      <c r="B8" s="79"/>
      <c r="C8" s="30"/>
      <c r="D8" s="12" t="s">
        <v>70</v>
      </c>
      <c r="L8" s="106"/>
      <c r="M8" s="106"/>
      <c r="N8" s="96"/>
      <c r="O8" s="30"/>
      <c r="P8" s="30"/>
      <c r="Q8" s="30"/>
      <c r="R8" s="30"/>
      <c r="S8" s="30"/>
      <c r="T8" s="30"/>
      <c r="U8" s="80"/>
    </row>
    <row r="9" spans="2:21" s="5" customFormat="1" ht="12.75">
      <c r="B9" s="50"/>
      <c r="C9" s="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4"/>
      <c r="P9" s="4"/>
      <c r="Q9" s="4"/>
      <c r="R9" s="4"/>
      <c r="S9" s="4"/>
      <c r="T9" s="4"/>
      <c r="U9" s="6"/>
    </row>
    <row r="10" spans="2:21" s="29" customFormat="1" ht="20.25">
      <c r="B10" s="79"/>
      <c r="C10" s="30"/>
      <c r="D10" s="114" t="s">
        <v>260</v>
      </c>
      <c r="E10" s="369"/>
      <c r="F10" s="106"/>
      <c r="G10" s="109"/>
      <c r="I10" s="109"/>
      <c r="J10" s="109"/>
      <c r="K10" s="109"/>
      <c r="L10" s="109"/>
      <c r="M10" s="109"/>
      <c r="N10" s="109"/>
      <c r="O10" s="30"/>
      <c r="P10" s="30"/>
      <c r="Q10" s="30"/>
      <c r="R10" s="30"/>
      <c r="S10" s="30"/>
      <c r="T10" s="30"/>
      <c r="U10" s="80"/>
    </row>
    <row r="11" spans="2:21" s="5" customFormat="1" ht="13.5">
      <c r="B11" s="50"/>
      <c r="C11" s="4"/>
      <c r="D11" s="370"/>
      <c r="E11" s="370"/>
      <c r="F11" s="90"/>
      <c r="G11" s="97"/>
      <c r="H11" s="52"/>
      <c r="I11" s="97"/>
      <c r="J11" s="97"/>
      <c r="K11" s="97"/>
      <c r="L11" s="97"/>
      <c r="M11" s="97"/>
      <c r="N11" s="97"/>
      <c r="O11" s="4"/>
      <c r="P11" s="4"/>
      <c r="Q11" s="4"/>
      <c r="R11" s="4"/>
      <c r="S11" s="4"/>
      <c r="T11" s="4"/>
      <c r="U11" s="6"/>
    </row>
    <row r="12" spans="2:21" s="29" customFormat="1" ht="20.25">
      <c r="B12" s="79"/>
      <c r="C12" s="30"/>
      <c r="D12" s="114" t="s">
        <v>86</v>
      </c>
      <c r="E12" s="369"/>
      <c r="F12" s="106"/>
      <c r="G12" s="109"/>
      <c r="I12" s="109"/>
      <c r="J12" s="109"/>
      <c r="K12" s="109"/>
      <c r="L12" s="109"/>
      <c r="M12" s="109"/>
      <c r="N12" s="109"/>
      <c r="O12" s="30"/>
      <c r="P12" s="30"/>
      <c r="Q12" s="30"/>
      <c r="R12" s="30"/>
      <c r="S12" s="30"/>
      <c r="T12" s="30"/>
      <c r="U12" s="80"/>
    </row>
    <row r="13" spans="2:21" s="5" customFormat="1" ht="13.5">
      <c r="B13" s="50"/>
      <c r="C13" s="4"/>
      <c r="D13" s="370"/>
      <c r="E13" s="370"/>
      <c r="F13" s="90"/>
      <c r="G13" s="97"/>
      <c r="H13" s="52"/>
      <c r="I13" s="97"/>
      <c r="J13" s="97"/>
      <c r="K13" s="97"/>
      <c r="L13" s="97"/>
      <c r="M13" s="97"/>
      <c r="N13" s="97"/>
      <c r="O13" s="4"/>
      <c r="P13" s="4"/>
      <c r="Q13" s="4"/>
      <c r="R13" s="4"/>
      <c r="S13" s="4"/>
      <c r="T13" s="4"/>
      <c r="U13" s="6"/>
    </row>
    <row r="14" spans="2:21" s="5" customFormat="1" ht="19.5">
      <c r="B14" s="37" t="str">
        <f>'TOT-1108'!B14</f>
        <v>Desde el 01 al 30 de noviembre de 2008</v>
      </c>
      <c r="C14" s="40"/>
      <c r="D14" s="40"/>
      <c r="E14" s="40"/>
      <c r="F14" s="40"/>
      <c r="G14" s="371"/>
      <c r="H14" s="371"/>
      <c r="I14" s="371"/>
      <c r="J14" s="371"/>
      <c r="K14" s="371"/>
      <c r="L14" s="371"/>
      <c r="M14" s="371"/>
      <c r="N14" s="371"/>
      <c r="O14" s="40"/>
      <c r="P14" s="40"/>
      <c r="Q14" s="40"/>
      <c r="R14" s="40"/>
      <c r="S14" s="40"/>
      <c r="T14" s="40"/>
      <c r="U14" s="372"/>
    </row>
    <row r="15" spans="2:21" s="5" customFormat="1" ht="14.25" thickBot="1">
      <c r="B15" s="373"/>
      <c r="C15" s="374"/>
      <c r="D15" s="374"/>
      <c r="E15" s="374"/>
      <c r="F15" s="374"/>
      <c r="G15" s="375"/>
      <c r="H15" s="375"/>
      <c r="I15" s="375"/>
      <c r="J15" s="375"/>
      <c r="K15" s="375"/>
      <c r="L15" s="375"/>
      <c r="M15" s="375"/>
      <c r="N15" s="375"/>
      <c r="O15" s="374"/>
      <c r="P15" s="374"/>
      <c r="Q15" s="374"/>
      <c r="R15" s="374"/>
      <c r="S15" s="374"/>
      <c r="T15" s="374"/>
      <c r="U15" s="376"/>
    </row>
    <row r="16" spans="2:21" s="5" customFormat="1" ht="15" thickBot="1" thickTop="1">
      <c r="B16" s="50"/>
      <c r="C16" s="4"/>
      <c r="D16" s="377"/>
      <c r="E16" s="377"/>
      <c r="F16" s="118" t="s">
        <v>87</v>
      </c>
      <c r="G16" s="4"/>
      <c r="H16" s="52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6"/>
    </row>
    <row r="17" spans="2:21" s="5" customFormat="1" ht="16.5" customHeight="1" thickBot="1" thickTop="1">
      <c r="B17" s="50"/>
      <c r="C17" s="4"/>
      <c r="D17" s="378" t="s">
        <v>88</v>
      </c>
      <c r="E17" s="379">
        <v>63.904</v>
      </c>
      <c r="F17" s="380">
        <v>200</v>
      </c>
      <c r="T17" s="116"/>
      <c r="U17" s="6"/>
    </row>
    <row r="18" spans="2:21" s="5" customFormat="1" ht="16.5" customHeight="1" thickBot="1" thickTop="1">
      <c r="B18" s="50"/>
      <c r="C18" s="4"/>
      <c r="D18" s="381" t="s">
        <v>89</v>
      </c>
      <c r="E18" s="382">
        <v>57.511</v>
      </c>
      <c r="F18" s="380">
        <v>100</v>
      </c>
      <c r="M18" s="4"/>
      <c r="N18" s="4"/>
      <c r="O18" s="4"/>
      <c r="P18" s="4"/>
      <c r="Q18" s="4"/>
      <c r="R18" s="4"/>
      <c r="S18" s="4"/>
      <c r="T18" s="4"/>
      <c r="U18" s="6"/>
    </row>
    <row r="19" spans="2:21" s="5" customFormat="1" ht="16.5" customHeight="1" thickBot="1" thickTop="1">
      <c r="B19" s="50"/>
      <c r="C19" s="4"/>
      <c r="D19" s="383" t="s">
        <v>90</v>
      </c>
      <c r="E19" s="382">
        <v>51.126</v>
      </c>
      <c r="F19" s="380">
        <v>40</v>
      </c>
      <c r="I19" s="214"/>
      <c r="J19" s="215"/>
      <c r="K19" s="4"/>
      <c r="M19" s="4"/>
      <c r="O19" s="4"/>
      <c r="P19" s="4"/>
      <c r="Q19" s="4"/>
      <c r="R19" s="4"/>
      <c r="S19" s="4"/>
      <c r="T19" s="4"/>
      <c r="U19" s="6"/>
    </row>
    <row r="20" spans="2:21" s="5" customFormat="1" ht="16.5" customHeight="1" thickBot="1" thickTop="1">
      <c r="B20" s="50"/>
      <c r="C20" s="384"/>
      <c r="D20" s="385"/>
      <c r="E20" s="385"/>
      <c r="F20" s="386"/>
      <c r="G20" s="387"/>
      <c r="H20" s="387"/>
      <c r="I20" s="387"/>
      <c r="J20" s="387"/>
      <c r="K20" s="387"/>
      <c r="L20" s="387"/>
      <c r="M20" s="387"/>
      <c r="N20" s="388"/>
      <c r="O20" s="389"/>
      <c r="P20" s="390"/>
      <c r="Q20" s="390"/>
      <c r="R20" s="390"/>
      <c r="S20" s="391"/>
      <c r="T20" s="392"/>
      <c r="U20" s="6"/>
    </row>
    <row r="21" spans="2:21" s="5" customFormat="1" ht="33.75" customHeight="1" thickBot="1" thickTop="1">
      <c r="B21" s="50"/>
      <c r="C21" s="84" t="s">
        <v>13</v>
      </c>
      <c r="D21" s="86" t="s">
        <v>27</v>
      </c>
      <c r="E21" s="393" t="s">
        <v>28</v>
      </c>
      <c r="F21" s="394" t="s">
        <v>14</v>
      </c>
      <c r="G21" s="130" t="s">
        <v>16</v>
      </c>
      <c r="H21" s="85" t="s">
        <v>17</v>
      </c>
      <c r="I21" s="393" t="s">
        <v>18</v>
      </c>
      <c r="J21" s="395" t="s">
        <v>36</v>
      </c>
      <c r="K21" s="395" t="s">
        <v>31</v>
      </c>
      <c r="L21" s="88" t="s">
        <v>19</v>
      </c>
      <c r="M21" s="183" t="s">
        <v>32</v>
      </c>
      <c r="N21" s="136" t="s">
        <v>37</v>
      </c>
      <c r="O21" s="396" t="s">
        <v>71</v>
      </c>
      <c r="P21" s="184" t="s">
        <v>35</v>
      </c>
      <c r="Q21" s="397"/>
      <c r="R21" s="135" t="s">
        <v>22</v>
      </c>
      <c r="S21" s="133" t="s">
        <v>80</v>
      </c>
      <c r="T21" s="122" t="s">
        <v>24</v>
      </c>
      <c r="U21" s="6"/>
    </row>
    <row r="22" spans="2:21" s="5" customFormat="1" ht="16.5" customHeight="1" thickTop="1">
      <c r="B22" s="50"/>
      <c r="C22" s="7"/>
      <c r="D22" s="398"/>
      <c r="E22" s="398"/>
      <c r="F22" s="398"/>
      <c r="G22" s="232"/>
      <c r="H22" s="398"/>
      <c r="I22" s="398"/>
      <c r="J22" s="398"/>
      <c r="K22" s="398"/>
      <c r="L22" s="398"/>
      <c r="M22" s="398"/>
      <c r="N22" s="399"/>
      <c r="O22" s="400"/>
      <c r="P22" s="401"/>
      <c r="Q22" s="402"/>
      <c r="R22" s="403"/>
      <c r="S22" s="398"/>
      <c r="T22" s="404"/>
      <c r="U22" s="6"/>
    </row>
    <row r="23" spans="2:21" s="5" customFormat="1" ht="16.5" customHeight="1">
      <c r="B23" s="50"/>
      <c r="C23" s="289"/>
      <c r="D23" s="405"/>
      <c r="E23" s="405"/>
      <c r="F23" s="405"/>
      <c r="G23" s="406"/>
      <c r="H23" s="405"/>
      <c r="I23" s="405"/>
      <c r="J23" s="405"/>
      <c r="K23" s="405"/>
      <c r="L23" s="405"/>
      <c r="M23" s="405"/>
      <c r="N23" s="407"/>
      <c r="O23" s="408"/>
      <c r="P23" s="196"/>
      <c r="Q23" s="409"/>
      <c r="R23" s="410"/>
      <c r="S23" s="405"/>
      <c r="T23" s="411"/>
      <c r="U23" s="6"/>
    </row>
    <row r="24" spans="2:21" s="5" customFormat="1" ht="16.5" customHeight="1">
      <c r="B24" s="50"/>
      <c r="C24" s="157">
        <v>57</v>
      </c>
      <c r="D24" s="412" t="s">
        <v>308</v>
      </c>
      <c r="E24" s="412" t="s">
        <v>309</v>
      </c>
      <c r="F24" s="413">
        <v>132</v>
      </c>
      <c r="G24" s="131">
        <f aca="true" t="shared" si="0" ref="G24:G43">IF(F24=500,$E$17,IF(F24=220,$E$18,$E$19))</f>
        <v>51.126</v>
      </c>
      <c r="H24" s="414">
        <v>39753.33472222222</v>
      </c>
      <c r="I24" s="153">
        <v>39753.52847222222</v>
      </c>
      <c r="J24" s="415">
        <f aca="true" t="shared" si="1" ref="J24:J43">IF(D24="","",(I24-H24)*24)</f>
        <v>4.649999999965075</v>
      </c>
      <c r="K24" s="416">
        <f aca="true" t="shared" si="2" ref="K24:K43">IF(D24="","",ROUND((I24-H24)*24*60,0))</f>
        <v>279</v>
      </c>
      <c r="L24" s="234" t="s">
        <v>251</v>
      </c>
      <c r="M24" s="155" t="str">
        <f aca="true" t="shared" si="3" ref="M24:M43">IF(D24="","",IF(L24="P","--","NO"))</f>
        <v>--</v>
      </c>
      <c r="N24" s="417">
        <f aca="true" t="shared" si="4" ref="N24:N43">IF(F24=500,$F$17,IF(F24=220,$F$18,$F$19))</f>
        <v>40</v>
      </c>
      <c r="O24" s="418">
        <f aca="true" t="shared" si="5" ref="O24:O43">IF(L24="P",G24*N24*ROUND(K24/60,2)*0.1,"--")</f>
        <v>950.9436000000001</v>
      </c>
      <c r="P24" s="419" t="str">
        <f aca="true" t="shared" si="6" ref="P24:P43">IF(AND(L24="F",M24="NO"),G24*N24,"--")</f>
        <v>--</v>
      </c>
      <c r="Q24" s="420" t="str">
        <f aca="true" t="shared" si="7" ref="Q24:Q43">IF(L24="F",G24*N24*ROUND(K24/60,2),"--")</f>
        <v>--</v>
      </c>
      <c r="R24" s="162" t="str">
        <f aca="true" t="shared" si="8" ref="R24:R43">IF(L24="RF",G24*N24*ROUND(K24/60,2),"--")</f>
        <v>--</v>
      </c>
      <c r="S24" s="155" t="str">
        <f aca="true" t="shared" si="9" ref="S24:S43">IF(D24="","","SI")</f>
        <v>SI</v>
      </c>
      <c r="T24" s="421">
        <f aca="true" t="shared" si="10" ref="T24:T43">IF(D24="","",SUM(O24:R24)*IF(S24="SI",1,2))</f>
        <v>950.9436000000001</v>
      </c>
      <c r="U24" s="6"/>
    </row>
    <row r="25" spans="2:21" s="5" customFormat="1" ht="16.5" customHeight="1">
      <c r="B25" s="50"/>
      <c r="C25" s="289">
        <v>58</v>
      </c>
      <c r="D25" s="412" t="s">
        <v>310</v>
      </c>
      <c r="E25" s="412" t="s">
        <v>311</v>
      </c>
      <c r="F25" s="413">
        <v>132</v>
      </c>
      <c r="G25" s="131">
        <f t="shared" si="0"/>
        <v>51.126</v>
      </c>
      <c r="H25" s="414">
        <v>39753.370833333334</v>
      </c>
      <c r="I25" s="153">
        <v>39753.625</v>
      </c>
      <c r="J25" s="415">
        <f t="shared" si="1"/>
        <v>6.099999999976717</v>
      </c>
      <c r="K25" s="416">
        <f t="shared" si="2"/>
        <v>366</v>
      </c>
      <c r="L25" s="234" t="s">
        <v>251</v>
      </c>
      <c r="M25" s="155" t="str">
        <f t="shared" si="3"/>
        <v>--</v>
      </c>
      <c r="N25" s="417">
        <f t="shared" si="4"/>
        <v>40</v>
      </c>
      <c r="O25" s="418">
        <f t="shared" si="5"/>
        <v>1247.4744</v>
      </c>
      <c r="P25" s="419" t="str">
        <f t="shared" si="6"/>
        <v>--</v>
      </c>
      <c r="Q25" s="420" t="str">
        <f t="shared" si="7"/>
        <v>--</v>
      </c>
      <c r="R25" s="162" t="str">
        <f t="shared" si="8"/>
        <v>--</v>
      </c>
      <c r="S25" s="155" t="str">
        <f t="shared" si="9"/>
        <v>SI</v>
      </c>
      <c r="T25" s="421">
        <v>0</v>
      </c>
      <c r="U25" s="6"/>
    </row>
    <row r="26" spans="2:21" s="5" customFormat="1" ht="16.5" customHeight="1">
      <c r="B26" s="50"/>
      <c r="C26" s="157">
        <v>59</v>
      </c>
      <c r="D26" s="412" t="s">
        <v>312</v>
      </c>
      <c r="E26" s="412" t="s">
        <v>313</v>
      </c>
      <c r="F26" s="413">
        <v>500</v>
      </c>
      <c r="G26" s="131">
        <f t="shared" si="0"/>
        <v>63.904</v>
      </c>
      <c r="H26" s="414">
        <v>39754.41180555556</v>
      </c>
      <c r="I26" s="153">
        <v>39754.67361111111</v>
      </c>
      <c r="J26" s="415">
        <f t="shared" si="1"/>
        <v>6.283333333209157</v>
      </c>
      <c r="K26" s="416">
        <f t="shared" si="2"/>
        <v>377</v>
      </c>
      <c r="L26" s="234" t="s">
        <v>251</v>
      </c>
      <c r="M26" s="155" t="str">
        <f t="shared" si="3"/>
        <v>--</v>
      </c>
      <c r="N26" s="417">
        <f t="shared" si="4"/>
        <v>200</v>
      </c>
      <c r="O26" s="418">
        <f t="shared" si="5"/>
        <v>8026.342400000001</v>
      </c>
      <c r="P26" s="419" t="str">
        <f t="shared" si="6"/>
        <v>--</v>
      </c>
      <c r="Q26" s="420" t="str">
        <f t="shared" si="7"/>
        <v>--</v>
      </c>
      <c r="R26" s="162" t="str">
        <f t="shared" si="8"/>
        <v>--</v>
      </c>
      <c r="S26" s="155" t="str">
        <f t="shared" si="9"/>
        <v>SI</v>
      </c>
      <c r="T26" s="421">
        <v>0</v>
      </c>
      <c r="U26" s="6"/>
    </row>
    <row r="27" spans="2:21" s="5" customFormat="1" ht="16.5" customHeight="1">
      <c r="B27" s="50"/>
      <c r="C27" s="289">
        <v>60</v>
      </c>
      <c r="D27" s="412" t="s">
        <v>310</v>
      </c>
      <c r="E27" s="412" t="s">
        <v>314</v>
      </c>
      <c r="F27" s="413">
        <v>132</v>
      </c>
      <c r="G27" s="131">
        <f t="shared" si="0"/>
        <v>51.126</v>
      </c>
      <c r="H27" s="414">
        <v>39755.384722222225</v>
      </c>
      <c r="I27" s="153">
        <v>39755.78958333333</v>
      </c>
      <c r="J27" s="415">
        <f t="shared" si="1"/>
        <v>9.716666666558012</v>
      </c>
      <c r="K27" s="416">
        <f t="shared" si="2"/>
        <v>583</v>
      </c>
      <c r="L27" s="234" t="s">
        <v>251</v>
      </c>
      <c r="M27" s="155" t="str">
        <f t="shared" si="3"/>
        <v>--</v>
      </c>
      <c r="N27" s="417">
        <f t="shared" si="4"/>
        <v>40</v>
      </c>
      <c r="O27" s="418">
        <f t="shared" si="5"/>
        <v>1987.7788800000003</v>
      </c>
      <c r="P27" s="419" t="str">
        <f t="shared" si="6"/>
        <v>--</v>
      </c>
      <c r="Q27" s="420" t="str">
        <f t="shared" si="7"/>
        <v>--</v>
      </c>
      <c r="R27" s="162" t="str">
        <f t="shared" si="8"/>
        <v>--</v>
      </c>
      <c r="S27" s="155" t="str">
        <f t="shared" si="9"/>
        <v>SI</v>
      </c>
      <c r="T27" s="421">
        <v>0</v>
      </c>
      <c r="U27" s="6"/>
    </row>
    <row r="28" spans="2:21" s="5" customFormat="1" ht="16.5" customHeight="1">
      <c r="B28" s="50"/>
      <c r="C28" s="157">
        <v>61</v>
      </c>
      <c r="D28" s="412" t="s">
        <v>315</v>
      </c>
      <c r="E28" s="412" t="s">
        <v>316</v>
      </c>
      <c r="F28" s="413">
        <v>220</v>
      </c>
      <c r="G28" s="131">
        <f t="shared" si="0"/>
        <v>57.511</v>
      </c>
      <c r="H28" s="414">
        <v>39756.388194444444</v>
      </c>
      <c r="I28" s="153">
        <v>39756.48402777778</v>
      </c>
      <c r="J28" s="415">
        <f t="shared" si="1"/>
        <v>2.2999999999883585</v>
      </c>
      <c r="K28" s="416">
        <f t="shared" si="2"/>
        <v>138</v>
      </c>
      <c r="L28" s="234" t="s">
        <v>251</v>
      </c>
      <c r="M28" s="155" t="str">
        <f t="shared" si="3"/>
        <v>--</v>
      </c>
      <c r="N28" s="417">
        <f t="shared" si="4"/>
        <v>100</v>
      </c>
      <c r="O28" s="418">
        <f t="shared" si="5"/>
        <v>1322.7530000000002</v>
      </c>
      <c r="P28" s="419" t="str">
        <f t="shared" si="6"/>
        <v>--</v>
      </c>
      <c r="Q28" s="420" t="str">
        <f t="shared" si="7"/>
        <v>--</v>
      </c>
      <c r="R28" s="162" t="str">
        <f t="shared" si="8"/>
        <v>--</v>
      </c>
      <c r="S28" s="155" t="str">
        <f t="shared" si="9"/>
        <v>SI</v>
      </c>
      <c r="T28" s="421">
        <f t="shared" si="10"/>
        <v>1322.7530000000002</v>
      </c>
      <c r="U28" s="6"/>
    </row>
    <row r="29" spans="2:21" s="5" customFormat="1" ht="16.5" customHeight="1">
      <c r="B29" s="50"/>
      <c r="C29" s="289">
        <v>62</v>
      </c>
      <c r="D29" s="412" t="s">
        <v>317</v>
      </c>
      <c r="E29" s="412" t="s">
        <v>318</v>
      </c>
      <c r="F29" s="413">
        <v>132</v>
      </c>
      <c r="G29" s="131">
        <f t="shared" si="0"/>
        <v>51.126</v>
      </c>
      <c r="H29" s="414">
        <v>39760.41180555556</v>
      </c>
      <c r="I29" s="153">
        <v>39760.42152777778</v>
      </c>
      <c r="J29" s="415">
        <f t="shared" si="1"/>
        <v>0.23333333322079852</v>
      </c>
      <c r="K29" s="416">
        <f t="shared" si="2"/>
        <v>14</v>
      </c>
      <c r="L29" s="234" t="s">
        <v>251</v>
      </c>
      <c r="M29" s="155" t="str">
        <f t="shared" si="3"/>
        <v>--</v>
      </c>
      <c r="N29" s="417">
        <f t="shared" si="4"/>
        <v>40</v>
      </c>
      <c r="O29" s="418">
        <f t="shared" si="5"/>
        <v>47.035920000000004</v>
      </c>
      <c r="P29" s="419" t="str">
        <f t="shared" si="6"/>
        <v>--</v>
      </c>
      <c r="Q29" s="420" t="str">
        <f t="shared" si="7"/>
        <v>--</v>
      </c>
      <c r="R29" s="162" t="str">
        <f t="shared" si="8"/>
        <v>--</v>
      </c>
      <c r="S29" s="155" t="str">
        <f t="shared" si="9"/>
        <v>SI</v>
      </c>
      <c r="T29" s="421">
        <v>0</v>
      </c>
      <c r="U29" s="6"/>
    </row>
    <row r="30" spans="2:21" s="5" customFormat="1" ht="16.5" customHeight="1">
      <c r="B30" s="50"/>
      <c r="C30" s="157">
        <v>63</v>
      </c>
      <c r="D30" s="412" t="s">
        <v>317</v>
      </c>
      <c r="E30" s="412" t="s">
        <v>319</v>
      </c>
      <c r="F30" s="413">
        <v>132</v>
      </c>
      <c r="G30" s="131">
        <f t="shared" si="0"/>
        <v>51.126</v>
      </c>
      <c r="H30" s="414">
        <v>39760.86875</v>
      </c>
      <c r="I30" s="153">
        <v>39761.76180555556</v>
      </c>
      <c r="J30" s="415">
        <f t="shared" si="1"/>
        <v>21.433333333348855</v>
      </c>
      <c r="K30" s="416">
        <f t="shared" si="2"/>
        <v>1286</v>
      </c>
      <c r="L30" s="234" t="s">
        <v>279</v>
      </c>
      <c r="M30" s="155" t="str">
        <f t="shared" si="3"/>
        <v>NO</v>
      </c>
      <c r="N30" s="417">
        <f t="shared" si="4"/>
        <v>40</v>
      </c>
      <c r="O30" s="418" t="str">
        <f t="shared" si="5"/>
        <v>--</v>
      </c>
      <c r="P30" s="419">
        <f t="shared" si="6"/>
        <v>2045.04</v>
      </c>
      <c r="Q30" s="420">
        <f t="shared" si="7"/>
        <v>43825.2072</v>
      </c>
      <c r="R30" s="162" t="str">
        <f t="shared" si="8"/>
        <v>--</v>
      </c>
      <c r="S30" s="155" t="str">
        <f t="shared" si="9"/>
        <v>SI</v>
      </c>
      <c r="T30" s="421">
        <f t="shared" si="10"/>
        <v>45870.2472</v>
      </c>
      <c r="U30" s="6"/>
    </row>
    <row r="31" spans="2:21" s="5" customFormat="1" ht="16.5" customHeight="1">
      <c r="B31" s="50"/>
      <c r="C31" s="289">
        <v>64</v>
      </c>
      <c r="D31" s="412" t="s">
        <v>320</v>
      </c>
      <c r="E31" s="412" t="s">
        <v>321</v>
      </c>
      <c r="F31" s="413">
        <v>500</v>
      </c>
      <c r="G31" s="131">
        <f t="shared" si="0"/>
        <v>63.904</v>
      </c>
      <c r="H31" s="414">
        <v>39761.336805555555</v>
      </c>
      <c r="I31" s="153">
        <v>39761.722916666666</v>
      </c>
      <c r="J31" s="415">
        <f t="shared" si="1"/>
        <v>9.266666666662786</v>
      </c>
      <c r="K31" s="416">
        <f t="shared" si="2"/>
        <v>556</v>
      </c>
      <c r="L31" s="234" t="s">
        <v>251</v>
      </c>
      <c r="M31" s="155" t="str">
        <f t="shared" si="3"/>
        <v>--</v>
      </c>
      <c r="N31" s="417">
        <f t="shared" si="4"/>
        <v>200</v>
      </c>
      <c r="O31" s="418">
        <f t="shared" si="5"/>
        <v>11847.8016</v>
      </c>
      <c r="P31" s="419" t="str">
        <f t="shared" si="6"/>
        <v>--</v>
      </c>
      <c r="Q31" s="420" t="str">
        <f t="shared" si="7"/>
        <v>--</v>
      </c>
      <c r="R31" s="162" t="str">
        <f t="shared" si="8"/>
        <v>--</v>
      </c>
      <c r="S31" s="155" t="str">
        <f t="shared" si="9"/>
        <v>SI</v>
      </c>
      <c r="T31" s="421">
        <v>0</v>
      </c>
      <c r="U31" s="6"/>
    </row>
    <row r="32" spans="2:21" s="5" customFormat="1" ht="16.5" customHeight="1">
      <c r="B32" s="50"/>
      <c r="C32" s="157">
        <v>65</v>
      </c>
      <c r="D32" s="412" t="s">
        <v>301</v>
      </c>
      <c r="E32" s="412" t="s">
        <v>322</v>
      </c>
      <c r="F32" s="413">
        <v>500</v>
      </c>
      <c r="G32" s="131">
        <f t="shared" si="0"/>
        <v>63.904</v>
      </c>
      <c r="H32" s="414">
        <v>39762.288194444445</v>
      </c>
      <c r="I32" s="153">
        <v>39762.70486111111</v>
      </c>
      <c r="J32" s="415">
        <f t="shared" si="1"/>
        <v>9.999999999941792</v>
      </c>
      <c r="K32" s="416">
        <f t="shared" si="2"/>
        <v>600</v>
      </c>
      <c r="L32" s="234" t="s">
        <v>251</v>
      </c>
      <c r="M32" s="155" t="str">
        <f t="shared" si="3"/>
        <v>--</v>
      </c>
      <c r="N32" s="417">
        <f t="shared" si="4"/>
        <v>200</v>
      </c>
      <c r="O32" s="418">
        <f t="shared" si="5"/>
        <v>12780.800000000003</v>
      </c>
      <c r="P32" s="419" t="str">
        <f t="shared" si="6"/>
        <v>--</v>
      </c>
      <c r="Q32" s="420" t="str">
        <f t="shared" si="7"/>
        <v>--</v>
      </c>
      <c r="R32" s="162" t="str">
        <f t="shared" si="8"/>
        <v>--</v>
      </c>
      <c r="S32" s="155" t="str">
        <f t="shared" si="9"/>
        <v>SI</v>
      </c>
      <c r="T32" s="421">
        <v>0</v>
      </c>
      <c r="U32" s="6"/>
    </row>
    <row r="33" spans="2:21" s="5" customFormat="1" ht="16.5" customHeight="1">
      <c r="B33" s="50"/>
      <c r="C33" s="289">
        <v>66</v>
      </c>
      <c r="D33" s="412" t="s">
        <v>323</v>
      </c>
      <c r="E33" s="412" t="s">
        <v>324</v>
      </c>
      <c r="F33" s="413">
        <v>500</v>
      </c>
      <c r="G33" s="131">
        <f t="shared" si="0"/>
        <v>63.904</v>
      </c>
      <c r="H33" s="414">
        <v>39769.368055555555</v>
      </c>
      <c r="I33" s="153">
        <v>39769.78472222222</v>
      </c>
      <c r="J33" s="415">
        <f t="shared" si="1"/>
        <v>9.999999999941792</v>
      </c>
      <c r="K33" s="416">
        <f t="shared" si="2"/>
        <v>600</v>
      </c>
      <c r="L33" s="234" t="s">
        <v>251</v>
      </c>
      <c r="M33" s="155" t="str">
        <f t="shared" si="3"/>
        <v>--</v>
      </c>
      <c r="N33" s="417">
        <f t="shared" si="4"/>
        <v>200</v>
      </c>
      <c r="O33" s="418">
        <f t="shared" si="5"/>
        <v>12780.800000000003</v>
      </c>
      <c r="P33" s="419" t="str">
        <f t="shared" si="6"/>
        <v>--</v>
      </c>
      <c r="Q33" s="420" t="str">
        <f t="shared" si="7"/>
        <v>--</v>
      </c>
      <c r="R33" s="162" t="str">
        <f t="shared" si="8"/>
        <v>--</v>
      </c>
      <c r="S33" s="155" t="str">
        <f t="shared" si="9"/>
        <v>SI</v>
      </c>
      <c r="T33" s="421">
        <v>0</v>
      </c>
      <c r="U33" s="6"/>
    </row>
    <row r="34" spans="2:21" s="5" customFormat="1" ht="16.5" customHeight="1">
      <c r="B34" s="50"/>
      <c r="C34" s="157">
        <v>67</v>
      </c>
      <c r="D34" s="412" t="s">
        <v>315</v>
      </c>
      <c r="E34" s="412" t="s">
        <v>316</v>
      </c>
      <c r="F34" s="413">
        <v>220</v>
      </c>
      <c r="G34" s="131">
        <f t="shared" si="0"/>
        <v>57.511</v>
      </c>
      <c r="H34" s="414">
        <v>39771.339583333334</v>
      </c>
      <c r="I34" s="153">
        <v>39771.72152777778</v>
      </c>
      <c r="J34" s="415">
        <f t="shared" si="1"/>
        <v>9.16666666668607</v>
      </c>
      <c r="K34" s="416">
        <f t="shared" si="2"/>
        <v>550</v>
      </c>
      <c r="L34" s="234" t="s">
        <v>251</v>
      </c>
      <c r="M34" s="155" t="str">
        <f t="shared" si="3"/>
        <v>--</v>
      </c>
      <c r="N34" s="417">
        <f t="shared" si="4"/>
        <v>100</v>
      </c>
      <c r="O34" s="418">
        <f t="shared" si="5"/>
        <v>5273.7587</v>
      </c>
      <c r="P34" s="419" t="str">
        <f t="shared" si="6"/>
        <v>--</v>
      </c>
      <c r="Q34" s="420" t="str">
        <f t="shared" si="7"/>
        <v>--</v>
      </c>
      <c r="R34" s="162" t="str">
        <f t="shared" si="8"/>
        <v>--</v>
      </c>
      <c r="S34" s="155" t="str">
        <f t="shared" si="9"/>
        <v>SI</v>
      </c>
      <c r="T34" s="421">
        <f t="shared" si="10"/>
        <v>5273.7587</v>
      </c>
      <c r="U34" s="6"/>
    </row>
    <row r="35" spans="2:21" s="5" customFormat="1" ht="16.5" customHeight="1">
      <c r="B35" s="50"/>
      <c r="C35" s="289">
        <v>68</v>
      </c>
      <c r="D35" s="412" t="s">
        <v>325</v>
      </c>
      <c r="E35" s="412" t="s">
        <v>326</v>
      </c>
      <c r="F35" s="413">
        <v>132</v>
      </c>
      <c r="G35" s="131">
        <f t="shared" si="0"/>
        <v>51.126</v>
      </c>
      <c r="H35" s="414">
        <v>39772.353472222225</v>
      </c>
      <c r="I35" s="153">
        <v>39772.59305555555</v>
      </c>
      <c r="J35" s="415">
        <f t="shared" si="1"/>
        <v>5.749999999883585</v>
      </c>
      <c r="K35" s="416">
        <f t="shared" si="2"/>
        <v>345</v>
      </c>
      <c r="L35" s="234" t="s">
        <v>251</v>
      </c>
      <c r="M35" s="155" t="str">
        <f t="shared" si="3"/>
        <v>--</v>
      </c>
      <c r="N35" s="417">
        <f t="shared" si="4"/>
        <v>40</v>
      </c>
      <c r="O35" s="418">
        <f t="shared" si="5"/>
        <v>1175.898</v>
      </c>
      <c r="P35" s="419" t="str">
        <f t="shared" si="6"/>
        <v>--</v>
      </c>
      <c r="Q35" s="420" t="str">
        <f t="shared" si="7"/>
        <v>--</v>
      </c>
      <c r="R35" s="162" t="str">
        <f t="shared" si="8"/>
        <v>--</v>
      </c>
      <c r="S35" s="155" t="str">
        <f t="shared" si="9"/>
        <v>SI</v>
      </c>
      <c r="T35" s="421">
        <f t="shared" si="10"/>
        <v>1175.898</v>
      </c>
      <c r="U35" s="6"/>
    </row>
    <row r="36" spans="2:21" s="5" customFormat="1" ht="16.5" customHeight="1">
      <c r="B36" s="50"/>
      <c r="C36" s="157">
        <v>69</v>
      </c>
      <c r="D36" s="412" t="s">
        <v>327</v>
      </c>
      <c r="E36" s="412" t="s">
        <v>328</v>
      </c>
      <c r="F36" s="413">
        <v>132</v>
      </c>
      <c r="G36" s="131">
        <f t="shared" si="0"/>
        <v>51.126</v>
      </c>
      <c r="H36" s="414">
        <v>39773.34027777778</v>
      </c>
      <c r="I36" s="153">
        <v>39773.74513888889</v>
      </c>
      <c r="J36" s="415">
        <f t="shared" si="1"/>
        <v>9.716666666558012</v>
      </c>
      <c r="K36" s="416">
        <f t="shared" si="2"/>
        <v>583</v>
      </c>
      <c r="L36" s="234" t="s">
        <v>251</v>
      </c>
      <c r="M36" s="155" t="str">
        <f t="shared" si="3"/>
        <v>--</v>
      </c>
      <c r="N36" s="417">
        <f t="shared" si="4"/>
        <v>40</v>
      </c>
      <c r="O36" s="418">
        <f t="shared" si="5"/>
        <v>1987.7788800000003</v>
      </c>
      <c r="P36" s="419" t="str">
        <f t="shared" si="6"/>
        <v>--</v>
      </c>
      <c r="Q36" s="420" t="str">
        <f t="shared" si="7"/>
        <v>--</v>
      </c>
      <c r="R36" s="162" t="str">
        <f t="shared" si="8"/>
        <v>--</v>
      </c>
      <c r="S36" s="155" t="str">
        <f t="shared" si="9"/>
        <v>SI</v>
      </c>
      <c r="T36" s="421">
        <v>0</v>
      </c>
      <c r="U36" s="6"/>
    </row>
    <row r="37" spans="2:21" s="5" customFormat="1" ht="16.5" customHeight="1">
      <c r="B37" s="50"/>
      <c r="C37" s="289">
        <v>70</v>
      </c>
      <c r="D37" s="412" t="s">
        <v>323</v>
      </c>
      <c r="E37" s="412" t="s">
        <v>329</v>
      </c>
      <c r="F37" s="413">
        <v>500</v>
      </c>
      <c r="G37" s="131">
        <f t="shared" si="0"/>
        <v>63.904</v>
      </c>
      <c r="H37" s="414">
        <v>39773.447222222225</v>
      </c>
      <c r="I37" s="153">
        <v>39773.79722222222</v>
      </c>
      <c r="J37" s="415">
        <f t="shared" si="1"/>
        <v>8.399999999965075</v>
      </c>
      <c r="K37" s="416">
        <f t="shared" si="2"/>
        <v>504</v>
      </c>
      <c r="L37" s="234" t="s">
        <v>251</v>
      </c>
      <c r="M37" s="155" t="str">
        <f t="shared" si="3"/>
        <v>--</v>
      </c>
      <c r="N37" s="417">
        <f t="shared" si="4"/>
        <v>200</v>
      </c>
      <c r="O37" s="418">
        <f t="shared" si="5"/>
        <v>10735.872000000003</v>
      </c>
      <c r="P37" s="419" t="str">
        <f t="shared" si="6"/>
        <v>--</v>
      </c>
      <c r="Q37" s="420" t="str">
        <f t="shared" si="7"/>
        <v>--</v>
      </c>
      <c r="R37" s="162" t="str">
        <f t="shared" si="8"/>
        <v>--</v>
      </c>
      <c r="S37" s="155" t="str">
        <f t="shared" si="9"/>
        <v>SI</v>
      </c>
      <c r="T37" s="421">
        <f t="shared" si="10"/>
        <v>10735.872000000003</v>
      </c>
      <c r="U37" s="6"/>
    </row>
    <row r="38" spans="2:21" s="5" customFormat="1" ht="16.5" customHeight="1">
      <c r="B38" s="50"/>
      <c r="C38" s="157">
        <v>71</v>
      </c>
      <c r="D38" s="412" t="s">
        <v>323</v>
      </c>
      <c r="E38" s="412" t="s">
        <v>329</v>
      </c>
      <c r="F38" s="413">
        <v>500</v>
      </c>
      <c r="G38" s="131">
        <f t="shared" si="0"/>
        <v>63.904</v>
      </c>
      <c r="H38" s="414">
        <v>39774.42013888889</v>
      </c>
      <c r="I38" s="153">
        <v>39774.79791666667</v>
      </c>
      <c r="J38" s="415">
        <f t="shared" si="1"/>
        <v>9.066666666709352</v>
      </c>
      <c r="K38" s="416">
        <f t="shared" si="2"/>
        <v>544</v>
      </c>
      <c r="L38" s="234" t="s">
        <v>251</v>
      </c>
      <c r="M38" s="155" t="str">
        <f t="shared" si="3"/>
        <v>--</v>
      </c>
      <c r="N38" s="417">
        <f t="shared" si="4"/>
        <v>200</v>
      </c>
      <c r="O38" s="418">
        <f t="shared" si="5"/>
        <v>11592.185600000003</v>
      </c>
      <c r="P38" s="419" t="str">
        <f t="shared" si="6"/>
        <v>--</v>
      </c>
      <c r="Q38" s="420" t="str">
        <f t="shared" si="7"/>
        <v>--</v>
      </c>
      <c r="R38" s="162" t="str">
        <f t="shared" si="8"/>
        <v>--</v>
      </c>
      <c r="S38" s="155" t="str">
        <f t="shared" si="9"/>
        <v>SI</v>
      </c>
      <c r="T38" s="421">
        <f t="shared" si="10"/>
        <v>11592.185600000003</v>
      </c>
      <c r="U38" s="6"/>
    </row>
    <row r="39" spans="2:21" s="5" customFormat="1" ht="16.5" customHeight="1">
      <c r="B39" s="50"/>
      <c r="C39" s="289">
        <v>72</v>
      </c>
      <c r="D39" s="412" t="s">
        <v>330</v>
      </c>
      <c r="E39" s="412" t="s">
        <v>331</v>
      </c>
      <c r="F39" s="413">
        <v>132</v>
      </c>
      <c r="G39" s="131">
        <f t="shared" si="0"/>
        <v>51.126</v>
      </c>
      <c r="H39" s="414">
        <v>39775.35208333333</v>
      </c>
      <c r="I39" s="153">
        <v>39775.73402777778</v>
      </c>
      <c r="J39" s="415">
        <f t="shared" si="1"/>
        <v>9.16666666668607</v>
      </c>
      <c r="K39" s="416">
        <f t="shared" si="2"/>
        <v>550</v>
      </c>
      <c r="L39" s="234" t="s">
        <v>251</v>
      </c>
      <c r="M39" s="155" t="str">
        <f t="shared" si="3"/>
        <v>--</v>
      </c>
      <c r="N39" s="417">
        <f t="shared" si="4"/>
        <v>40</v>
      </c>
      <c r="O39" s="418">
        <f t="shared" si="5"/>
        <v>1875.3016800000003</v>
      </c>
      <c r="P39" s="419" t="str">
        <f t="shared" si="6"/>
        <v>--</v>
      </c>
      <c r="Q39" s="420" t="str">
        <f t="shared" si="7"/>
        <v>--</v>
      </c>
      <c r="R39" s="162" t="str">
        <f t="shared" si="8"/>
        <v>--</v>
      </c>
      <c r="S39" s="155" t="str">
        <f t="shared" si="9"/>
        <v>SI</v>
      </c>
      <c r="T39" s="421">
        <v>0</v>
      </c>
      <c r="U39" s="6"/>
    </row>
    <row r="40" spans="2:21" s="5" customFormat="1" ht="16.5" customHeight="1">
      <c r="B40" s="50"/>
      <c r="C40" s="157">
        <v>73</v>
      </c>
      <c r="D40" s="412" t="s">
        <v>323</v>
      </c>
      <c r="E40" s="412" t="s">
        <v>329</v>
      </c>
      <c r="F40" s="413">
        <v>500</v>
      </c>
      <c r="G40" s="131">
        <f t="shared" si="0"/>
        <v>63.904</v>
      </c>
      <c r="H40" s="414">
        <v>39775.42083333333</v>
      </c>
      <c r="I40" s="153">
        <v>39775.79375</v>
      </c>
      <c r="J40" s="415">
        <f t="shared" si="1"/>
        <v>8.950000000011642</v>
      </c>
      <c r="K40" s="416">
        <f t="shared" si="2"/>
        <v>537</v>
      </c>
      <c r="L40" s="234" t="s">
        <v>251</v>
      </c>
      <c r="M40" s="155" t="str">
        <f t="shared" si="3"/>
        <v>--</v>
      </c>
      <c r="N40" s="417">
        <f t="shared" si="4"/>
        <v>200</v>
      </c>
      <c r="O40" s="418">
        <f t="shared" si="5"/>
        <v>11438.816</v>
      </c>
      <c r="P40" s="419" t="str">
        <f t="shared" si="6"/>
        <v>--</v>
      </c>
      <c r="Q40" s="420" t="str">
        <f t="shared" si="7"/>
        <v>--</v>
      </c>
      <c r="R40" s="162" t="str">
        <f t="shared" si="8"/>
        <v>--</v>
      </c>
      <c r="S40" s="155" t="str">
        <f t="shared" si="9"/>
        <v>SI</v>
      </c>
      <c r="T40" s="421">
        <f t="shared" si="10"/>
        <v>11438.816</v>
      </c>
      <c r="U40" s="6"/>
    </row>
    <row r="41" spans="2:21" s="5" customFormat="1" ht="16.5" customHeight="1">
      <c r="B41" s="50"/>
      <c r="C41" s="289">
        <v>74</v>
      </c>
      <c r="D41" s="412" t="s">
        <v>323</v>
      </c>
      <c r="E41" s="412" t="s">
        <v>329</v>
      </c>
      <c r="F41" s="413">
        <v>500</v>
      </c>
      <c r="G41" s="131">
        <f t="shared" si="0"/>
        <v>63.904</v>
      </c>
      <c r="H41" s="414">
        <v>39776.54722222222</v>
      </c>
      <c r="I41" s="153">
        <v>39776.96388888889</v>
      </c>
      <c r="J41" s="415">
        <f t="shared" si="1"/>
        <v>9.999999999941792</v>
      </c>
      <c r="K41" s="416">
        <f t="shared" si="2"/>
        <v>600</v>
      </c>
      <c r="L41" s="234" t="s">
        <v>251</v>
      </c>
      <c r="M41" s="155" t="str">
        <f t="shared" si="3"/>
        <v>--</v>
      </c>
      <c r="N41" s="417">
        <f t="shared" si="4"/>
        <v>200</v>
      </c>
      <c r="O41" s="418">
        <f t="shared" si="5"/>
        <v>12780.800000000003</v>
      </c>
      <c r="P41" s="419" t="str">
        <f t="shared" si="6"/>
        <v>--</v>
      </c>
      <c r="Q41" s="420" t="str">
        <f t="shared" si="7"/>
        <v>--</v>
      </c>
      <c r="R41" s="162" t="str">
        <f t="shared" si="8"/>
        <v>--</v>
      </c>
      <c r="S41" s="155" t="str">
        <f t="shared" si="9"/>
        <v>SI</v>
      </c>
      <c r="T41" s="421">
        <v>0</v>
      </c>
      <c r="U41" s="6"/>
    </row>
    <row r="42" spans="2:21" s="5" customFormat="1" ht="16.5" customHeight="1">
      <c r="B42" s="50"/>
      <c r="C42" s="157">
        <v>75</v>
      </c>
      <c r="D42" s="412" t="s">
        <v>298</v>
      </c>
      <c r="E42" s="412" t="s">
        <v>332</v>
      </c>
      <c r="F42" s="413">
        <v>132</v>
      </c>
      <c r="G42" s="131">
        <f t="shared" si="0"/>
        <v>51.126</v>
      </c>
      <c r="H42" s="414">
        <v>39777.03055555555</v>
      </c>
      <c r="I42" s="153">
        <v>39777.17569444444</v>
      </c>
      <c r="J42" s="415">
        <f t="shared" si="1"/>
        <v>3.483333333337214</v>
      </c>
      <c r="K42" s="416">
        <f t="shared" si="2"/>
        <v>209</v>
      </c>
      <c r="L42" s="234" t="s">
        <v>279</v>
      </c>
      <c r="M42" s="155" t="s">
        <v>248</v>
      </c>
      <c r="N42" s="417">
        <f t="shared" si="4"/>
        <v>40</v>
      </c>
      <c r="O42" s="418" t="str">
        <f t="shared" si="5"/>
        <v>--</v>
      </c>
      <c r="P42" s="419" t="str">
        <f t="shared" si="6"/>
        <v>--</v>
      </c>
      <c r="Q42" s="420">
        <f t="shared" si="7"/>
        <v>7116.7392</v>
      </c>
      <c r="R42" s="162" t="str">
        <f t="shared" si="8"/>
        <v>--</v>
      </c>
      <c r="S42" s="155" t="str">
        <f t="shared" si="9"/>
        <v>SI</v>
      </c>
      <c r="T42" s="421">
        <f t="shared" si="10"/>
        <v>7116.7392</v>
      </c>
      <c r="U42" s="6"/>
    </row>
    <row r="43" spans="2:21" s="5" customFormat="1" ht="16.5" customHeight="1">
      <c r="B43" s="50"/>
      <c r="C43" s="289"/>
      <c r="D43" s="412"/>
      <c r="E43" s="412"/>
      <c r="F43" s="413"/>
      <c r="G43" s="131">
        <f t="shared" si="0"/>
        <v>51.126</v>
      </c>
      <c r="H43" s="414"/>
      <c r="I43" s="153"/>
      <c r="J43" s="415">
        <f t="shared" si="1"/>
      </c>
      <c r="K43" s="416">
        <f t="shared" si="2"/>
      </c>
      <c r="L43" s="234"/>
      <c r="M43" s="155">
        <f t="shared" si="3"/>
      </c>
      <c r="N43" s="417">
        <f t="shared" si="4"/>
        <v>40</v>
      </c>
      <c r="O43" s="418" t="str">
        <f t="shared" si="5"/>
        <v>--</v>
      </c>
      <c r="P43" s="419" t="str">
        <f t="shared" si="6"/>
        <v>--</v>
      </c>
      <c r="Q43" s="420" t="str">
        <f t="shared" si="7"/>
        <v>--</v>
      </c>
      <c r="R43" s="162" t="str">
        <f t="shared" si="8"/>
        <v>--</v>
      </c>
      <c r="S43" s="155">
        <f t="shared" si="9"/>
      </c>
      <c r="T43" s="421">
        <f t="shared" si="10"/>
      </c>
      <c r="U43" s="6"/>
    </row>
    <row r="44" spans="2:21" s="5" customFormat="1" ht="16.5" customHeight="1" thickBot="1">
      <c r="B44" s="50"/>
      <c r="C44" s="157"/>
      <c r="D44" s="149"/>
      <c r="E44" s="149"/>
      <c r="F44" s="243"/>
      <c r="G44" s="132"/>
      <c r="H44" s="422"/>
      <c r="I44" s="422"/>
      <c r="J44" s="423"/>
      <c r="K44" s="423"/>
      <c r="L44" s="422"/>
      <c r="M44" s="154"/>
      <c r="N44" s="424"/>
      <c r="O44" s="425"/>
      <c r="P44" s="426"/>
      <c r="Q44" s="427"/>
      <c r="R44" s="164"/>
      <c r="S44" s="154"/>
      <c r="T44" s="428"/>
      <c r="U44" s="6"/>
    </row>
    <row r="45" spans="2:21" s="5" customFormat="1" ht="16.5" customHeight="1" thickBot="1" thickTop="1">
      <c r="B45" s="50"/>
      <c r="C45" s="128" t="s">
        <v>25</v>
      </c>
      <c r="D45" s="129" t="s">
        <v>367</v>
      </c>
      <c r="E45"/>
      <c r="F45" s="4"/>
      <c r="G45" s="4"/>
      <c r="H45" s="4"/>
      <c r="I45" s="4"/>
      <c r="J45" s="4"/>
      <c r="K45" s="4"/>
      <c r="L45" s="4"/>
      <c r="M45" s="4"/>
      <c r="N45" s="4"/>
      <c r="O45" s="429">
        <f>SUM(O22:O44)</f>
        <v>107852.14066000002</v>
      </c>
      <c r="P45" s="430">
        <f>SUM(P22:P44)</f>
        <v>2045.04</v>
      </c>
      <c r="Q45" s="431">
        <f>SUM(Q22:Q44)</f>
        <v>50941.9464</v>
      </c>
      <c r="R45" s="432">
        <f>SUM(R22:R44)</f>
        <v>0</v>
      </c>
      <c r="S45" s="433"/>
      <c r="T45" s="101">
        <f>ROUND(SUM(T22:T44),2)</f>
        <v>95477.21</v>
      </c>
      <c r="U45" s="6"/>
    </row>
    <row r="46" spans="2:21" s="5" customFormat="1" ht="16.5" customHeight="1" thickBot="1" thickTop="1">
      <c r="B46" s="74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6"/>
    </row>
    <row r="47" spans="21:23" ht="16.5" customHeight="1" thickTop="1">
      <c r="U47" s="179"/>
      <c r="V47" s="179"/>
      <c r="W47" s="179"/>
    </row>
    <row r="48" spans="21:23" ht="16.5" customHeight="1">
      <c r="U48" s="179"/>
      <c r="V48" s="179"/>
      <c r="W48" s="179"/>
    </row>
    <row r="49" spans="21:23" ht="16.5" customHeight="1">
      <c r="U49" s="179"/>
      <c r="V49" s="179"/>
      <c r="W49" s="179"/>
    </row>
    <row r="50" spans="21:23" ht="16.5" customHeight="1">
      <c r="U50" s="179"/>
      <c r="V50" s="179"/>
      <c r="W50" s="179"/>
    </row>
    <row r="51" spans="21:23" ht="16.5" customHeight="1">
      <c r="U51" s="179"/>
      <c r="V51" s="179"/>
      <c r="W51" s="179"/>
    </row>
    <row r="52" spans="4:23" ht="16.5" customHeight="1"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</row>
    <row r="53" spans="4:23" ht="16.5" customHeight="1"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</row>
    <row r="54" spans="4:23" ht="16.5" customHeight="1"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</row>
    <row r="55" spans="4:23" ht="16.5" customHeight="1"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</row>
    <row r="56" spans="4:23" ht="16.5" customHeight="1"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</row>
    <row r="57" spans="4:23" ht="16.5" customHeight="1"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</row>
    <row r="58" spans="4:23" ht="16.5" customHeight="1"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</row>
    <row r="59" spans="4:23" ht="16.5" customHeight="1"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</row>
    <row r="60" spans="4:23" ht="16.5" customHeight="1"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</row>
    <row r="61" spans="4:23" ht="16.5" customHeight="1"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</row>
    <row r="62" spans="4:23" ht="16.5" customHeight="1"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</row>
    <row r="63" spans="4:23" ht="16.5" customHeight="1"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</row>
    <row r="64" spans="4:23" ht="16.5" customHeight="1"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</row>
    <row r="65" spans="4:23" ht="16.5" customHeight="1"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</row>
    <row r="66" spans="4:23" ht="16.5" customHeight="1"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</row>
    <row r="67" spans="4:23" ht="16.5" customHeight="1"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</row>
    <row r="68" spans="4:23" ht="16.5" customHeight="1"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</row>
    <row r="69" spans="4:23" ht="16.5" customHeight="1"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</row>
    <row r="70" spans="4:23" ht="16.5" customHeight="1"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</row>
    <row r="71" spans="4:23" ht="16.5" customHeight="1"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</row>
    <row r="72" spans="4:23" ht="16.5" customHeight="1"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</row>
    <row r="73" spans="4:23" ht="16.5" customHeight="1"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</row>
    <row r="74" spans="4:23" ht="16.5" customHeight="1"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</row>
    <row r="75" spans="4:23" ht="16.5" customHeight="1"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</row>
    <row r="76" spans="4:23" ht="16.5" customHeight="1"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</row>
    <row r="77" spans="4:23" ht="16.5" customHeight="1"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</row>
    <row r="78" spans="4:23" ht="16.5" customHeight="1"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</row>
    <row r="79" spans="4:23" ht="16.5" customHeight="1"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</row>
    <row r="80" spans="4:23" ht="16.5" customHeight="1"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</row>
    <row r="81" spans="4:23" ht="16.5" customHeight="1"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</row>
    <row r="82" spans="4:23" ht="16.5" customHeight="1"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</row>
    <row r="83" spans="4:23" ht="16.5" customHeight="1"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</row>
    <row r="84" spans="4:23" ht="16.5" customHeight="1"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  <c r="T84" s="179"/>
      <c r="U84" s="179"/>
      <c r="V84" s="179"/>
      <c r="W84" s="179"/>
    </row>
    <row r="85" spans="4:23" ht="16.5" customHeight="1"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</row>
    <row r="86" spans="4:23" ht="16.5" customHeight="1"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  <c r="W86" s="179"/>
    </row>
    <row r="87" spans="4:23" ht="16.5" customHeight="1"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</row>
    <row r="88" spans="4:23" ht="16.5" customHeight="1"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79"/>
    </row>
    <row r="89" spans="4:23" ht="16.5" customHeight="1"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</row>
    <row r="90" spans="4:23" ht="16.5" customHeight="1"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</row>
    <row r="91" spans="4:23" ht="16.5" customHeight="1"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</row>
    <row r="92" spans="4:23" ht="16.5" customHeight="1"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</row>
    <row r="93" spans="4:23" ht="16.5" customHeight="1"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</row>
    <row r="94" spans="4:23" ht="16.5" customHeight="1"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</row>
    <row r="95" spans="4:23" ht="16.5" customHeight="1"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</row>
    <row r="96" spans="4:23" ht="16.5" customHeight="1"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</row>
    <row r="97" spans="4:23" ht="16.5" customHeight="1"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</row>
    <row r="98" spans="4:23" ht="16.5" customHeight="1"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  <c r="S98" s="179"/>
      <c r="T98" s="179"/>
      <c r="U98" s="179"/>
      <c r="V98" s="179"/>
      <c r="W98" s="179"/>
    </row>
    <row r="99" spans="4:23" ht="16.5" customHeight="1"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  <c r="S99" s="179"/>
      <c r="T99" s="179"/>
      <c r="U99" s="179"/>
      <c r="V99" s="179"/>
      <c r="W99" s="179"/>
    </row>
    <row r="100" spans="4:23" ht="16.5" customHeight="1"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179"/>
      <c r="U100" s="179"/>
      <c r="V100" s="179"/>
      <c r="W100" s="179"/>
    </row>
    <row r="101" spans="4:23" ht="16.5" customHeight="1"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  <c r="S101" s="179"/>
      <c r="T101" s="179"/>
      <c r="U101" s="179"/>
      <c r="V101" s="179"/>
      <c r="W101" s="179"/>
    </row>
    <row r="102" spans="4:23" ht="16.5" customHeight="1"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</row>
    <row r="103" spans="4:23" ht="16.5" customHeight="1"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  <c r="S103" s="179"/>
      <c r="T103" s="179"/>
      <c r="U103" s="179"/>
      <c r="V103" s="179"/>
      <c r="W103" s="179"/>
    </row>
    <row r="104" spans="4:23" ht="16.5" customHeight="1"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179"/>
      <c r="U104" s="179"/>
      <c r="V104" s="179"/>
      <c r="W104" s="179"/>
    </row>
    <row r="105" spans="4:23" ht="16.5" customHeight="1"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  <c r="S105" s="179"/>
      <c r="T105" s="179"/>
      <c r="U105" s="179"/>
      <c r="V105" s="179"/>
      <c r="W105" s="179"/>
    </row>
    <row r="106" spans="4:23" ht="16.5" customHeight="1"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T106" s="179"/>
      <c r="U106" s="179"/>
      <c r="V106" s="179"/>
      <c r="W106" s="179"/>
    </row>
    <row r="107" spans="4:23" ht="16.5" customHeight="1"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  <c r="S107" s="179"/>
      <c r="T107" s="179"/>
      <c r="U107" s="179"/>
      <c r="V107" s="179"/>
      <c r="W107" s="179"/>
    </row>
    <row r="108" spans="4:23" ht="16.5" customHeight="1"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  <c r="S108" s="179"/>
      <c r="T108" s="179"/>
      <c r="U108" s="179"/>
      <c r="V108" s="179"/>
      <c r="W108" s="179"/>
    </row>
    <row r="109" spans="4:23" ht="16.5" customHeight="1"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  <c r="S109" s="179"/>
      <c r="T109" s="179"/>
      <c r="U109" s="179"/>
      <c r="V109" s="179"/>
      <c r="W109" s="179"/>
    </row>
    <row r="110" spans="4:23" ht="16.5" customHeight="1"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  <c r="S110" s="179"/>
      <c r="T110" s="179"/>
      <c r="U110" s="179"/>
      <c r="V110" s="179"/>
      <c r="W110" s="179"/>
    </row>
    <row r="111" spans="4:23" ht="16.5" customHeight="1"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  <c r="S111" s="179"/>
      <c r="T111" s="179"/>
      <c r="U111" s="179"/>
      <c r="V111" s="179"/>
      <c r="W111" s="179"/>
    </row>
    <row r="112" spans="4:23" ht="16.5" customHeight="1"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  <c r="S112" s="179"/>
      <c r="T112" s="179"/>
      <c r="U112" s="179"/>
      <c r="V112" s="179"/>
      <c r="W112" s="179"/>
    </row>
    <row r="113" spans="4:23" ht="16.5" customHeight="1"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  <c r="S113" s="179"/>
      <c r="T113" s="179"/>
      <c r="U113" s="179"/>
      <c r="V113" s="179"/>
      <c r="W113" s="179"/>
    </row>
    <row r="114" spans="4:23" ht="16.5" customHeight="1"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  <c r="S114" s="179"/>
      <c r="T114" s="179"/>
      <c r="U114" s="179"/>
      <c r="V114" s="179"/>
      <c r="W114" s="179"/>
    </row>
    <row r="115" spans="4:23" ht="16.5" customHeight="1"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  <c r="S115" s="179"/>
      <c r="T115" s="179"/>
      <c r="U115" s="179"/>
      <c r="V115" s="179"/>
      <c r="W115" s="179"/>
    </row>
    <row r="116" spans="4:23" ht="16.5" customHeight="1"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  <c r="S116" s="179"/>
      <c r="T116" s="179"/>
      <c r="U116" s="179"/>
      <c r="V116" s="179"/>
      <c r="W116" s="179"/>
    </row>
    <row r="117" spans="4:23" ht="16.5" customHeight="1"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  <c r="S117" s="179"/>
      <c r="T117" s="179"/>
      <c r="U117" s="179"/>
      <c r="V117" s="179"/>
      <c r="W117" s="179"/>
    </row>
    <row r="118" spans="4:23" ht="16.5" customHeight="1"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  <c r="S118" s="179"/>
      <c r="T118" s="179"/>
      <c r="U118" s="179"/>
      <c r="V118" s="179"/>
      <c r="W118" s="179"/>
    </row>
    <row r="119" spans="4:23" ht="16.5" customHeight="1"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  <c r="S119" s="179"/>
      <c r="T119" s="179"/>
      <c r="U119" s="179"/>
      <c r="V119" s="179"/>
      <c r="W119" s="179"/>
    </row>
    <row r="120" spans="4:23" ht="16.5" customHeight="1"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  <c r="S120" s="179"/>
      <c r="T120" s="179"/>
      <c r="U120" s="179"/>
      <c r="V120" s="179"/>
      <c r="W120" s="179"/>
    </row>
    <row r="121" spans="4:23" ht="16.5" customHeight="1"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  <c r="S121" s="179"/>
      <c r="T121" s="179"/>
      <c r="U121" s="179"/>
      <c r="V121" s="179"/>
      <c r="W121" s="179"/>
    </row>
    <row r="122" spans="4:23" ht="16.5" customHeight="1"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  <c r="S122" s="179"/>
      <c r="T122" s="179"/>
      <c r="U122" s="179"/>
      <c r="V122" s="179"/>
      <c r="W122" s="179"/>
    </row>
    <row r="123" spans="4:23" ht="16.5" customHeight="1"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  <c r="S123" s="179"/>
      <c r="T123" s="179"/>
      <c r="U123" s="179"/>
      <c r="V123" s="179"/>
      <c r="W123" s="179"/>
    </row>
    <row r="124" spans="4:23" ht="16.5" customHeight="1"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  <c r="S124" s="179"/>
      <c r="T124" s="179"/>
      <c r="U124" s="179"/>
      <c r="V124" s="179"/>
      <c r="W124" s="179"/>
    </row>
    <row r="125" spans="4:23" ht="16.5" customHeight="1"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  <c r="S125" s="179"/>
      <c r="T125" s="179"/>
      <c r="U125" s="179"/>
      <c r="V125" s="179"/>
      <c r="W125" s="179"/>
    </row>
    <row r="126" spans="4:23" ht="16.5" customHeight="1"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  <c r="S126" s="179"/>
      <c r="T126" s="179"/>
      <c r="U126" s="179"/>
      <c r="V126" s="179"/>
      <c r="W126" s="179"/>
    </row>
    <row r="127" spans="4:23" ht="16.5" customHeight="1"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  <c r="S127" s="179"/>
      <c r="T127" s="179"/>
      <c r="U127" s="179"/>
      <c r="V127" s="179"/>
      <c r="W127" s="179"/>
    </row>
    <row r="128" spans="4:23" ht="16.5" customHeight="1"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  <c r="S128" s="179"/>
      <c r="T128" s="179"/>
      <c r="U128" s="179"/>
      <c r="V128" s="179"/>
      <c r="W128" s="179"/>
    </row>
    <row r="129" spans="4:23" ht="16.5" customHeight="1"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  <c r="S129" s="179"/>
      <c r="T129" s="179"/>
      <c r="U129" s="179"/>
      <c r="V129" s="179"/>
      <c r="W129" s="179"/>
    </row>
    <row r="130" spans="4:23" ht="16.5" customHeight="1"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  <c r="S130" s="179"/>
      <c r="T130" s="179"/>
      <c r="U130" s="179"/>
      <c r="V130" s="179"/>
      <c r="W130" s="179"/>
    </row>
    <row r="131" spans="4:23" ht="16.5" customHeight="1"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  <c r="S131" s="179"/>
      <c r="T131" s="179"/>
      <c r="U131" s="179"/>
      <c r="V131" s="179"/>
      <c r="W131" s="179"/>
    </row>
    <row r="132" spans="4:23" ht="16.5" customHeight="1"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  <c r="S132" s="179"/>
      <c r="T132" s="179"/>
      <c r="U132" s="179"/>
      <c r="V132" s="179"/>
      <c r="W132" s="179"/>
    </row>
    <row r="133" spans="4:23" ht="16.5" customHeight="1"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  <c r="S133" s="179"/>
      <c r="T133" s="179"/>
      <c r="U133" s="179"/>
      <c r="V133" s="179"/>
      <c r="W133" s="179"/>
    </row>
    <row r="134" spans="4:23" ht="16.5" customHeight="1"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  <c r="S134" s="179"/>
      <c r="T134" s="179"/>
      <c r="U134" s="179"/>
      <c r="V134" s="179"/>
      <c r="W134" s="179"/>
    </row>
    <row r="135" spans="4:23" ht="16.5" customHeight="1"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  <c r="S135" s="179"/>
      <c r="T135" s="179"/>
      <c r="U135" s="179"/>
      <c r="V135" s="179"/>
      <c r="W135" s="179"/>
    </row>
    <row r="136" spans="4:23" ht="16.5" customHeight="1"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  <c r="S136" s="179"/>
      <c r="T136" s="179"/>
      <c r="U136" s="179"/>
      <c r="V136" s="179"/>
      <c r="W136" s="179"/>
    </row>
    <row r="137" spans="4:23" ht="16.5" customHeight="1"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  <c r="S137" s="179"/>
      <c r="T137" s="179"/>
      <c r="U137" s="179"/>
      <c r="V137" s="179"/>
      <c r="W137" s="179"/>
    </row>
    <row r="138" spans="4:23" ht="16.5" customHeight="1"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  <c r="S138" s="179"/>
      <c r="T138" s="179"/>
      <c r="U138" s="179"/>
      <c r="V138" s="179"/>
      <c r="W138" s="179"/>
    </row>
    <row r="139" spans="4:23" ht="16.5" customHeight="1"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  <c r="S139" s="179"/>
      <c r="T139" s="179"/>
      <c r="U139" s="179"/>
      <c r="V139" s="179"/>
      <c r="W139" s="179"/>
    </row>
    <row r="140" spans="4:23" ht="16.5" customHeight="1"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  <c r="S140" s="179"/>
      <c r="T140" s="179"/>
      <c r="U140" s="179"/>
      <c r="V140" s="179"/>
      <c r="W140" s="179"/>
    </row>
    <row r="141" spans="4:23" ht="16.5" customHeight="1"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  <c r="S141" s="179"/>
      <c r="T141" s="179"/>
      <c r="U141" s="179"/>
      <c r="V141" s="179"/>
      <c r="W141" s="179"/>
    </row>
    <row r="142" spans="4:23" ht="16.5" customHeight="1"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  <c r="S142" s="179"/>
      <c r="T142" s="179"/>
      <c r="U142" s="179"/>
      <c r="V142" s="179"/>
      <c r="W142" s="179"/>
    </row>
    <row r="143" spans="4:23" ht="16.5" customHeight="1"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  <c r="S143" s="179"/>
      <c r="T143" s="179"/>
      <c r="U143" s="179"/>
      <c r="V143" s="179"/>
      <c r="W143" s="179"/>
    </row>
    <row r="144" spans="4:23" ht="16.5" customHeight="1"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  <c r="S144" s="179"/>
      <c r="T144" s="179"/>
      <c r="U144" s="179"/>
      <c r="V144" s="179"/>
      <c r="W144" s="179"/>
    </row>
    <row r="145" spans="4:23" ht="16.5" customHeight="1"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  <c r="S145" s="179"/>
      <c r="T145" s="179"/>
      <c r="U145" s="179"/>
      <c r="V145" s="179"/>
      <c r="W145" s="179"/>
    </row>
    <row r="146" spans="4:23" ht="16.5" customHeight="1"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  <c r="S146" s="179"/>
      <c r="T146" s="179"/>
      <c r="U146" s="179"/>
      <c r="V146" s="179"/>
      <c r="W146" s="179"/>
    </row>
    <row r="147" spans="4:23" ht="16.5" customHeight="1"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  <c r="S147" s="179"/>
      <c r="T147" s="179"/>
      <c r="U147" s="179"/>
      <c r="V147" s="179"/>
      <c r="W147" s="179"/>
    </row>
    <row r="148" spans="4:23" ht="16.5" customHeight="1"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  <c r="S148" s="179"/>
      <c r="T148" s="179"/>
      <c r="U148" s="179"/>
      <c r="V148" s="179"/>
      <c r="W148" s="179"/>
    </row>
    <row r="149" spans="4:23" ht="16.5" customHeight="1"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  <c r="S149" s="179"/>
      <c r="T149" s="179"/>
      <c r="U149" s="179"/>
      <c r="V149" s="179"/>
      <c r="W149" s="179"/>
    </row>
    <row r="150" spans="4:23" ht="16.5" customHeight="1"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  <c r="S150" s="179"/>
      <c r="T150" s="179"/>
      <c r="U150" s="179"/>
      <c r="V150" s="179"/>
      <c r="W150" s="179"/>
    </row>
    <row r="151" spans="4:23" ht="16.5" customHeight="1"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  <c r="S151" s="179"/>
      <c r="T151" s="179"/>
      <c r="U151" s="179"/>
      <c r="V151" s="179"/>
      <c r="W151" s="179"/>
    </row>
    <row r="152" spans="4:23" ht="16.5" customHeight="1"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  <c r="S152" s="179"/>
      <c r="T152" s="179"/>
      <c r="U152" s="179"/>
      <c r="V152" s="179"/>
      <c r="W152" s="179"/>
    </row>
    <row r="153" spans="4:23" ht="16.5" customHeight="1"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  <c r="S153" s="179"/>
      <c r="T153" s="179"/>
      <c r="U153" s="179"/>
      <c r="V153" s="179"/>
      <c r="W153" s="179"/>
    </row>
    <row r="154" spans="4:23" ht="16.5" customHeight="1"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  <c r="S154" s="179"/>
      <c r="T154" s="179"/>
      <c r="U154" s="179"/>
      <c r="V154" s="179"/>
      <c r="W154" s="179"/>
    </row>
    <row r="155" spans="4:23" ht="16.5" customHeight="1"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  <c r="S155" s="179"/>
      <c r="T155" s="179"/>
      <c r="U155" s="179"/>
      <c r="V155" s="179"/>
      <c r="W155" s="179"/>
    </row>
    <row r="156" spans="4:23" ht="16.5" customHeight="1"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  <c r="S156" s="179"/>
      <c r="T156" s="179"/>
      <c r="U156" s="179"/>
      <c r="V156" s="179"/>
      <c r="W156" s="179"/>
    </row>
    <row r="157" spans="4:23" ht="16.5" customHeight="1"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  <c r="S157" s="179"/>
      <c r="T157" s="179"/>
      <c r="U157" s="179"/>
      <c r="V157" s="179"/>
      <c r="W157" s="179"/>
    </row>
    <row r="158" spans="4:23" ht="16.5" customHeight="1"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  <c r="S158" s="179"/>
      <c r="T158" s="179"/>
      <c r="U158" s="179"/>
      <c r="V158" s="179"/>
      <c r="W158" s="179"/>
    </row>
    <row r="159" spans="4:23" ht="16.5" customHeight="1"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  <c r="S159" s="179"/>
      <c r="T159" s="179"/>
      <c r="U159" s="179"/>
      <c r="V159" s="179"/>
      <c r="W159" s="179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2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37">
    <pageSetUpPr fitToPage="1"/>
  </sheetPr>
  <dimension ref="A1:W159"/>
  <sheetViews>
    <sheetView zoomScale="75" zoomScaleNormal="75" workbookViewId="0" topLeftCell="E1">
      <selection activeCell="T25" sqref="T25"/>
    </sheetView>
  </sheetViews>
  <sheetFormatPr defaultColWidth="11.421875" defaultRowHeight="16.5" customHeight="1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40.7109375" style="0" customWidth="1"/>
    <col min="6" max="6" width="9.7109375" style="0" customWidth="1"/>
    <col min="7" max="7" width="14.28125" style="0" hidden="1" customWidth="1"/>
    <col min="8" max="9" width="15.7109375" style="0" customWidth="1"/>
    <col min="10" max="12" width="9.7109375" style="0" customWidth="1"/>
    <col min="13" max="13" width="6.421875" style="0" customWidth="1"/>
    <col min="14" max="14" width="12.00390625" style="0" hidden="1" customWidth="1"/>
    <col min="15" max="15" width="16.28125" style="0" hidden="1" customWidth="1"/>
    <col min="16" max="16" width="17.140625" style="0" hidden="1" customWidth="1"/>
    <col min="17" max="18" width="15.421875" style="0" hidden="1" customWidth="1"/>
    <col min="19" max="19" width="9.7109375" style="0" customWidth="1"/>
    <col min="20" max="21" width="15.7109375" style="0" customWidth="1"/>
  </cols>
  <sheetData>
    <row r="1" s="18" customFormat="1" ht="26.25">
      <c r="U1" s="146"/>
    </row>
    <row r="2" spans="1:21" s="18" customFormat="1" ht="26.25">
      <c r="A2" s="91"/>
      <c r="B2" s="19" t="str">
        <f>+'TOT-1108'!B2</f>
        <v>ANEXO VI al Memoràndum D.T.E.E. N°  366 / 2010          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="5" customFormat="1" ht="12.75">
      <c r="A3" s="90"/>
    </row>
    <row r="4" spans="1:2" s="25" customFormat="1" ht="11.25">
      <c r="A4" s="23" t="s">
        <v>2</v>
      </c>
      <c r="B4" s="125"/>
    </row>
    <row r="5" spans="1:2" s="25" customFormat="1" ht="11.25">
      <c r="A5" s="23" t="s">
        <v>3</v>
      </c>
      <c r="B5" s="125"/>
    </row>
    <row r="6" s="5" customFormat="1" ht="13.5" thickBot="1"/>
    <row r="7" spans="2:21" s="5" customFormat="1" ht="13.5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1"/>
    </row>
    <row r="8" spans="2:21" s="29" customFormat="1" ht="20.25">
      <c r="B8" s="79"/>
      <c r="C8" s="30"/>
      <c r="D8" s="12" t="s">
        <v>70</v>
      </c>
      <c r="L8" s="106"/>
      <c r="M8" s="106"/>
      <c r="N8" s="96"/>
      <c r="O8" s="30"/>
      <c r="P8" s="30"/>
      <c r="Q8" s="30"/>
      <c r="R8" s="30"/>
      <c r="S8" s="30"/>
      <c r="T8" s="30"/>
      <c r="U8" s="80"/>
    </row>
    <row r="9" spans="2:21" s="5" customFormat="1" ht="12.75">
      <c r="B9" s="50"/>
      <c r="C9" s="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4"/>
      <c r="P9" s="4"/>
      <c r="Q9" s="4"/>
      <c r="R9" s="4"/>
      <c r="S9" s="4"/>
      <c r="T9" s="4"/>
      <c r="U9" s="6"/>
    </row>
    <row r="10" spans="2:21" s="29" customFormat="1" ht="20.25">
      <c r="B10" s="79"/>
      <c r="C10" s="30"/>
      <c r="D10" s="114" t="s">
        <v>260</v>
      </c>
      <c r="E10" s="369"/>
      <c r="F10" s="106"/>
      <c r="G10" s="109"/>
      <c r="I10" s="109"/>
      <c r="J10" s="109"/>
      <c r="K10" s="109"/>
      <c r="L10" s="109"/>
      <c r="M10" s="109"/>
      <c r="N10" s="109"/>
      <c r="O10" s="30"/>
      <c r="P10" s="30"/>
      <c r="Q10" s="30"/>
      <c r="R10" s="30"/>
      <c r="S10" s="30"/>
      <c r="T10" s="30"/>
      <c r="U10" s="80"/>
    </row>
    <row r="11" spans="2:21" s="5" customFormat="1" ht="13.5">
      <c r="B11" s="50"/>
      <c r="C11" s="4"/>
      <c r="D11" s="370"/>
      <c r="E11" s="370"/>
      <c r="F11" s="90"/>
      <c r="G11" s="97"/>
      <c r="H11" s="52"/>
      <c r="I11" s="97"/>
      <c r="J11" s="97"/>
      <c r="K11" s="97"/>
      <c r="L11" s="97"/>
      <c r="M11" s="97"/>
      <c r="N11" s="97"/>
      <c r="O11" s="4"/>
      <c r="P11" s="4"/>
      <c r="Q11" s="4"/>
      <c r="R11" s="4"/>
      <c r="S11" s="4"/>
      <c r="T11" s="4"/>
      <c r="U11" s="6"/>
    </row>
    <row r="12" spans="2:21" s="29" customFormat="1" ht="20.25">
      <c r="B12" s="79"/>
      <c r="C12" s="30"/>
      <c r="D12" s="114" t="s">
        <v>86</v>
      </c>
      <c r="E12" s="369"/>
      <c r="F12" s="106"/>
      <c r="G12" s="109"/>
      <c r="I12" s="109"/>
      <c r="J12" s="109"/>
      <c r="K12" s="109"/>
      <c r="L12" s="109"/>
      <c r="M12" s="109"/>
      <c r="N12" s="109"/>
      <c r="O12" s="30"/>
      <c r="P12" s="30"/>
      <c r="Q12" s="30"/>
      <c r="R12" s="30"/>
      <c r="S12" s="30"/>
      <c r="T12" s="30"/>
      <c r="U12" s="80"/>
    </row>
    <row r="13" spans="2:21" s="5" customFormat="1" ht="13.5">
      <c r="B13" s="50"/>
      <c r="C13" s="4"/>
      <c r="D13" s="370"/>
      <c r="E13" s="370"/>
      <c r="F13" s="90"/>
      <c r="G13" s="97"/>
      <c r="H13" s="52"/>
      <c r="I13" s="97"/>
      <c r="J13" s="97"/>
      <c r="K13" s="97"/>
      <c r="L13" s="97"/>
      <c r="M13" s="97"/>
      <c r="N13" s="97"/>
      <c r="O13" s="4"/>
      <c r="P13" s="4"/>
      <c r="Q13" s="4"/>
      <c r="R13" s="4"/>
      <c r="S13" s="4"/>
      <c r="T13" s="4"/>
      <c r="U13" s="6"/>
    </row>
    <row r="14" spans="2:21" s="5" customFormat="1" ht="19.5">
      <c r="B14" s="37" t="str">
        <f>'TOT-1108'!B14</f>
        <v>Desde el 01 al 30 de noviembre de 2008</v>
      </c>
      <c r="C14" s="40"/>
      <c r="D14" s="40"/>
      <c r="E14" s="40"/>
      <c r="F14" s="40"/>
      <c r="G14" s="371"/>
      <c r="H14" s="371"/>
      <c r="I14" s="371"/>
      <c r="J14" s="371"/>
      <c r="K14" s="371"/>
      <c r="L14" s="371"/>
      <c r="M14" s="371"/>
      <c r="N14" s="371"/>
      <c r="O14" s="40"/>
      <c r="P14" s="40"/>
      <c r="Q14" s="40"/>
      <c r="R14" s="40"/>
      <c r="S14" s="40"/>
      <c r="T14" s="40"/>
      <c r="U14" s="372"/>
    </row>
    <row r="15" spans="2:21" s="5" customFormat="1" ht="14.25" thickBot="1">
      <c r="B15" s="373"/>
      <c r="C15" s="374"/>
      <c r="D15" s="374"/>
      <c r="E15" s="374"/>
      <c r="F15" s="374"/>
      <c r="G15" s="375"/>
      <c r="H15" s="375"/>
      <c r="I15" s="375"/>
      <c r="J15" s="375"/>
      <c r="K15" s="375"/>
      <c r="L15" s="375"/>
      <c r="M15" s="375"/>
      <c r="N15" s="375"/>
      <c r="O15" s="374"/>
      <c r="P15" s="374"/>
      <c r="Q15" s="374"/>
      <c r="R15" s="374"/>
      <c r="S15" s="374"/>
      <c r="T15" s="374"/>
      <c r="U15" s="376"/>
    </row>
    <row r="16" spans="2:21" s="5" customFormat="1" ht="15" thickBot="1" thickTop="1">
      <c r="B16" s="50"/>
      <c r="C16" s="4"/>
      <c r="D16" s="377"/>
      <c r="E16" s="377"/>
      <c r="F16" s="118" t="s">
        <v>87</v>
      </c>
      <c r="G16" s="4"/>
      <c r="H16" s="52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6"/>
    </row>
    <row r="17" spans="2:21" s="5" customFormat="1" ht="16.5" customHeight="1" thickBot="1" thickTop="1">
      <c r="B17" s="50"/>
      <c r="C17" s="4"/>
      <c r="D17" s="378" t="s">
        <v>88</v>
      </c>
      <c r="E17" s="379">
        <v>63.904</v>
      </c>
      <c r="F17" s="380">
        <v>200</v>
      </c>
      <c r="T17" s="116"/>
      <c r="U17" s="6"/>
    </row>
    <row r="18" spans="2:21" s="5" customFormat="1" ht="16.5" customHeight="1" thickBot="1" thickTop="1">
      <c r="B18" s="50"/>
      <c r="C18" s="4"/>
      <c r="D18" s="381" t="s">
        <v>89</v>
      </c>
      <c r="E18" s="382">
        <v>57.511</v>
      </c>
      <c r="F18" s="380">
        <v>100</v>
      </c>
      <c r="M18" s="4"/>
      <c r="N18" s="4"/>
      <c r="O18" s="4"/>
      <c r="P18" s="4"/>
      <c r="Q18" s="4"/>
      <c r="R18" s="4"/>
      <c r="S18" s="4"/>
      <c r="T18" s="4"/>
      <c r="U18" s="6"/>
    </row>
    <row r="19" spans="2:21" s="5" customFormat="1" ht="16.5" customHeight="1" thickBot="1" thickTop="1">
      <c r="B19" s="50"/>
      <c r="C19" s="4"/>
      <c r="D19" s="383" t="s">
        <v>90</v>
      </c>
      <c r="E19" s="382">
        <v>51.126</v>
      </c>
      <c r="F19" s="380">
        <v>40</v>
      </c>
      <c r="I19" s="214"/>
      <c r="J19" s="215"/>
      <c r="K19" s="4"/>
      <c r="M19" s="4"/>
      <c r="O19" s="4"/>
      <c r="P19" s="4"/>
      <c r="Q19" s="4"/>
      <c r="R19" s="4"/>
      <c r="S19" s="4"/>
      <c r="T19" s="4"/>
      <c r="U19" s="6"/>
    </row>
    <row r="20" spans="2:21" s="5" customFormat="1" ht="16.5" customHeight="1" thickBot="1" thickTop="1">
      <c r="B20" s="50"/>
      <c r="C20" s="384"/>
      <c r="D20" s="385"/>
      <c r="E20" s="385"/>
      <c r="F20" s="386"/>
      <c r="G20" s="387"/>
      <c r="H20" s="387"/>
      <c r="I20" s="387"/>
      <c r="J20" s="387"/>
      <c r="K20" s="387"/>
      <c r="L20" s="387"/>
      <c r="M20" s="387"/>
      <c r="N20" s="388"/>
      <c r="O20" s="389"/>
      <c r="P20" s="390"/>
      <c r="Q20" s="390"/>
      <c r="R20" s="390"/>
      <c r="S20" s="391"/>
      <c r="T20" s="392"/>
      <c r="U20" s="6"/>
    </row>
    <row r="21" spans="2:21" s="5" customFormat="1" ht="33.75" customHeight="1" thickBot="1" thickTop="1">
      <c r="B21" s="50"/>
      <c r="C21" s="84" t="s">
        <v>13</v>
      </c>
      <c r="D21" s="86" t="s">
        <v>27</v>
      </c>
      <c r="E21" s="393" t="s">
        <v>28</v>
      </c>
      <c r="F21" s="394" t="s">
        <v>14</v>
      </c>
      <c r="G21" s="130" t="s">
        <v>16</v>
      </c>
      <c r="H21" s="85" t="s">
        <v>17</v>
      </c>
      <c r="I21" s="393" t="s">
        <v>18</v>
      </c>
      <c r="J21" s="395" t="s">
        <v>36</v>
      </c>
      <c r="K21" s="395" t="s">
        <v>31</v>
      </c>
      <c r="L21" s="88" t="s">
        <v>19</v>
      </c>
      <c r="M21" s="183" t="s">
        <v>32</v>
      </c>
      <c r="N21" s="136" t="s">
        <v>37</v>
      </c>
      <c r="O21" s="396" t="s">
        <v>71</v>
      </c>
      <c r="P21" s="184" t="s">
        <v>35</v>
      </c>
      <c r="Q21" s="397"/>
      <c r="R21" s="135" t="s">
        <v>22</v>
      </c>
      <c r="S21" s="133" t="s">
        <v>80</v>
      </c>
      <c r="T21" s="122" t="s">
        <v>24</v>
      </c>
      <c r="U21" s="6"/>
    </row>
    <row r="22" spans="2:21" s="5" customFormat="1" ht="16.5" customHeight="1" thickTop="1">
      <c r="B22" s="50"/>
      <c r="C22" s="7"/>
      <c r="D22" s="398"/>
      <c r="E22" s="398"/>
      <c r="F22" s="398"/>
      <c r="G22" s="232"/>
      <c r="H22" s="398"/>
      <c r="I22" s="398"/>
      <c r="J22" s="398"/>
      <c r="K22" s="398"/>
      <c r="L22" s="398"/>
      <c r="M22" s="398"/>
      <c r="N22" s="399"/>
      <c r="O22" s="400"/>
      <c r="P22" s="401"/>
      <c r="Q22" s="402"/>
      <c r="R22" s="403"/>
      <c r="S22" s="398"/>
      <c r="T22" s="404">
        <f>'SA-11 (1)'!T45</f>
        <v>95477.21</v>
      </c>
      <c r="U22" s="6"/>
    </row>
    <row r="23" spans="2:21" s="5" customFormat="1" ht="16.5" customHeight="1">
      <c r="B23" s="50"/>
      <c r="C23" s="289"/>
      <c r="D23" s="405"/>
      <c r="E23" s="405"/>
      <c r="F23" s="405"/>
      <c r="G23" s="406"/>
      <c r="H23" s="405"/>
      <c r="I23" s="405"/>
      <c r="J23" s="405"/>
      <c r="K23" s="405"/>
      <c r="L23" s="405"/>
      <c r="M23" s="405"/>
      <c r="N23" s="407"/>
      <c r="O23" s="408"/>
      <c r="P23" s="196"/>
      <c r="Q23" s="409"/>
      <c r="R23" s="410"/>
      <c r="S23" s="405"/>
      <c r="T23" s="411"/>
      <c r="U23" s="6"/>
    </row>
    <row r="24" spans="2:21" s="5" customFormat="1" ht="16.5" customHeight="1">
      <c r="B24" s="50"/>
      <c r="C24" s="157">
        <v>76</v>
      </c>
      <c r="D24" s="412" t="s">
        <v>327</v>
      </c>
      <c r="E24" s="412" t="s">
        <v>333</v>
      </c>
      <c r="F24" s="413">
        <v>132</v>
      </c>
      <c r="G24" s="131">
        <f aca="true" t="shared" si="0" ref="G24:G43">IF(F24=500,$E$17,IF(F24=220,$E$18,$E$19))</f>
        <v>51.126</v>
      </c>
      <c r="H24" s="414">
        <v>39779.316666666666</v>
      </c>
      <c r="I24" s="153">
        <v>39779.424305555556</v>
      </c>
      <c r="J24" s="415">
        <f aca="true" t="shared" si="1" ref="J24:J43">IF(D24="","",(I24-H24)*24)</f>
        <v>2.5833333333721384</v>
      </c>
      <c r="K24" s="416">
        <f aca="true" t="shared" si="2" ref="K24:K43">IF(D24="","",ROUND((I24-H24)*24*60,0))</f>
        <v>155</v>
      </c>
      <c r="L24" s="234" t="s">
        <v>251</v>
      </c>
      <c r="M24" s="155" t="str">
        <f aca="true" t="shared" si="3" ref="M24:M43">IF(D24="","",IF(L24="P","--","NO"))</f>
        <v>--</v>
      </c>
      <c r="N24" s="417">
        <f aca="true" t="shared" si="4" ref="N24:N43">IF(F24=500,$F$17,IF(F24=220,$F$18,$F$19))</f>
        <v>40</v>
      </c>
      <c r="O24" s="418">
        <f aca="true" t="shared" si="5" ref="O24:O43">IF(L24="P",G24*N24*ROUND(K24/60,2)*0.1,"--")</f>
        <v>527.62032</v>
      </c>
      <c r="P24" s="419" t="str">
        <f aca="true" t="shared" si="6" ref="P24:P43">IF(AND(L24="F",M24="NO"),G24*N24,"--")</f>
        <v>--</v>
      </c>
      <c r="Q24" s="420" t="str">
        <f aca="true" t="shared" si="7" ref="Q24:Q43">IF(L24="F",G24*N24*ROUND(K24/60,2),"--")</f>
        <v>--</v>
      </c>
      <c r="R24" s="162" t="str">
        <f aca="true" t="shared" si="8" ref="R24:R43">IF(L24="RF",G24*N24*ROUND(K24/60,2),"--")</f>
        <v>--</v>
      </c>
      <c r="S24" s="155" t="str">
        <f aca="true" t="shared" si="9" ref="S24:S43">IF(D24="","","SI")</f>
        <v>SI</v>
      </c>
      <c r="T24" s="421">
        <v>0</v>
      </c>
      <c r="U24" s="6"/>
    </row>
    <row r="25" spans="2:21" s="5" customFormat="1" ht="16.5" customHeight="1">
      <c r="B25" s="50"/>
      <c r="C25" s="289">
        <v>77</v>
      </c>
      <c r="D25" s="412" t="s">
        <v>308</v>
      </c>
      <c r="E25" s="412" t="s">
        <v>334</v>
      </c>
      <c r="F25" s="413">
        <v>132</v>
      </c>
      <c r="G25" s="131">
        <f t="shared" si="0"/>
        <v>51.126</v>
      </c>
      <c r="H25" s="414">
        <v>39779.336805555555</v>
      </c>
      <c r="I25" s="153">
        <v>39779.44236111111</v>
      </c>
      <c r="J25" s="415">
        <f t="shared" si="1"/>
        <v>2.53333333338378</v>
      </c>
      <c r="K25" s="416">
        <f t="shared" si="2"/>
        <v>152</v>
      </c>
      <c r="L25" s="234" t="s">
        <v>251</v>
      </c>
      <c r="M25" s="155" t="str">
        <f t="shared" si="3"/>
        <v>--</v>
      </c>
      <c r="N25" s="417">
        <f t="shared" si="4"/>
        <v>40</v>
      </c>
      <c r="O25" s="418">
        <f t="shared" si="5"/>
        <v>517.39512</v>
      </c>
      <c r="P25" s="419" t="str">
        <f t="shared" si="6"/>
        <v>--</v>
      </c>
      <c r="Q25" s="420" t="str">
        <f t="shared" si="7"/>
        <v>--</v>
      </c>
      <c r="R25" s="162" t="str">
        <f t="shared" si="8"/>
        <v>--</v>
      </c>
      <c r="S25" s="155" t="str">
        <f t="shared" si="9"/>
        <v>SI</v>
      </c>
      <c r="T25" s="421">
        <f aca="true" t="shared" si="10" ref="T25:T43">IF(D25="","",SUM(O25:R25)*IF(S25="SI",1,2))</f>
        <v>517.39512</v>
      </c>
      <c r="U25" s="6"/>
    </row>
    <row r="26" spans="2:21" s="5" customFormat="1" ht="16.5" customHeight="1">
      <c r="B26" s="50"/>
      <c r="C26" s="157">
        <v>78</v>
      </c>
      <c r="D26" s="412" t="s">
        <v>308</v>
      </c>
      <c r="E26" s="412" t="s">
        <v>335</v>
      </c>
      <c r="F26" s="413">
        <v>132</v>
      </c>
      <c r="G26" s="131">
        <f t="shared" si="0"/>
        <v>51.126</v>
      </c>
      <c r="H26" s="414">
        <v>39782.334027777775</v>
      </c>
      <c r="I26" s="153">
        <v>39782.39375</v>
      </c>
      <c r="J26" s="415">
        <f t="shared" si="1"/>
        <v>1.4333333334652707</v>
      </c>
      <c r="K26" s="416">
        <f t="shared" si="2"/>
        <v>86</v>
      </c>
      <c r="L26" s="234" t="s">
        <v>251</v>
      </c>
      <c r="M26" s="155" t="str">
        <f t="shared" si="3"/>
        <v>--</v>
      </c>
      <c r="N26" s="417">
        <f t="shared" si="4"/>
        <v>40</v>
      </c>
      <c r="O26" s="418">
        <f t="shared" si="5"/>
        <v>292.44072</v>
      </c>
      <c r="P26" s="419" t="str">
        <f t="shared" si="6"/>
        <v>--</v>
      </c>
      <c r="Q26" s="420" t="str">
        <f t="shared" si="7"/>
        <v>--</v>
      </c>
      <c r="R26" s="162" t="str">
        <f t="shared" si="8"/>
        <v>--</v>
      </c>
      <c r="S26" s="155" t="str">
        <f t="shared" si="9"/>
        <v>SI</v>
      </c>
      <c r="T26" s="421">
        <f t="shared" si="10"/>
        <v>292.44072</v>
      </c>
      <c r="U26" s="6"/>
    </row>
    <row r="27" spans="2:21" s="5" customFormat="1" ht="16.5" customHeight="1">
      <c r="B27" s="50"/>
      <c r="C27" s="289"/>
      <c r="D27" s="412"/>
      <c r="E27" s="412"/>
      <c r="F27" s="413"/>
      <c r="G27" s="131">
        <f t="shared" si="0"/>
        <v>51.126</v>
      </c>
      <c r="H27" s="414"/>
      <c r="I27" s="153"/>
      <c r="J27" s="415">
        <f t="shared" si="1"/>
      </c>
      <c r="K27" s="416">
        <f t="shared" si="2"/>
      </c>
      <c r="L27" s="234"/>
      <c r="M27" s="155">
        <f t="shared" si="3"/>
      </c>
      <c r="N27" s="417">
        <f t="shared" si="4"/>
        <v>40</v>
      </c>
      <c r="O27" s="418" t="str">
        <f t="shared" si="5"/>
        <v>--</v>
      </c>
      <c r="P27" s="419" t="str">
        <f t="shared" si="6"/>
        <v>--</v>
      </c>
      <c r="Q27" s="420" t="str">
        <f t="shared" si="7"/>
        <v>--</v>
      </c>
      <c r="R27" s="162" t="str">
        <f t="shared" si="8"/>
        <v>--</v>
      </c>
      <c r="S27" s="155">
        <f t="shared" si="9"/>
      </c>
      <c r="T27" s="421">
        <f t="shared" si="10"/>
      </c>
      <c r="U27" s="6"/>
    </row>
    <row r="28" spans="2:21" s="5" customFormat="1" ht="16.5" customHeight="1">
      <c r="B28" s="50"/>
      <c r="C28" s="157"/>
      <c r="D28" s="412"/>
      <c r="E28" s="412"/>
      <c r="F28" s="413"/>
      <c r="G28" s="131">
        <f t="shared" si="0"/>
        <v>51.126</v>
      </c>
      <c r="H28" s="414"/>
      <c r="I28" s="153"/>
      <c r="J28" s="415">
        <f t="shared" si="1"/>
      </c>
      <c r="K28" s="416">
        <f t="shared" si="2"/>
      </c>
      <c r="L28" s="234"/>
      <c r="M28" s="155">
        <f t="shared" si="3"/>
      </c>
      <c r="N28" s="417">
        <f t="shared" si="4"/>
        <v>40</v>
      </c>
      <c r="O28" s="418" t="str">
        <f t="shared" si="5"/>
        <v>--</v>
      </c>
      <c r="P28" s="419" t="str">
        <f t="shared" si="6"/>
        <v>--</v>
      </c>
      <c r="Q28" s="420" t="str">
        <f t="shared" si="7"/>
        <v>--</v>
      </c>
      <c r="R28" s="162" t="str">
        <f t="shared" si="8"/>
        <v>--</v>
      </c>
      <c r="S28" s="155">
        <f t="shared" si="9"/>
      </c>
      <c r="T28" s="421">
        <f t="shared" si="10"/>
      </c>
      <c r="U28" s="6"/>
    </row>
    <row r="29" spans="2:21" s="5" customFormat="1" ht="16.5" customHeight="1">
      <c r="B29" s="50"/>
      <c r="C29" s="289"/>
      <c r="D29" s="412"/>
      <c r="E29" s="412"/>
      <c r="F29" s="413"/>
      <c r="G29" s="131">
        <f t="shared" si="0"/>
        <v>51.126</v>
      </c>
      <c r="H29" s="414"/>
      <c r="I29" s="153"/>
      <c r="J29" s="415">
        <f t="shared" si="1"/>
      </c>
      <c r="K29" s="416">
        <f t="shared" si="2"/>
      </c>
      <c r="L29" s="234"/>
      <c r="M29" s="155">
        <f t="shared" si="3"/>
      </c>
      <c r="N29" s="417">
        <f t="shared" si="4"/>
        <v>40</v>
      </c>
      <c r="O29" s="418" t="str">
        <f t="shared" si="5"/>
        <v>--</v>
      </c>
      <c r="P29" s="419" t="str">
        <f t="shared" si="6"/>
        <v>--</v>
      </c>
      <c r="Q29" s="420" t="str">
        <f t="shared" si="7"/>
        <v>--</v>
      </c>
      <c r="R29" s="162" t="str">
        <f t="shared" si="8"/>
        <v>--</v>
      </c>
      <c r="S29" s="155">
        <f t="shared" si="9"/>
      </c>
      <c r="T29" s="421">
        <f t="shared" si="10"/>
      </c>
      <c r="U29" s="6"/>
    </row>
    <row r="30" spans="2:21" s="5" customFormat="1" ht="16.5" customHeight="1">
      <c r="B30" s="50"/>
      <c r="C30" s="157"/>
      <c r="D30" s="412"/>
      <c r="E30" s="412"/>
      <c r="F30" s="413"/>
      <c r="G30" s="131">
        <f t="shared" si="0"/>
        <v>51.126</v>
      </c>
      <c r="H30" s="414"/>
      <c r="I30" s="153"/>
      <c r="J30" s="415">
        <f t="shared" si="1"/>
      </c>
      <c r="K30" s="416">
        <f t="shared" si="2"/>
      </c>
      <c r="L30" s="234"/>
      <c r="M30" s="155">
        <f t="shared" si="3"/>
      </c>
      <c r="N30" s="417">
        <f t="shared" si="4"/>
        <v>40</v>
      </c>
      <c r="O30" s="418" t="str">
        <f t="shared" si="5"/>
        <v>--</v>
      </c>
      <c r="P30" s="419" t="str">
        <f t="shared" si="6"/>
        <v>--</v>
      </c>
      <c r="Q30" s="420" t="str">
        <f t="shared" si="7"/>
        <v>--</v>
      </c>
      <c r="R30" s="162" t="str">
        <f t="shared" si="8"/>
        <v>--</v>
      </c>
      <c r="S30" s="155">
        <f t="shared" si="9"/>
      </c>
      <c r="T30" s="421">
        <f t="shared" si="10"/>
      </c>
      <c r="U30" s="6"/>
    </row>
    <row r="31" spans="2:21" s="5" customFormat="1" ht="16.5" customHeight="1">
      <c r="B31" s="50"/>
      <c r="C31" s="289"/>
      <c r="D31" s="412"/>
      <c r="E31" s="412"/>
      <c r="F31" s="413"/>
      <c r="G31" s="131">
        <f t="shared" si="0"/>
        <v>51.126</v>
      </c>
      <c r="H31" s="414"/>
      <c r="I31" s="153"/>
      <c r="J31" s="415">
        <f t="shared" si="1"/>
      </c>
      <c r="K31" s="416">
        <f t="shared" si="2"/>
      </c>
      <c r="L31" s="234"/>
      <c r="M31" s="155">
        <f t="shared" si="3"/>
      </c>
      <c r="N31" s="417">
        <f t="shared" si="4"/>
        <v>40</v>
      </c>
      <c r="O31" s="418" t="str">
        <f t="shared" si="5"/>
        <v>--</v>
      </c>
      <c r="P31" s="419" t="str">
        <f t="shared" si="6"/>
        <v>--</v>
      </c>
      <c r="Q31" s="420" t="str">
        <f t="shared" si="7"/>
        <v>--</v>
      </c>
      <c r="R31" s="162" t="str">
        <f t="shared" si="8"/>
        <v>--</v>
      </c>
      <c r="S31" s="155">
        <f t="shared" si="9"/>
      </c>
      <c r="T31" s="421">
        <f t="shared" si="10"/>
      </c>
      <c r="U31" s="6"/>
    </row>
    <row r="32" spans="2:21" s="5" customFormat="1" ht="16.5" customHeight="1">
      <c r="B32" s="50"/>
      <c r="C32" s="157"/>
      <c r="D32" s="412"/>
      <c r="E32" s="412"/>
      <c r="F32" s="413"/>
      <c r="G32" s="131">
        <f t="shared" si="0"/>
        <v>51.126</v>
      </c>
      <c r="H32" s="414"/>
      <c r="I32" s="153"/>
      <c r="J32" s="415">
        <f t="shared" si="1"/>
      </c>
      <c r="K32" s="416">
        <f t="shared" si="2"/>
      </c>
      <c r="L32" s="234"/>
      <c r="M32" s="155">
        <f t="shared" si="3"/>
      </c>
      <c r="N32" s="417">
        <f t="shared" si="4"/>
        <v>40</v>
      </c>
      <c r="O32" s="418" t="str">
        <f t="shared" si="5"/>
        <v>--</v>
      </c>
      <c r="P32" s="419" t="str">
        <f t="shared" si="6"/>
        <v>--</v>
      </c>
      <c r="Q32" s="420" t="str">
        <f t="shared" si="7"/>
        <v>--</v>
      </c>
      <c r="R32" s="162" t="str">
        <f t="shared" si="8"/>
        <v>--</v>
      </c>
      <c r="S32" s="155">
        <f t="shared" si="9"/>
      </c>
      <c r="T32" s="421">
        <f t="shared" si="10"/>
      </c>
      <c r="U32" s="6"/>
    </row>
    <row r="33" spans="2:21" s="5" customFormat="1" ht="16.5" customHeight="1">
      <c r="B33" s="50"/>
      <c r="C33" s="289"/>
      <c r="D33" s="412"/>
      <c r="E33" s="412"/>
      <c r="F33" s="413"/>
      <c r="G33" s="131">
        <f t="shared" si="0"/>
        <v>51.126</v>
      </c>
      <c r="H33" s="414"/>
      <c r="I33" s="153"/>
      <c r="J33" s="415">
        <f t="shared" si="1"/>
      </c>
      <c r="K33" s="416">
        <f t="shared" si="2"/>
      </c>
      <c r="L33" s="234"/>
      <c r="M33" s="155">
        <f t="shared" si="3"/>
      </c>
      <c r="N33" s="417">
        <f t="shared" si="4"/>
        <v>40</v>
      </c>
      <c r="O33" s="418" t="str">
        <f t="shared" si="5"/>
        <v>--</v>
      </c>
      <c r="P33" s="419" t="str">
        <f t="shared" si="6"/>
        <v>--</v>
      </c>
      <c r="Q33" s="420" t="str">
        <f t="shared" si="7"/>
        <v>--</v>
      </c>
      <c r="R33" s="162" t="str">
        <f t="shared" si="8"/>
        <v>--</v>
      </c>
      <c r="S33" s="155">
        <f t="shared" si="9"/>
      </c>
      <c r="T33" s="421">
        <f t="shared" si="10"/>
      </c>
      <c r="U33" s="6"/>
    </row>
    <row r="34" spans="2:21" s="5" customFormat="1" ht="16.5" customHeight="1">
      <c r="B34" s="50"/>
      <c r="C34" s="157"/>
      <c r="D34" s="412"/>
      <c r="E34" s="412"/>
      <c r="F34" s="413"/>
      <c r="G34" s="131">
        <f t="shared" si="0"/>
        <v>51.126</v>
      </c>
      <c r="H34" s="414"/>
      <c r="I34" s="153"/>
      <c r="J34" s="415">
        <f t="shared" si="1"/>
      </c>
      <c r="K34" s="416">
        <f t="shared" si="2"/>
      </c>
      <c r="L34" s="234"/>
      <c r="M34" s="155">
        <f t="shared" si="3"/>
      </c>
      <c r="N34" s="417">
        <f t="shared" si="4"/>
        <v>40</v>
      </c>
      <c r="O34" s="418" t="str">
        <f t="shared" si="5"/>
        <v>--</v>
      </c>
      <c r="P34" s="419" t="str">
        <f t="shared" si="6"/>
        <v>--</v>
      </c>
      <c r="Q34" s="420" t="str">
        <f t="shared" si="7"/>
        <v>--</v>
      </c>
      <c r="R34" s="162" t="str">
        <f t="shared" si="8"/>
        <v>--</v>
      </c>
      <c r="S34" s="155">
        <f t="shared" si="9"/>
      </c>
      <c r="T34" s="421">
        <f t="shared" si="10"/>
      </c>
      <c r="U34" s="6"/>
    </row>
    <row r="35" spans="2:21" s="5" customFormat="1" ht="16.5" customHeight="1">
      <c r="B35" s="50"/>
      <c r="C35" s="289"/>
      <c r="D35" s="412"/>
      <c r="E35" s="412"/>
      <c r="F35" s="413"/>
      <c r="G35" s="131">
        <f t="shared" si="0"/>
        <v>51.126</v>
      </c>
      <c r="H35" s="414"/>
      <c r="I35" s="153"/>
      <c r="J35" s="415">
        <f t="shared" si="1"/>
      </c>
      <c r="K35" s="416">
        <f t="shared" si="2"/>
      </c>
      <c r="L35" s="234"/>
      <c r="M35" s="155">
        <f t="shared" si="3"/>
      </c>
      <c r="N35" s="417">
        <f t="shared" si="4"/>
        <v>40</v>
      </c>
      <c r="O35" s="418" t="str">
        <f t="shared" si="5"/>
        <v>--</v>
      </c>
      <c r="P35" s="419" t="str">
        <f t="shared" si="6"/>
        <v>--</v>
      </c>
      <c r="Q35" s="420" t="str">
        <f t="shared" si="7"/>
        <v>--</v>
      </c>
      <c r="R35" s="162" t="str">
        <f t="shared" si="8"/>
        <v>--</v>
      </c>
      <c r="S35" s="155">
        <f t="shared" si="9"/>
      </c>
      <c r="T35" s="421">
        <f t="shared" si="10"/>
      </c>
      <c r="U35" s="6"/>
    </row>
    <row r="36" spans="2:21" s="5" customFormat="1" ht="16.5" customHeight="1">
      <c r="B36" s="50"/>
      <c r="C36" s="157"/>
      <c r="D36" s="412"/>
      <c r="E36" s="412"/>
      <c r="F36" s="413"/>
      <c r="G36" s="131">
        <f t="shared" si="0"/>
        <v>51.126</v>
      </c>
      <c r="H36" s="414"/>
      <c r="I36" s="153"/>
      <c r="J36" s="415">
        <f t="shared" si="1"/>
      </c>
      <c r="K36" s="416">
        <f t="shared" si="2"/>
      </c>
      <c r="L36" s="234"/>
      <c r="M36" s="155">
        <f t="shared" si="3"/>
      </c>
      <c r="N36" s="417">
        <f t="shared" si="4"/>
        <v>40</v>
      </c>
      <c r="O36" s="418" t="str">
        <f t="shared" si="5"/>
        <v>--</v>
      </c>
      <c r="P36" s="419" t="str">
        <f t="shared" si="6"/>
        <v>--</v>
      </c>
      <c r="Q36" s="420" t="str">
        <f t="shared" si="7"/>
        <v>--</v>
      </c>
      <c r="R36" s="162" t="str">
        <f t="shared" si="8"/>
        <v>--</v>
      </c>
      <c r="S36" s="155">
        <f t="shared" si="9"/>
      </c>
      <c r="T36" s="421">
        <f t="shared" si="10"/>
      </c>
      <c r="U36" s="6"/>
    </row>
    <row r="37" spans="2:21" s="5" customFormat="1" ht="16.5" customHeight="1">
      <c r="B37" s="50"/>
      <c r="C37" s="289"/>
      <c r="D37" s="412"/>
      <c r="E37" s="412"/>
      <c r="F37" s="413"/>
      <c r="G37" s="131">
        <f t="shared" si="0"/>
        <v>51.126</v>
      </c>
      <c r="H37" s="414"/>
      <c r="I37" s="153"/>
      <c r="J37" s="415">
        <f t="shared" si="1"/>
      </c>
      <c r="K37" s="416">
        <f t="shared" si="2"/>
      </c>
      <c r="L37" s="234"/>
      <c r="M37" s="155">
        <f t="shared" si="3"/>
      </c>
      <c r="N37" s="417">
        <f t="shared" si="4"/>
        <v>40</v>
      </c>
      <c r="O37" s="418" t="str">
        <f t="shared" si="5"/>
        <v>--</v>
      </c>
      <c r="P37" s="419" t="str">
        <f t="shared" si="6"/>
        <v>--</v>
      </c>
      <c r="Q37" s="420" t="str">
        <f t="shared" si="7"/>
        <v>--</v>
      </c>
      <c r="R37" s="162" t="str">
        <f t="shared" si="8"/>
        <v>--</v>
      </c>
      <c r="S37" s="155">
        <f t="shared" si="9"/>
      </c>
      <c r="T37" s="421">
        <f t="shared" si="10"/>
      </c>
      <c r="U37" s="6"/>
    </row>
    <row r="38" spans="2:21" s="5" customFormat="1" ht="16.5" customHeight="1">
      <c r="B38" s="50"/>
      <c r="C38" s="157"/>
      <c r="D38" s="412"/>
      <c r="E38" s="412"/>
      <c r="F38" s="413"/>
      <c r="G38" s="131">
        <f t="shared" si="0"/>
        <v>51.126</v>
      </c>
      <c r="H38" s="414"/>
      <c r="I38" s="153"/>
      <c r="J38" s="415">
        <f t="shared" si="1"/>
      </c>
      <c r="K38" s="416">
        <f t="shared" si="2"/>
      </c>
      <c r="L38" s="234"/>
      <c r="M38" s="155">
        <f t="shared" si="3"/>
      </c>
      <c r="N38" s="417">
        <f t="shared" si="4"/>
        <v>40</v>
      </c>
      <c r="O38" s="418" t="str">
        <f t="shared" si="5"/>
        <v>--</v>
      </c>
      <c r="P38" s="419" t="str">
        <f t="shared" si="6"/>
        <v>--</v>
      </c>
      <c r="Q38" s="420" t="str">
        <f t="shared" si="7"/>
        <v>--</v>
      </c>
      <c r="R38" s="162" t="str">
        <f t="shared" si="8"/>
        <v>--</v>
      </c>
      <c r="S38" s="155">
        <f t="shared" si="9"/>
      </c>
      <c r="T38" s="421">
        <f t="shared" si="10"/>
      </c>
      <c r="U38" s="6"/>
    </row>
    <row r="39" spans="2:21" s="5" customFormat="1" ht="16.5" customHeight="1">
      <c r="B39" s="50"/>
      <c r="C39" s="289"/>
      <c r="D39" s="412"/>
      <c r="E39" s="412"/>
      <c r="F39" s="413"/>
      <c r="G39" s="131">
        <f t="shared" si="0"/>
        <v>51.126</v>
      </c>
      <c r="H39" s="414"/>
      <c r="I39" s="153"/>
      <c r="J39" s="415">
        <f t="shared" si="1"/>
      </c>
      <c r="K39" s="416">
        <f t="shared" si="2"/>
      </c>
      <c r="L39" s="234"/>
      <c r="M39" s="155">
        <f t="shared" si="3"/>
      </c>
      <c r="N39" s="417">
        <f t="shared" si="4"/>
        <v>40</v>
      </c>
      <c r="O39" s="418" t="str">
        <f t="shared" si="5"/>
        <v>--</v>
      </c>
      <c r="P39" s="419" t="str">
        <f t="shared" si="6"/>
        <v>--</v>
      </c>
      <c r="Q39" s="420" t="str">
        <f t="shared" si="7"/>
        <v>--</v>
      </c>
      <c r="R39" s="162" t="str">
        <f t="shared" si="8"/>
        <v>--</v>
      </c>
      <c r="S39" s="155">
        <f t="shared" si="9"/>
      </c>
      <c r="T39" s="421">
        <f t="shared" si="10"/>
      </c>
      <c r="U39" s="6"/>
    </row>
    <row r="40" spans="2:21" s="5" customFormat="1" ht="16.5" customHeight="1">
      <c r="B40" s="50"/>
      <c r="C40" s="157"/>
      <c r="D40" s="412"/>
      <c r="E40" s="412"/>
      <c r="F40" s="413"/>
      <c r="G40" s="131">
        <f t="shared" si="0"/>
        <v>51.126</v>
      </c>
      <c r="H40" s="414"/>
      <c r="I40" s="153"/>
      <c r="J40" s="415">
        <f t="shared" si="1"/>
      </c>
      <c r="K40" s="416">
        <f t="shared" si="2"/>
      </c>
      <c r="L40" s="234"/>
      <c r="M40" s="155">
        <f t="shared" si="3"/>
      </c>
      <c r="N40" s="417">
        <f t="shared" si="4"/>
        <v>40</v>
      </c>
      <c r="O40" s="418" t="str">
        <f t="shared" si="5"/>
        <v>--</v>
      </c>
      <c r="P40" s="419" t="str">
        <f t="shared" si="6"/>
        <v>--</v>
      </c>
      <c r="Q40" s="420" t="str">
        <f t="shared" si="7"/>
        <v>--</v>
      </c>
      <c r="R40" s="162" t="str">
        <f t="shared" si="8"/>
        <v>--</v>
      </c>
      <c r="S40" s="155">
        <f t="shared" si="9"/>
      </c>
      <c r="T40" s="421">
        <f t="shared" si="10"/>
      </c>
      <c r="U40" s="6"/>
    </row>
    <row r="41" spans="2:21" s="5" customFormat="1" ht="16.5" customHeight="1">
      <c r="B41" s="50"/>
      <c r="C41" s="289"/>
      <c r="D41" s="412"/>
      <c r="E41" s="412"/>
      <c r="F41" s="413"/>
      <c r="G41" s="131">
        <f t="shared" si="0"/>
        <v>51.126</v>
      </c>
      <c r="H41" s="414"/>
      <c r="I41" s="153"/>
      <c r="J41" s="415">
        <f t="shared" si="1"/>
      </c>
      <c r="K41" s="416">
        <f t="shared" si="2"/>
      </c>
      <c r="L41" s="234"/>
      <c r="M41" s="155">
        <f t="shared" si="3"/>
      </c>
      <c r="N41" s="417">
        <f t="shared" si="4"/>
        <v>40</v>
      </c>
      <c r="O41" s="418" t="str">
        <f t="shared" si="5"/>
        <v>--</v>
      </c>
      <c r="P41" s="419" t="str">
        <f t="shared" si="6"/>
        <v>--</v>
      </c>
      <c r="Q41" s="420" t="str">
        <f t="shared" si="7"/>
        <v>--</v>
      </c>
      <c r="R41" s="162" t="str">
        <f t="shared" si="8"/>
        <v>--</v>
      </c>
      <c r="S41" s="155">
        <f t="shared" si="9"/>
      </c>
      <c r="T41" s="421">
        <f t="shared" si="10"/>
      </c>
      <c r="U41" s="6"/>
    </row>
    <row r="42" spans="2:21" s="5" customFormat="1" ht="16.5" customHeight="1">
      <c r="B42" s="50"/>
      <c r="C42" s="157"/>
      <c r="D42" s="412"/>
      <c r="E42" s="412"/>
      <c r="F42" s="413"/>
      <c r="G42" s="131">
        <f t="shared" si="0"/>
        <v>51.126</v>
      </c>
      <c r="H42" s="414"/>
      <c r="I42" s="153"/>
      <c r="J42" s="415">
        <f t="shared" si="1"/>
      </c>
      <c r="K42" s="416">
        <f t="shared" si="2"/>
      </c>
      <c r="L42" s="234"/>
      <c r="M42" s="155">
        <f t="shared" si="3"/>
      </c>
      <c r="N42" s="417">
        <f t="shared" si="4"/>
        <v>40</v>
      </c>
      <c r="O42" s="418" t="str">
        <f t="shared" si="5"/>
        <v>--</v>
      </c>
      <c r="P42" s="419" t="str">
        <f t="shared" si="6"/>
        <v>--</v>
      </c>
      <c r="Q42" s="420" t="str">
        <f t="shared" si="7"/>
        <v>--</v>
      </c>
      <c r="R42" s="162" t="str">
        <f t="shared" si="8"/>
        <v>--</v>
      </c>
      <c r="S42" s="155">
        <f t="shared" si="9"/>
      </c>
      <c r="T42" s="421">
        <f t="shared" si="10"/>
      </c>
      <c r="U42" s="6"/>
    </row>
    <row r="43" spans="2:21" s="5" customFormat="1" ht="16.5" customHeight="1">
      <c r="B43" s="50"/>
      <c r="C43" s="289"/>
      <c r="D43" s="412"/>
      <c r="E43" s="412"/>
      <c r="F43" s="413"/>
      <c r="G43" s="131">
        <f t="shared" si="0"/>
        <v>51.126</v>
      </c>
      <c r="H43" s="414"/>
      <c r="I43" s="153"/>
      <c r="J43" s="415">
        <f t="shared" si="1"/>
      </c>
      <c r="K43" s="416">
        <f t="shared" si="2"/>
      </c>
      <c r="L43" s="234"/>
      <c r="M43" s="155">
        <f t="shared" si="3"/>
      </c>
      <c r="N43" s="417">
        <f t="shared" si="4"/>
        <v>40</v>
      </c>
      <c r="O43" s="418" t="str">
        <f t="shared" si="5"/>
        <v>--</v>
      </c>
      <c r="P43" s="419" t="str">
        <f t="shared" si="6"/>
        <v>--</v>
      </c>
      <c r="Q43" s="420" t="str">
        <f t="shared" si="7"/>
        <v>--</v>
      </c>
      <c r="R43" s="162" t="str">
        <f t="shared" si="8"/>
        <v>--</v>
      </c>
      <c r="S43" s="155">
        <f t="shared" si="9"/>
      </c>
      <c r="T43" s="421">
        <f t="shared" si="10"/>
      </c>
      <c r="U43" s="6"/>
    </row>
    <row r="44" spans="2:21" s="5" customFormat="1" ht="16.5" customHeight="1" thickBot="1">
      <c r="B44" s="50"/>
      <c r="C44" s="157"/>
      <c r="D44" s="149"/>
      <c r="E44" s="149"/>
      <c r="F44" s="243"/>
      <c r="G44" s="132"/>
      <c r="H44" s="422"/>
      <c r="I44" s="422"/>
      <c r="J44" s="423"/>
      <c r="K44" s="423"/>
      <c r="L44" s="422"/>
      <c r="M44" s="154"/>
      <c r="N44" s="424"/>
      <c r="O44" s="425"/>
      <c r="P44" s="426"/>
      <c r="Q44" s="427"/>
      <c r="R44" s="164"/>
      <c r="S44" s="154"/>
      <c r="T44" s="428"/>
      <c r="U44" s="6"/>
    </row>
    <row r="45" spans="2:21" s="5" customFormat="1" ht="16.5" customHeight="1" thickBot="1" thickTop="1">
      <c r="B45" s="50"/>
      <c r="C45" s="128" t="s">
        <v>25</v>
      </c>
      <c r="D45" s="129" t="s">
        <v>366</v>
      </c>
      <c r="E45"/>
      <c r="F45" s="4"/>
      <c r="G45" s="4"/>
      <c r="H45" s="4"/>
      <c r="I45" s="4"/>
      <c r="J45" s="4"/>
      <c r="K45" s="4"/>
      <c r="L45" s="4"/>
      <c r="M45" s="4"/>
      <c r="N45" s="4"/>
      <c r="O45" s="429">
        <f>SUM(O22:O44)</f>
        <v>1337.4561600000002</v>
      </c>
      <c r="P45" s="430">
        <f>SUM(P22:P44)</f>
        <v>0</v>
      </c>
      <c r="Q45" s="431">
        <f>SUM(Q22:Q44)</f>
        <v>0</v>
      </c>
      <c r="R45" s="432">
        <f>SUM(R22:R44)</f>
        <v>0</v>
      </c>
      <c r="S45" s="433"/>
      <c r="T45" s="101">
        <f>ROUND(SUM(T22:T44),2)</f>
        <v>96287.05</v>
      </c>
      <c r="U45" s="6"/>
    </row>
    <row r="46" spans="2:21" s="5" customFormat="1" ht="16.5" customHeight="1" thickBot="1" thickTop="1">
      <c r="B46" s="74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6"/>
    </row>
    <row r="47" spans="21:23" ht="16.5" customHeight="1" thickTop="1">
      <c r="U47" s="179"/>
      <c r="V47" s="179"/>
      <c r="W47" s="179"/>
    </row>
    <row r="48" spans="21:23" ht="16.5" customHeight="1">
      <c r="U48" s="179"/>
      <c r="V48" s="179"/>
      <c r="W48" s="179"/>
    </row>
    <row r="49" spans="21:23" ht="16.5" customHeight="1">
      <c r="U49" s="179"/>
      <c r="V49" s="179"/>
      <c r="W49" s="179"/>
    </row>
    <row r="50" spans="21:23" ht="16.5" customHeight="1">
      <c r="U50" s="179"/>
      <c r="V50" s="179"/>
      <c r="W50" s="179"/>
    </row>
    <row r="51" spans="21:23" ht="16.5" customHeight="1">
      <c r="U51" s="179"/>
      <c r="V51" s="179"/>
      <c r="W51" s="179"/>
    </row>
    <row r="52" spans="4:23" ht="16.5" customHeight="1"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</row>
    <row r="53" spans="4:23" ht="16.5" customHeight="1"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</row>
    <row r="54" spans="4:23" ht="16.5" customHeight="1"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</row>
    <row r="55" spans="4:23" ht="16.5" customHeight="1"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</row>
    <row r="56" spans="4:23" ht="16.5" customHeight="1"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</row>
    <row r="57" spans="4:23" ht="16.5" customHeight="1"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</row>
    <row r="58" spans="4:23" ht="16.5" customHeight="1"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</row>
    <row r="59" spans="4:23" ht="16.5" customHeight="1"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</row>
    <row r="60" spans="4:23" ht="16.5" customHeight="1"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</row>
    <row r="61" spans="4:23" ht="16.5" customHeight="1"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</row>
    <row r="62" spans="4:23" ht="16.5" customHeight="1"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</row>
    <row r="63" spans="4:23" ht="16.5" customHeight="1"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</row>
    <row r="64" spans="4:23" ht="16.5" customHeight="1"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</row>
    <row r="65" spans="4:23" ht="16.5" customHeight="1"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</row>
    <row r="66" spans="4:23" ht="16.5" customHeight="1"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</row>
    <row r="67" spans="4:23" ht="16.5" customHeight="1"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</row>
    <row r="68" spans="4:23" ht="16.5" customHeight="1"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</row>
    <row r="69" spans="4:23" ht="16.5" customHeight="1"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</row>
    <row r="70" spans="4:23" ht="16.5" customHeight="1"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</row>
    <row r="71" spans="4:23" ht="16.5" customHeight="1"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</row>
    <row r="72" spans="4:23" ht="16.5" customHeight="1"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</row>
    <row r="73" spans="4:23" ht="16.5" customHeight="1"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</row>
    <row r="74" spans="4:23" ht="16.5" customHeight="1"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</row>
    <row r="75" spans="4:23" ht="16.5" customHeight="1"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</row>
    <row r="76" spans="4:23" ht="16.5" customHeight="1"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</row>
    <row r="77" spans="4:23" ht="16.5" customHeight="1"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</row>
    <row r="78" spans="4:23" ht="16.5" customHeight="1"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</row>
    <row r="79" spans="4:23" ht="16.5" customHeight="1"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</row>
    <row r="80" spans="4:23" ht="16.5" customHeight="1"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</row>
    <row r="81" spans="4:23" ht="16.5" customHeight="1"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</row>
    <row r="82" spans="4:23" ht="16.5" customHeight="1"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</row>
    <row r="83" spans="4:23" ht="16.5" customHeight="1"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</row>
    <row r="84" spans="4:23" ht="16.5" customHeight="1"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  <c r="T84" s="179"/>
      <c r="U84" s="179"/>
      <c r="V84" s="179"/>
      <c r="W84" s="179"/>
    </row>
    <row r="85" spans="4:23" ht="16.5" customHeight="1"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</row>
    <row r="86" spans="4:23" ht="16.5" customHeight="1"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  <c r="W86" s="179"/>
    </row>
    <row r="87" spans="4:23" ht="16.5" customHeight="1"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</row>
    <row r="88" spans="4:23" ht="16.5" customHeight="1"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79"/>
    </row>
    <row r="89" spans="4:23" ht="16.5" customHeight="1"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</row>
    <row r="90" spans="4:23" ht="16.5" customHeight="1"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</row>
    <row r="91" spans="4:23" ht="16.5" customHeight="1"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</row>
    <row r="92" spans="4:23" ht="16.5" customHeight="1"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</row>
    <row r="93" spans="4:23" ht="16.5" customHeight="1"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</row>
    <row r="94" spans="4:23" ht="16.5" customHeight="1"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</row>
    <row r="95" spans="4:23" ht="16.5" customHeight="1"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</row>
    <row r="96" spans="4:23" ht="16.5" customHeight="1"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</row>
    <row r="97" spans="4:23" ht="16.5" customHeight="1"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</row>
    <row r="98" spans="4:23" ht="16.5" customHeight="1"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  <c r="S98" s="179"/>
      <c r="T98" s="179"/>
      <c r="U98" s="179"/>
      <c r="V98" s="179"/>
      <c r="W98" s="179"/>
    </row>
    <row r="99" spans="4:23" ht="16.5" customHeight="1"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  <c r="S99" s="179"/>
      <c r="T99" s="179"/>
      <c r="U99" s="179"/>
      <c r="V99" s="179"/>
      <c r="W99" s="179"/>
    </row>
    <row r="100" spans="4:23" ht="16.5" customHeight="1"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179"/>
      <c r="U100" s="179"/>
      <c r="V100" s="179"/>
      <c r="W100" s="179"/>
    </row>
    <row r="101" spans="4:23" ht="16.5" customHeight="1"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  <c r="S101" s="179"/>
      <c r="T101" s="179"/>
      <c r="U101" s="179"/>
      <c r="V101" s="179"/>
      <c r="W101" s="179"/>
    </row>
    <row r="102" spans="4:23" ht="16.5" customHeight="1"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</row>
    <row r="103" spans="4:23" ht="16.5" customHeight="1"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  <c r="S103" s="179"/>
      <c r="T103" s="179"/>
      <c r="U103" s="179"/>
      <c r="V103" s="179"/>
      <c r="W103" s="179"/>
    </row>
    <row r="104" spans="4:23" ht="16.5" customHeight="1"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179"/>
      <c r="U104" s="179"/>
      <c r="V104" s="179"/>
      <c r="W104" s="179"/>
    </row>
    <row r="105" spans="4:23" ht="16.5" customHeight="1"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  <c r="S105" s="179"/>
      <c r="T105" s="179"/>
      <c r="U105" s="179"/>
      <c r="V105" s="179"/>
      <c r="W105" s="179"/>
    </row>
    <row r="106" spans="4:23" ht="16.5" customHeight="1"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T106" s="179"/>
      <c r="U106" s="179"/>
      <c r="V106" s="179"/>
      <c r="W106" s="179"/>
    </row>
    <row r="107" spans="4:23" ht="16.5" customHeight="1"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  <c r="S107" s="179"/>
      <c r="T107" s="179"/>
      <c r="U107" s="179"/>
      <c r="V107" s="179"/>
      <c r="W107" s="179"/>
    </row>
    <row r="108" spans="4:23" ht="16.5" customHeight="1"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  <c r="S108" s="179"/>
      <c r="T108" s="179"/>
      <c r="U108" s="179"/>
      <c r="V108" s="179"/>
      <c r="W108" s="179"/>
    </row>
    <row r="109" spans="4:23" ht="16.5" customHeight="1"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  <c r="S109" s="179"/>
      <c r="T109" s="179"/>
      <c r="U109" s="179"/>
      <c r="V109" s="179"/>
      <c r="W109" s="179"/>
    </row>
    <row r="110" spans="4:23" ht="16.5" customHeight="1"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  <c r="S110" s="179"/>
      <c r="T110" s="179"/>
      <c r="U110" s="179"/>
      <c r="V110" s="179"/>
      <c r="W110" s="179"/>
    </row>
    <row r="111" spans="4:23" ht="16.5" customHeight="1"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  <c r="S111" s="179"/>
      <c r="T111" s="179"/>
      <c r="U111" s="179"/>
      <c r="V111" s="179"/>
      <c r="W111" s="179"/>
    </row>
    <row r="112" spans="4:23" ht="16.5" customHeight="1"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  <c r="S112" s="179"/>
      <c r="T112" s="179"/>
      <c r="U112" s="179"/>
      <c r="V112" s="179"/>
      <c r="W112" s="179"/>
    </row>
    <row r="113" spans="4:23" ht="16.5" customHeight="1"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  <c r="S113" s="179"/>
      <c r="T113" s="179"/>
      <c r="U113" s="179"/>
      <c r="V113" s="179"/>
      <c r="W113" s="179"/>
    </row>
    <row r="114" spans="4:23" ht="16.5" customHeight="1"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  <c r="S114" s="179"/>
      <c r="T114" s="179"/>
      <c r="U114" s="179"/>
      <c r="V114" s="179"/>
      <c r="W114" s="179"/>
    </row>
    <row r="115" spans="4:23" ht="16.5" customHeight="1"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  <c r="S115" s="179"/>
      <c r="T115" s="179"/>
      <c r="U115" s="179"/>
      <c r="V115" s="179"/>
      <c r="W115" s="179"/>
    </row>
    <row r="116" spans="4:23" ht="16.5" customHeight="1"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  <c r="S116" s="179"/>
      <c r="T116" s="179"/>
      <c r="U116" s="179"/>
      <c r="V116" s="179"/>
      <c r="W116" s="179"/>
    </row>
    <row r="117" spans="4:23" ht="16.5" customHeight="1"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  <c r="S117" s="179"/>
      <c r="T117" s="179"/>
      <c r="U117" s="179"/>
      <c r="V117" s="179"/>
      <c r="W117" s="179"/>
    </row>
    <row r="118" spans="4:23" ht="16.5" customHeight="1"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  <c r="S118" s="179"/>
      <c r="T118" s="179"/>
      <c r="U118" s="179"/>
      <c r="V118" s="179"/>
      <c r="W118" s="179"/>
    </row>
    <row r="119" spans="4:23" ht="16.5" customHeight="1"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  <c r="S119" s="179"/>
      <c r="T119" s="179"/>
      <c r="U119" s="179"/>
      <c r="V119" s="179"/>
      <c r="W119" s="179"/>
    </row>
    <row r="120" spans="4:23" ht="16.5" customHeight="1"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  <c r="S120" s="179"/>
      <c r="T120" s="179"/>
      <c r="U120" s="179"/>
      <c r="V120" s="179"/>
      <c r="W120" s="179"/>
    </row>
    <row r="121" spans="4:23" ht="16.5" customHeight="1"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  <c r="S121" s="179"/>
      <c r="T121" s="179"/>
      <c r="U121" s="179"/>
      <c r="V121" s="179"/>
      <c r="W121" s="179"/>
    </row>
    <row r="122" spans="4:23" ht="16.5" customHeight="1"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  <c r="S122" s="179"/>
      <c r="T122" s="179"/>
      <c r="U122" s="179"/>
      <c r="V122" s="179"/>
      <c r="W122" s="179"/>
    </row>
    <row r="123" spans="4:23" ht="16.5" customHeight="1"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  <c r="S123" s="179"/>
      <c r="T123" s="179"/>
      <c r="U123" s="179"/>
      <c r="V123" s="179"/>
      <c r="W123" s="179"/>
    </row>
    <row r="124" spans="4:23" ht="16.5" customHeight="1"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  <c r="S124" s="179"/>
      <c r="T124" s="179"/>
      <c r="U124" s="179"/>
      <c r="V124" s="179"/>
      <c r="W124" s="179"/>
    </row>
    <row r="125" spans="4:23" ht="16.5" customHeight="1"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  <c r="S125" s="179"/>
      <c r="T125" s="179"/>
      <c r="U125" s="179"/>
      <c r="V125" s="179"/>
      <c r="W125" s="179"/>
    </row>
    <row r="126" spans="4:23" ht="16.5" customHeight="1"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  <c r="S126" s="179"/>
      <c r="T126" s="179"/>
      <c r="U126" s="179"/>
      <c r="V126" s="179"/>
      <c r="W126" s="179"/>
    </row>
    <row r="127" spans="4:23" ht="16.5" customHeight="1"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  <c r="S127" s="179"/>
      <c r="T127" s="179"/>
      <c r="U127" s="179"/>
      <c r="V127" s="179"/>
      <c r="W127" s="179"/>
    </row>
    <row r="128" spans="4:23" ht="16.5" customHeight="1"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  <c r="S128" s="179"/>
      <c r="T128" s="179"/>
      <c r="U128" s="179"/>
      <c r="V128" s="179"/>
      <c r="W128" s="179"/>
    </row>
    <row r="129" spans="4:23" ht="16.5" customHeight="1"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  <c r="S129" s="179"/>
      <c r="T129" s="179"/>
      <c r="U129" s="179"/>
      <c r="V129" s="179"/>
      <c r="W129" s="179"/>
    </row>
    <row r="130" spans="4:23" ht="16.5" customHeight="1"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  <c r="S130" s="179"/>
      <c r="T130" s="179"/>
      <c r="U130" s="179"/>
      <c r="V130" s="179"/>
      <c r="W130" s="179"/>
    </row>
    <row r="131" spans="4:23" ht="16.5" customHeight="1"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  <c r="S131" s="179"/>
      <c r="T131" s="179"/>
      <c r="U131" s="179"/>
      <c r="V131" s="179"/>
      <c r="W131" s="179"/>
    </row>
    <row r="132" spans="4:23" ht="16.5" customHeight="1"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  <c r="S132" s="179"/>
      <c r="T132" s="179"/>
      <c r="U132" s="179"/>
      <c r="V132" s="179"/>
      <c r="W132" s="179"/>
    </row>
    <row r="133" spans="4:23" ht="16.5" customHeight="1"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  <c r="S133" s="179"/>
      <c r="T133" s="179"/>
      <c r="U133" s="179"/>
      <c r="V133" s="179"/>
      <c r="W133" s="179"/>
    </row>
    <row r="134" spans="4:23" ht="16.5" customHeight="1"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  <c r="S134" s="179"/>
      <c r="T134" s="179"/>
      <c r="U134" s="179"/>
      <c r="V134" s="179"/>
      <c r="W134" s="179"/>
    </row>
    <row r="135" spans="4:23" ht="16.5" customHeight="1"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  <c r="S135" s="179"/>
      <c r="T135" s="179"/>
      <c r="U135" s="179"/>
      <c r="V135" s="179"/>
      <c r="W135" s="179"/>
    </row>
    <row r="136" spans="4:23" ht="16.5" customHeight="1"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  <c r="S136" s="179"/>
      <c r="T136" s="179"/>
      <c r="U136" s="179"/>
      <c r="V136" s="179"/>
      <c r="W136" s="179"/>
    </row>
    <row r="137" spans="4:23" ht="16.5" customHeight="1"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  <c r="S137" s="179"/>
      <c r="T137" s="179"/>
      <c r="U137" s="179"/>
      <c r="V137" s="179"/>
      <c r="W137" s="179"/>
    </row>
    <row r="138" spans="4:23" ht="16.5" customHeight="1"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  <c r="S138" s="179"/>
      <c r="T138" s="179"/>
      <c r="U138" s="179"/>
      <c r="V138" s="179"/>
      <c r="W138" s="179"/>
    </row>
    <row r="139" spans="4:23" ht="16.5" customHeight="1"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  <c r="S139" s="179"/>
      <c r="T139" s="179"/>
      <c r="U139" s="179"/>
      <c r="V139" s="179"/>
      <c r="W139" s="179"/>
    </row>
    <row r="140" spans="4:23" ht="16.5" customHeight="1"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  <c r="S140" s="179"/>
      <c r="T140" s="179"/>
      <c r="U140" s="179"/>
      <c r="V140" s="179"/>
      <c r="W140" s="179"/>
    </row>
    <row r="141" spans="4:23" ht="16.5" customHeight="1"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  <c r="S141" s="179"/>
      <c r="T141" s="179"/>
      <c r="U141" s="179"/>
      <c r="V141" s="179"/>
      <c r="W141" s="179"/>
    </row>
    <row r="142" spans="4:23" ht="16.5" customHeight="1"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  <c r="S142" s="179"/>
      <c r="T142" s="179"/>
      <c r="U142" s="179"/>
      <c r="V142" s="179"/>
      <c r="W142" s="179"/>
    </row>
    <row r="143" spans="4:23" ht="16.5" customHeight="1"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  <c r="S143" s="179"/>
      <c r="T143" s="179"/>
      <c r="U143" s="179"/>
      <c r="V143" s="179"/>
      <c r="W143" s="179"/>
    </row>
    <row r="144" spans="4:23" ht="16.5" customHeight="1"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  <c r="S144" s="179"/>
      <c r="T144" s="179"/>
      <c r="U144" s="179"/>
      <c r="V144" s="179"/>
      <c r="W144" s="179"/>
    </row>
    <row r="145" spans="4:23" ht="16.5" customHeight="1"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  <c r="S145" s="179"/>
      <c r="T145" s="179"/>
      <c r="U145" s="179"/>
      <c r="V145" s="179"/>
      <c r="W145" s="179"/>
    </row>
    <row r="146" spans="4:23" ht="16.5" customHeight="1"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  <c r="S146" s="179"/>
      <c r="T146" s="179"/>
      <c r="U146" s="179"/>
      <c r="V146" s="179"/>
      <c r="W146" s="179"/>
    </row>
    <row r="147" spans="4:23" ht="16.5" customHeight="1"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  <c r="S147" s="179"/>
      <c r="T147" s="179"/>
      <c r="U147" s="179"/>
      <c r="V147" s="179"/>
      <c r="W147" s="179"/>
    </row>
    <row r="148" spans="4:23" ht="16.5" customHeight="1"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  <c r="S148" s="179"/>
      <c r="T148" s="179"/>
      <c r="U148" s="179"/>
      <c r="V148" s="179"/>
      <c r="W148" s="179"/>
    </row>
    <row r="149" spans="4:23" ht="16.5" customHeight="1"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  <c r="S149" s="179"/>
      <c r="T149" s="179"/>
      <c r="U149" s="179"/>
      <c r="V149" s="179"/>
      <c r="W149" s="179"/>
    </row>
    <row r="150" spans="4:23" ht="16.5" customHeight="1"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  <c r="S150" s="179"/>
      <c r="T150" s="179"/>
      <c r="U150" s="179"/>
      <c r="V150" s="179"/>
      <c r="W150" s="179"/>
    </row>
    <row r="151" spans="4:23" ht="16.5" customHeight="1"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  <c r="S151" s="179"/>
      <c r="T151" s="179"/>
      <c r="U151" s="179"/>
      <c r="V151" s="179"/>
      <c r="W151" s="179"/>
    </row>
    <row r="152" spans="4:23" ht="16.5" customHeight="1"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  <c r="S152" s="179"/>
      <c r="T152" s="179"/>
      <c r="U152" s="179"/>
      <c r="V152" s="179"/>
      <c r="W152" s="179"/>
    </row>
    <row r="153" spans="4:23" ht="16.5" customHeight="1"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  <c r="S153" s="179"/>
      <c r="T153" s="179"/>
      <c r="U153" s="179"/>
      <c r="V153" s="179"/>
      <c r="W153" s="179"/>
    </row>
    <row r="154" spans="4:23" ht="16.5" customHeight="1"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  <c r="S154" s="179"/>
      <c r="T154" s="179"/>
      <c r="U154" s="179"/>
      <c r="V154" s="179"/>
      <c r="W154" s="179"/>
    </row>
    <row r="155" spans="4:23" ht="16.5" customHeight="1"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  <c r="S155" s="179"/>
      <c r="T155" s="179"/>
      <c r="U155" s="179"/>
      <c r="V155" s="179"/>
      <c r="W155" s="179"/>
    </row>
    <row r="156" spans="4:23" ht="16.5" customHeight="1"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  <c r="S156" s="179"/>
      <c r="T156" s="179"/>
      <c r="U156" s="179"/>
      <c r="V156" s="179"/>
      <c r="W156" s="179"/>
    </row>
    <row r="157" spans="4:23" ht="16.5" customHeight="1"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  <c r="S157" s="179"/>
      <c r="T157" s="179"/>
      <c r="U157" s="179"/>
      <c r="V157" s="179"/>
      <c r="W157" s="179"/>
    </row>
    <row r="158" spans="4:23" ht="16.5" customHeight="1"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  <c r="S158" s="179"/>
      <c r="T158" s="179"/>
      <c r="U158" s="179"/>
      <c r="V158" s="179"/>
      <c r="W158" s="179"/>
    </row>
    <row r="159" spans="4:23" ht="16.5" customHeight="1"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  <c r="S159" s="179"/>
      <c r="T159" s="179"/>
      <c r="U159" s="179"/>
      <c r="V159" s="179"/>
      <c r="W159" s="179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2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mtosi</cp:lastModifiedBy>
  <cp:lastPrinted>2010-04-05T18:23:17Z</cp:lastPrinted>
  <dcterms:created xsi:type="dcterms:W3CDTF">1998-04-21T14:04:37Z</dcterms:created>
  <dcterms:modified xsi:type="dcterms:W3CDTF">2010-08-06T14:31:26Z</dcterms:modified>
  <cp:category/>
  <cp:version/>
  <cp:contentType/>
  <cp:contentStatus/>
</cp:coreProperties>
</file>