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86" activeTab="0"/>
  </bookViews>
  <sheets>
    <sheet name="TOT-1008" sheetId="1" r:id="rId1"/>
    <sheet name="Incendio" sheetId="2" r:id="rId2"/>
    <sheet name="Condición Climática 313-01" sheetId="3" r:id="rId3"/>
    <sheet name="LI-10 (1)" sheetId="4" r:id="rId4"/>
    <sheet name="TR-10 (1)" sheetId="5" r:id="rId5"/>
    <sheet name="TR-10 (2)" sheetId="6" r:id="rId6"/>
    <sheet name="T4CH - Nota SE N° 2492" sheetId="7" r:id="rId7"/>
    <sheet name="SA-10 (1)" sheetId="8" r:id="rId8"/>
    <sheet name="SA-10 (2)" sheetId="9" r:id="rId9"/>
    <sheet name="RE-10 (1)" sheetId="10" r:id="rId10"/>
    <sheet name="RE-IV-10 (1)" sheetId="11" r:id="rId11"/>
    <sheet name="RE-LITSA-10 (1)" sheetId="12" r:id="rId12"/>
    <sheet name="TR-TIBA-10 (1)" sheetId="13" r:id="rId13"/>
    <sheet name="SA-TIBA-10 (1)" sheetId="14" r:id="rId14"/>
    <sheet name="SA-TIBA-10 (2)" sheetId="15" r:id="rId15"/>
    <sheet name="TR-ENECOR-10 (1)" sheetId="16" r:id="rId16"/>
    <sheet name="SUP-LITSA" sheetId="17" r:id="rId17"/>
    <sheet name="SUP-TIBA" sheetId="18" r:id="rId18"/>
    <sheet name="SUP-ENECOR" sheetId="19" r:id="rId19"/>
    <sheet name="TASA FALLA" sheetId="20" r:id="rId20"/>
    <sheet name="DATO" sheetId="21" r:id="rId21"/>
  </sheets>
  <externalReferences>
    <externalReference r:id="rId24"/>
  </externalReferences>
  <definedNames>
    <definedName name="_xlnm.Print_Area" localSheetId="3">'LI-10 (1)'!$A$1:$AD$41</definedName>
    <definedName name="_xlnm.Print_Area" localSheetId="9">'RE-10 (1)'!$A$1:$Y$43</definedName>
    <definedName name="_xlnm.Print_Area" localSheetId="10">'RE-IV-10 (1)'!$A$1:$W$44</definedName>
    <definedName name="_xlnm.Print_Area" localSheetId="11">'RE-LITSA-10 (1)'!$A$1:$W$46</definedName>
    <definedName name="_xlnm.Print_Area" localSheetId="7">'SA-10 (1)'!$A$1:$U$46</definedName>
    <definedName name="_xlnm.Print_Area" localSheetId="8">'SA-10 (2)'!$A$1:$U$46</definedName>
    <definedName name="_xlnm.Print_Area" localSheetId="13">'SA-TIBA-10 (1)'!$A$1:$U$44</definedName>
    <definedName name="_xlnm.Print_Area" localSheetId="14">'SA-TIBA-10 (2)'!$A$1:$U$44</definedName>
    <definedName name="_xlnm.Print_Area" localSheetId="18">'SUP-ENECOR'!$A$1:$W$64</definedName>
    <definedName name="_xlnm.Print_Area" localSheetId="16">'SUP-LITSA'!$A$1:$AD$75</definedName>
    <definedName name="_xlnm.Print_Area" localSheetId="17">'SUP-TIBA'!$A$1:$W$92</definedName>
    <definedName name="_xlnm.Print_Area" localSheetId="19">'TASA FALLA'!$A$1:$V$99</definedName>
    <definedName name="_xlnm.Print_Area" localSheetId="0">'TOT-1008'!$A$1:$K$51</definedName>
    <definedName name="_xlnm.Print_Area" localSheetId="4">'TR-10 (1)'!$A$1:$AB$44</definedName>
    <definedName name="_xlnm.Print_Area" localSheetId="5">'TR-10 (2)'!$A$1:$AB$44</definedName>
    <definedName name="_xlnm.Print_Area" localSheetId="15">'TR-ENECOR-10 (1)'!$A$1:$AB$42</definedName>
    <definedName name="_xlnm.Print_Area" localSheetId="12">'TR-TIBA-10 (1)'!$A$1:$AB$42</definedName>
    <definedName name="DD" localSheetId="3">'LI-10 (1)'!DD</definedName>
    <definedName name="DD" localSheetId="9">'RE-10 (1)'!DD</definedName>
    <definedName name="DD" localSheetId="10">'RE-IV-10 (1)'!DD</definedName>
    <definedName name="DD" localSheetId="11">'RE-LITSA-10 (1)'!DD</definedName>
    <definedName name="DD" localSheetId="7">'SA-10 (1)'!DD</definedName>
    <definedName name="DD" localSheetId="8">'SA-10 (2)'!DD</definedName>
    <definedName name="DD" localSheetId="13">'SA-TIBA-10 (1)'!DD</definedName>
    <definedName name="DD" localSheetId="14">'SA-TIBA-10 (2)'!DD</definedName>
    <definedName name="DD" localSheetId="19">'TASA FALLA'!DD</definedName>
    <definedName name="DD" localSheetId="4">'TR-10 (1)'!DD</definedName>
    <definedName name="DD" localSheetId="5">'TR-10 (2)'!DD</definedName>
    <definedName name="DD" localSheetId="15">'TR-ENECOR-10 (1)'!DD</definedName>
    <definedName name="DD" localSheetId="12">'TR-TIBA-10 (1)'!DD</definedName>
    <definedName name="DD">[0]!DD</definedName>
    <definedName name="DDD" localSheetId="3">'LI-10 (1)'!DDD</definedName>
    <definedName name="DDD" localSheetId="9">'RE-10 (1)'!DDD</definedName>
    <definedName name="DDD" localSheetId="10">'RE-IV-10 (1)'!DDD</definedName>
    <definedName name="DDD" localSheetId="11">'RE-LITSA-10 (1)'!DDD</definedName>
    <definedName name="DDD" localSheetId="7">'SA-10 (1)'!DDD</definedName>
    <definedName name="DDD" localSheetId="8">'SA-10 (2)'!DDD</definedName>
    <definedName name="DDD" localSheetId="13">'SA-TIBA-10 (1)'!DDD</definedName>
    <definedName name="DDD" localSheetId="14">'SA-TIBA-10 (2)'!DDD</definedName>
    <definedName name="DDD" localSheetId="19">'TASA FALLA'!DDD</definedName>
    <definedName name="DDD" localSheetId="4">'TR-10 (1)'!DDD</definedName>
    <definedName name="DDD" localSheetId="5">'TR-10 (2)'!DDD</definedName>
    <definedName name="DDD" localSheetId="15">'TR-ENECOR-10 (1)'!DDD</definedName>
    <definedName name="DDD" localSheetId="12">'TR-TIBA-10 (1)'!DDD</definedName>
    <definedName name="DDD">[0]!DDD</definedName>
    <definedName name="DISTROCUYO" localSheetId="3">'LI-10 (1)'!DISTROCUYO</definedName>
    <definedName name="DISTROCUYO" localSheetId="9">'RE-10 (1)'!DISTROCUYO</definedName>
    <definedName name="DISTROCUYO" localSheetId="10">'RE-IV-10 (1)'!DISTROCUYO</definedName>
    <definedName name="DISTROCUYO" localSheetId="11">'RE-LITSA-10 (1)'!DISTROCUYO</definedName>
    <definedName name="DISTROCUYO" localSheetId="7">'SA-10 (1)'!DISTROCUYO</definedName>
    <definedName name="DISTROCUYO" localSheetId="8">'SA-10 (2)'!DISTROCUYO</definedName>
    <definedName name="DISTROCUYO" localSheetId="13">'SA-TIBA-10 (1)'!DISTROCUYO</definedName>
    <definedName name="DISTROCUYO" localSheetId="14">'SA-TIBA-10 (2)'!DISTROCUYO</definedName>
    <definedName name="DISTROCUYO" localSheetId="19">'TASA FALLA'!DISTROCUYO</definedName>
    <definedName name="DISTROCUYO" localSheetId="4">'TR-10 (1)'!DISTROCUYO</definedName>
    <definedName name="DISTROCUYO" localSheetId="5">'TR-10 (2)'!DISTROCUYO</definedName>
    <definedName name="DISTROCUYO" localSheetId="15">'TR-ENECOR-10 (1)'!DISTROCUYO</definedName>
    <definedName name="DISTROCUYO" localSheetId="12">'TR-TIBA-10 (1)'!DISTROCUYO</definedName>
    <definedName name="DISTROCUYO">[0]!DISTROCUYO</definedName>
    <definedName name="INICIO" localSheetId="3">'LI-10 (1)'!INICIO</definedName>
    <definedName name="INICIO" localSheetId="9">'RE-10 (1)'!INICIO</definedName>
    <definedName name="INICIO" localSheetId="10">'RE-IV-10 (1)'!INICIO</definedName>
    <definedName name="INICIO" localSheetId="11">'RE-LITSA-10 (1)'!INICIO</definedName>
    <definedName name="INICIO" localSheetId="7">'SA-10 (1)'!INICIO</definedName>
    <definedName name="INICIO" localSheetId="8">'SA-10 (2)'!INICIO</definedName>
    <definedName name="INICIO" localSheetId="13">'SA-TIBA-10 (1)'!INICIO</definedName>
    <definedName name="INICIO" localSheetId="14">'SA-TIBA-10 (2)'!INICIO</definedName>
    <definedName name="INICIO" localSheetId="19">'TASA FALLA'!INICIO</definedName>
    <definedName name="INICIO" localSheetId="0">'TOT-1008'!INICIO</definedName>
    <definedName name="INICIO" localSheetId="4">'TR-10 (1)'!INICIO</definedName>
    <definedName name="INICIO" localSheetId="5">'TR-10 (2)'!INICIO</definedName>
    <definedName name="INICIO" localSheetId="15">'TR-ENECOR-10 (1)'!INICIO</definedName>
    <definedName name="INICIO" localSheetId="12">'TR-TIBA-10 (1)'!INICIO</definedName>
    <definedName name="INICIO">[0]!INICIO</definedName>
    <definedName name="INICIOTI" localSheetId="3">'LI-10 (1)'!INICIOTI</definedName>
    <definedName name="INICIOTI" localSheetId="9">'RE-10 (1)'!INICIOTI</definedName>
    <definedName name="INICIOTI" localSheetId="10">'RE-IV-10 (1)'!INICIOTI</definedName>
    <definedName name="INICIOTI" localSheetId="11">'RE-LITSA-10 (1)'!INICIOTI</definedName>
    <definedName name="INICIOTI" localSheetId="7">'SA-10 (1)'!INICIOTI</definedName>
    <definedName name="INICIOTI" localSheetId="8">'SA-10 (2)'!INICIOTI</definedName>
    <definedName name="INICIOTI" localSheetId="13">'SA-TIBA-10 (1)'!INICIOTI</definedName>
    <definedName name="INICIOTI" localSheetId="14">'SA-TIBA-10 (2)'!INICIOTI</definedName>
    <definedName name="INICIOTI" localSheetId="19">'TASA FALLA'!INICIOTI</definedName>
    <definedName name="INICIOTI" localSheetId="4">'TR-10 (1)'!INICIOTI</definedName>
    <definedName name="INICIOTI" localSheetId="5">'TR-10 (2)'!INICIOTI</definedName>
    <definedName name="INICIOTI" localSheetId="15">'TR-ENECOR-10 (1)'!INICIOTI</definedName>
    <definedName name="INICIOTI" localSheetId="12">'TR-TIBA-10 (1)'!INICIOTI</definedName>
    <definedName name="INICIOTI">[0]!INICIOTI</definedName>
    <definedName name="LINEAS" localSheetId="3">'LI-10 (1)'!LINEAS</definedName>
    <definedName name="LINEAS" localSheetId="9">'RE-10 (1)'!LINEAS</definedName>
    <definedName name="LINEAS" localSheetId="10">'RE-IV-10 (1)'!LINEAS</definedName>
    <definedName name="LINEAS" localSheetId="11">'RE-LITSA-10 (1)'!LINEAS</definedName>
    <definedName name="LINEAS" localSheetId="7">'SA-10 (1)'!LINEAS</definedName>
    <definedName name="LINEAS" localSheetId="8">'SA-10 (2)'!LINEAS</definedName>
    <definedName name="LINEAS" localSheetId="13">'SA-TIBA-10 (1)'!LINEAS</definedName>
    <definedName name="LINEAS" localSheetId="14">'SA-TIBA-10 (2)'!LINEAS</definedName>
    <definedName name="LINEAS" localSheetId="19">'TASA FALLA'!LINEAS</definedName>
    <definedName name="LINEAS" localSheetId="4">'TR-10 (1)'!LINEAS</definedName>
    <definedName name="LINEAS" localSheetId="5">'TR-10 (2)'!LINEAS</definedName>
    <definedName name="LINEAS" localSheetId="15">'TR-ENECOR-10 (1)'!LINEAS</definedName>
    <definedName name="LINEAS" localSheetId="12">'TR-TIBA-10 (1)'!LINEAS</definedName>
    <definedName name="LINEAS">[0]!LINEAS</definedName>
    <definedName name="NAME_L" localSheetId="3">'LI-10 (1)'!NAME_L</definedName>
    <definedName name="NAME_L" localSheetId="9">'RE-10 (1)'!NAME_L</definedName>
    <definedName name="NAME_L" localSheetId="10">'RE-IV-10 (1)'!NAME_L</definedName>
    <definedName name="NAME_L" localSheetId="11">'RE-LITSA-10 (1)'!NAME_L</definedName>
    <definedName name="NAME_L" localSheetId="7">'SA-10 (1)'!NAME_L</definedName>
    <definedName name="NAME_L" localSheetId="8">'SA-10 (2)'!NAME_L</definedName>
    <definedName name="NAME_L" localSheetId="13">'SA-TIBA-10 (1)'!NAME_L</definedName>
    <definedName name="NAME_L" localSheetId="14">'SA-TIBA-10 (2)'!NAME_L</definedName>
    <definedName name="NAME_L" localSheetId="19">'TASA FALLA'!NAME_L</definedName>
    <definedName name="NAME_L" localSheetId="4">'TR-10 (1)'!NAME_L</definedName>
    <definedName name="NAME_L" localSheetId="5">'TR-10 (2)'!NAME_L</definedName>
    <definedName name="NAME_L" localSheetId="15">'TR-ENECOR-10 (1)'!NAME_L</definedName>
    <definedName name="NAME_L" localSheetId="12">'TR-TIBA-10 (1)'!NAME_L</definedName>
    <definedName name="NAME_L">[0]!NAME_L</definedName>
    <definedName name="NAME_L_TI" localSheetId="3">'LI-10 (1)'!NAME_L_TI</definedName>
    <definedName name="NAME_L_TI" localSheetId="9">'RE-10 (1)'!NAME_L_TI</definedName>
    <definedName name="NAME_L_TI" localSheetId="10">'RE-IV-10 (1)'!NAME_L_TI</definedName>
    <definedName name="NAME_L_TI" localSheetId="11">'RE-LITSA-10 (1)'!NAME_L_TI</definedName>
    <definedName name="NAME_L_TI" localSheetId="7">'SA-10 (1)'!NAME_L_TI</definedName>
    <definedName name="NAME_L_TI" localSheetId="8">'SA-10 (2)'!NAME_L_TI</definedName>
    <definedName name="NAME_L_TI" localSheetId="13">'SA-TIBA-10 (1)'!NAME_L_TI</definedName>
    <definedName name="NAME_L_TI" localSheetId="14">'SA-TIBA-10 (2)'!NAME_L_TI</definedName>
    <definedName name="NAME_L_TI" localSheetId="19">'TASA FALLA'!NAME_L_TI</definedName>
    <definedName name="NAME_L_TI" localSheetId="4">'TR-10 (1)'!NAME_L_TI</definedName>
    <definedName name="NAME_L_TI" localSheetId="5">'TR-10 (2)'!NAME_L_TI</definedName>
    <definedName name="NAME_L_TI" localSheetId="15">'TR-ENECOR-10 (1)'!NAME_L_TI</definedName>
    <definedName name="NAME_L_TI" localSheetId="12">'TR-TIBA-10 (1)'!NAME_L_TI</definedName>
    <definedName name="NAME_L_TI">[0]!NAME_L_TI</definedName>
    <definedName name="TRAN" localSheetId="3">'LI-10 (1)'!TRAN</definedName>
    <definedName name="TRAN" localSheetId="9">'RE-10 (1)'!TRAN</definedName>
    <definedName name="TRAN" localSheetId="10">'RE-IV-10 (1)'!TRAN</definedName>
    <definedName name="TRAN" localSheetId="11">'RE-LITSA-10 (1)'!TRAN</definedName>
    <definedName name="TRAN" localSheetId="7">'SA-10 (1)'!TRAN</definedName>
    <definedName name="TRAN" localSheetId="8">'SA-10 (2)'!TRAN</definedName>
    <definedName name="TRAN" localSheetId="13">'SA-TIBA-10 (1)'!TRAN</definedName>
    <definedName name="TRAN" localSheetId="14">'SA-TIBA-10 (2)'!TRAN</definedName>
    <definedName name="TRAN" localSheetId="19">'TASA FALLA'!TRAN</definedName>
    <definedName name="TRAN" localSheetId="4">'TR-10 (1)'!TRAN</definedName>
    <definedName name="TRAN" localSheetId="5">'TR-10 (2)'!TRAN</definedName>
    <definedName name="TRAN" localSheetId="15">'TR-ENECOR-10 (1)'!TRAN</definedName>
    <definedName name="TRAN" localSheetId="12">'TR-TIBA-10 (1)'!TRAN</definedName>
    <definedName name="TRAN">[0]!TRAN</definedName>
    <definedName name="TRANSNOA" localSheetId="3">'LI-10 (1)'!TRANSNOA</definedName>
    <definedName name="TRANSNOA" localSheetId="9">'RE-10 (1)'!TRANSNOA</definedName>
    <definedName name="TRANSNOA" localSheetId="10">'RE-IV-10 (1)'!TRANSNOA</definedName>
    <definedName name="TRANSNOA" localSheetId="11">'RE-LITSA-10 (1)'!TRANSNOA</definedName>
    <definedName name="TRANSNOA" localSheetId="7">'SA-10 (1)'!TRANSNOA</definedName>
    <definedName name="TRANSNOA" localSheetId="8">'SA-10 (2)'!TRANSNOA</definedName>
    <definedName name="TRANSNOA" localSheetId="13">'SA-TIBA-10 (1)'!TRANSNOA</definedName>
    <definedName name="TRANSNOA" localSheetId="14">'SA-TIBA-10 (2)'!TRANSNOA</definedName>
    <definedName name="TRANSNOA" localSheetId="19">'TASA FALLA'!TRANSNOA</definedName>
    <definedName name="TRANSNOA" localSheetId="4">'TR-10 (1)'!TRANSNOA</definedName>
    <definedName name="TRANSNOA" localSheetId="5">'TR-10 (2)'!TRANSNOA</definedName>
    <definedName name="TRANSNOA" localSheetId="15">'TR-ENECOR-10 (1)'!TRANSNOA</definedName>
    <definedName name="TRANSNOA" localSheetId="12">'TR-TIBA-10 (1)'!TRANSNOA</definedName>
    <definedName name="TRANSNOA">[0]!TRANSNOA</definedName>
    <definedName name="x" localSheetId="3">'LI-10 (1)'!x</definedName>
    <definedName name="x" localSheetId="9">'RE-10 (1)'!x</definedName>
    <definedName name="x" localSheetId="10">'RE-IV-10 (1)'!x</definedName>
    <definedName name="x" localSheetId="11">'RE-LITSA-10 (1)'!x</definedName>
    <definedName name="x" localSheetId="7">'SA-10 (1)'!x</definedName>
    <definedName name="x" localSheetId="8">'SA-10 (2)'!x</definedName>
    <definedName name="x" localSheetId="13">'SA-TIBA-10 (1)'!x</definedName>
    <definedName name="x" localSheetId="14">'SA-TIBA-10 (2)'!x</definedName>
    <definedName name="x" localSheetId="19">'TASA FALLA'!x</definedName>
    <definedName name="x" localSheetId="4">'TR-10 (1)'!x</definedName>
    <definedName name="x" localSheetId="5">'TR-10 (2)'!x</definedName>
    <definedName name="x" localSheetId="15">'TR-ENECOR-10 (1)'!x</definedName>
    <definedName name="x" localSheetId="12">'TR-TIBA-10 (1)'!x</definedName>
    <definedName name="x">[0]!x</definedName>
    <definedName name="XX" localSheetId="3">'LI-10 (1)'!XX</definedName>
    <definedName name="XX" localSheetId="9">'RE-10 (1)'!XX</definedName>
    <definedName name="XX" localSheetId="10">'RE-IV-10 (1)'!XX</definedName>
    <definedName name="XX" localSheetId="11">'RE-LITSA-10 (1)'!XX</definedName>
    <definedName name="XX" localSheetId="7">'SA-10 (1)'!XX</definedName>
    <definedName name="XX" localSheetId="8">'SA-10 (2)'!XX</definedName>
    <definedName name="XX" localSheetId="13">'SA-TIBA-10 (1)'!XX</definedName>
    <definedName name="XX" localSheetId="14">'SA-TIBA-10 (2)'!XX</definedName>
    <definedName name="XX" localSheetId="19">'TASA FALLA'!XX</definedName>
    <definedName name="XX" localSheetId="4">'TR-10 (1)'!XX</definedName>
    <definedName name="XX" localSheetId="5">'TR-10 (2)'!XX</definedName>
    <definedName name="XX" localSheetId="15">'TR-ENECOR-10 (1)'!XX</definedName>
    <definedName name="XX" localSheetId="12">'TR-TIBA-10 (1)'!XX</definedName>
    <definedName name="XX">[0]!XX</definedName>
  </definedNames>
  <calcPr fullCalcOnLoad="1"/>
</workbook>
</file>

<file path=xl/comments17.xml><?xml version="1.0" encoding="utf-8"?>
<comments xmlns="http://schemas.openxmlformats.org/spreadsheetml/2006/main">
  <authors>
    <author>Ing. Juan Messina</author>
  </authors>
  <commentList>
    <comment ref="M58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2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3.xml><?xml version="1.0" encoding="utf-8"?>
<comments xmlns="http://schemas.openxmlformats.org/spreadsheetml/2006/main">
  <authors>
    <author>gmir</author>
    <author>GMir</author>
  </authors>
  <commentList>
    <comment ref="AB18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fp= 1 para atentado</t>
        </r>
      </text>
    </comment>
    <comment ref="AF18" authorId="1">
      <text>
        <r>
          <rPr>
            <sz val="8"/>
            <rFont val="Tahoma"/>
            <family val="0"/>
          </rPr>
          <t>solo paso a minutos el Tst (columna AI, porque el calculo de la PC esta hecho en minutos</t>
        </r>
      </text>
    </comment>
  </commentList>
</comments>
</file>

<file path=xl/comments5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6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C2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hasta marzo 2008 : EZEIZA TRAFO3 sale forzado todp el mes con RF y 37,5% de red. Cada salida de este trafo sale con reduccion = al valor que da menos 62,5</t>
        </r>
      </text>
    </comment>
  </commentList>
</comments>
</file>

<file path=xl/sharedStrings.xml><?xml version="1.0" encoding="utf-8"?>
<sst xmlns="http://schemas.openxmlformats.org/spreadsheetml/2006/main" count="1455" uniqueCount="447">
  <si>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</si>
  <si>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</si>
  <si>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</si>
  <si>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</si>
  <si>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</si>
  <si>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</si>
  <si>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</si>
  <si>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</si>
  <si>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</si>
  <si>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</si>
  <si>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</si>
  <si>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</si>
  <si>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</si>
  <si>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</si>
  <si>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</si>
  <si>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</si>
  <si>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</si>
  <si>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</si>
  <si>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</si>
  <si>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</si>
  <si>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</si>
  <si>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</si>
  <si>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</si>
  <si>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</si>
  <si>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</si>
  <si>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</si>
  <si>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</si>
  <si>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</si>
  <si>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</si>
  <si>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</si>
  <si>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</si>
  <si>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</si>
  <si>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</si>
  <si>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</si>
  <si>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</si>
  <si>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</si>
  <si>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</si>
  <si>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</si>
  <si>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</si>
  <si>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</si>
  <si>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</si>
  <si>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</si>
  <si>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</si>
  <si>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</si>
  <si>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</si>
  <si>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</si>
  <si>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</si>
  <si>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</si>
  <si>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</si>
  <si>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</si>
  <si>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</si>
  <si>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</si>
  <si>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</si>
  <si>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</si>
  <si>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</si>
  <si>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</si>
  <si>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</si>
  <si>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</si>
  <si>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</si>
  <si>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</si>
  <si>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</si>
  <si>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</si>
  <si>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</si>
  <si>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</si>
  <si>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</si>
  <si>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Rest.
%</t>
  </si>
  <si>
    <t>R.D.</t>
  </si>
  <si>
    <t>PC en Tst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</si>
  <si>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</si>
  <si>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</si>
  <si>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</si>
  <si>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</si>
  <si>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</si>
  <si>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</si>
  <si>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</si>
  <si>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</si>
  <si>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</si>
  <si>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</si>
  <si>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PENALIZACIÓN FORZADA
Por Salida    1ras 5 hs.   hs. Restantes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</si>
  <si>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</si>
  <si>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</si>
  <si>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</si>
  <si>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</si>
  <si>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</si>
  <si>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</si>
  <si>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</si>
  <si>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</si>
  <si>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E.T.</t>
  </si>
  <si>
    <t>TRANSENER S.A.</t>
  </si>
  <si>
    <t>SISTEMA DE TRANSPORTE DE ENERGÍA ELÉCTRICA EN ALTA TENSIÓN</t>
  </si>
  <si>
    <t>Transportista Independiente LITSA</t>
  </si>
  <si>
    <t>Transportista Independiente ENECOR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</si>
  <si>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</si>
  <si>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</si>
  <si>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</si>
  <si>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</si>
  <si>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</si>
  <si>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</si>
  <si>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</si>
  <si>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>Tasa de falla de LITSA =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</si>
  <si>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</si>
  <si>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</si>
  <si>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</si>
  <si>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</si>
  <si>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</si>
  <si>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</si>
  <si>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</si>
  <si>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</si>
  <si>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</si>
  <si>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</si>
  <si>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</si>
  <si>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2.1.4.- Transportista Independiente ENECOR S.A.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</si>
  <si>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</si>
  <si>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</si>
  <si>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</si>
  <si>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</si>
  <si>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</si>
  <si>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</si>
  <si>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</si>
  <si>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</si>
  <si>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</si>
  <si>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3.3.- Transportista Independiente L.I.T.S.A.</t>
  </si>
  <si>
    <t>K (P)</t>
  </si>
  <si>
    <t xml:space="preserve">$/100 km-h : LINEAS 500 kV </t>
  </si>
  <si>
    <t xml:space="preserve">$/100 km-h : LINEAS 220 kV </t>
  </si>
  <si>
    <t>(*)</t>
  </si>
  <si>
    <t>fp :</t>
  </si>
  <si>
    <t>igual a 0,9 o 1 p/ Cond. Climáticas Ext. e igual a 1 p/ Atentados.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</si>
  <si>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</si>
  <si>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</si>
  <si>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</si>
  <si>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</si>
  <si>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</si>
  <si>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</si>
  <si>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</si>
  <si>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</si>
  <si>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</si>
  <si>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</si>
  <si>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</si>
  <si>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</si>
  <si>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</si>
  <si>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</si>
  <si>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</si>
  <si>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</si>
  <si>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</si>
  <si>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</si>
  <si>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4.2.- Transportista Independiente L.I.T.S.A.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</si>
  <si>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</si>
  <si>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</si>
  <si>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</si>
  <si>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</si>
  <si>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</si>
  <si>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</si>
  <si>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</si>
  <si>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</si>
  <si>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</si>
  <si>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</si>
  <si>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</si>
  <si>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</si>
  <si>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</si>
  <si>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</si>
  <si>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</si>
  <si>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</si>
  <si>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</si>
  <si>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</si>
  <si>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</si>
  <si>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</si>
  <si>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</si>
  <si>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</si>
  <si>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</si>
  <si>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</si>
  <si>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</si>
  <si>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</si>
  <si>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</si>
  <si>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</si>
  <si>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</si>
  <si>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4.4.- Transportista Independiente  ENECOR S.A.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</si>
  <si>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</si>
  <si>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</si>
  <si>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</si>
  <si>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</si>
  <si>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</si>
  <si>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</si>
  <si>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</si>
  <si>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</si>
  <si>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</si>
  <si>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</si>
  <si>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</si>
  <si>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</si>
  <si>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</si>
  <si>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</si>
  <si>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</si>
  <si>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</si>
  <si>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</si>
  <si>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</si>
  <si>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</si>
  <si>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</si>
  <si>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</si>
  <si>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</si>
  <si>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</si>
  <si>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</si>
  <si>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</si>
  <si>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</si>
  <si>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</si>
  <si>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</si>
  <si>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</si>
  <si>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</si>
  <si>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</si>
  <si>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</si>
  <si>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</si>
  <si>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</si>
  <si>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</si>
  <si>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</si>
  <si>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</si>
  <si>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</si>
  <si>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</si>
  <si>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</si>
  <si>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</si>
  <si>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</si>
  <si>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</si>
  <si>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</si>
  <si>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</si>
  <si>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</si>
  <si>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</si>
  <si>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</si>
  <si>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</si>
  <si>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</si>
  <si>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</si>
  <si>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</si>
  <si>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</si>
  <si>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</si>
  <si>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</si>
  <si>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</si>
  <si>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</si>
  <si>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</si>
  <si>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</si>
  <si>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</si>
  <si>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</si>
  <si>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</si>
  <si>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</si>
  <si>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</si>
  <si>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</si>
  <si>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</si>
  <si>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</si>
  <si>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</si>
  <si>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</si>
  <si>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</si>
  <si>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</si>
  <si>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</si>
  <si>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</si>
  <si>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</si>
  <si>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</si>
  <si>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</si>
  <si>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</si>
  <si>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</si>
  <si>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</si>
  <si>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IV LINEA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</si>
  <si>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</si>
  <si>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</si>
  <si>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</si>
  <si>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</si>
  <si>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</si>
  <si>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</si>
  <si>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</si>
  <si>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</si>
  <si>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</si>
  <si>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</si>
  <si>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</si>
  <si>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</si>
  <si>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</si>
  <si>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</si>
  <si>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</si>
  <si>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</si>
  <si>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</si>
  <si>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</si>
  <si>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</si>
  <si>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</si>
  <si>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</si>
  <si>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</si>
  <si>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</si>
  <si>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</si>
  <si>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</si>
  <si>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</si>
  <si>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</si>
  <si>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SUP-LITSA</t>
  </si>
  <si>
    <t>SUP-TIBA</t>
  </si>
  <si>
    <t>SUP-ENECOR</t>
  </si>
  <si>
    <t>B14</t>
  </si>
  <si>
    <t>3.4.- IV LINEA</t>
  </si>
  <si>
    <t>SI</t>
  </si>
  <si>
    <t>MODELO R IV</t>
  </si>
  <si>
    <t>TRANSENER_INDSIPONIBILIDADES_REACTIVOS_IV.XLS</t>
  </si>
  <si>
    <t>P</t>
  </si>
  <si>
    <t>Total</t>
  </si>
  <si>
    <t>XXV</t>
  </si>
  <si>
    <t>XXVI</t>
  </si>
  <si>
    <t>XXVII</t>
  </si>
  <si>
    <t>XXVIII</t>
  </si>
  <si>
    <t>FILHTOTAL</t>
  </si>
  <si>
    <t>COLHTOTAL</t>
  </si>
  <si>
    <t>COLHCALC</t>
  </si>
  <si>
    <t>FILHCALC</t>
  </si>
  <si>
    <t>COLTRANSP</t>
  </si>
  <si>
    <t>FILTRANSP</t>
  </si>
  <si>
    <t>C</t>
  </si>
  <si>
    <t xml:space="preserve"> 2.2.- SALIDAS</t>
  </si>
  <si>
    <t>2.1.- TRANSFORMACIÓN</t>
  </si>
  <si>
    <t>2.1.1.- Equipamiento Propio</t>
  </si>
  <si>
    <t>REDUC PROGR</t>
  </si>
  <si>
    <t>Transportista Independiente L.I.T.S.A.</t>
  </si>
  <si>
    <t>4.3.- Transportista Independiente  TIBA S.A.</t>
  </si>
  <si>
    <t xml:space="preserve"> 2.2.2.- Transportista Independiente TIBA S.A.</t>
  </si>
  <si>
    <t>2.1.3.- Transportista Independiente TIBA S.A.</t>
  </si>
  <si>
    <t>PENAL.FORZADA x Sal hs. Restantes</t>
  </si>
  <si>
    <t>RED.FORZADA
x Sal hs. Restantes</t>
  </si>
  <si>
    <t>Remuneración T.I.B.A. =</t>
  </si>
  <si>
    <t>Campana trafos</t>
  </si>
  <si>
    <t>T_sal</t>
  </si>
  <si>
    <t>P - PROGRAMADA ;   RP - REDUCCIÓN PROGRAMADA ;   RR - REDUCCIÓN RESTANTE ;   F - FORZADA ;   R - REDUCCIÓN FORZADA ;   RF - RESTANTE FORZADA</t>
  </si>
  <si>
    <t>COL TSAL</t>
  </si>
  <si>
    <t>POT.
[MVAr]</t>
  </si>
  <si>
    <t>Desde el 01 al 31 de octubre de 2008</t>
  </si>
  <si>
    <t>SALTO GRANDE - SANTO TOME</t>
  </si>
  <si>
    <t>ROSARIO OESTE - SANTO TOME</t>
  </si>
  <si>
    <t>COLONIA ELIA - CAMPANA</t>
  </si>
  <si>
    <t>F</t>
  </si>
  <si>
    <t>EL BRACHO - RECREO(5)</t>
  </si>
  <si>
    <t>B</t>
  </si>
  <si>
    <t>PUELCHES - MACACHIN 1</t>
  </si>
  <si>
    <t>A</t>
  </si>
  <si>
    <t>PUELCHES - HENDERSON 1 (B2)</t>
  </si>
  <si>
    <t>ROMANG - RESISTENCIA</t>
  </si>
  <si>
    <t>RAMALLO - ROSARIO OESTE</t>
  </si>
  <si>
    <t>VILLA LIA - ATUCHA 1</t>
  </si>
  <si>
    <t>RAMALLO - VILLA LIA  1</t>
  </si>
  <si>
    <t>GRAL. RODRIGUEZ - VILLA  LIA 1</t>
  </si>
  <si>
    <t>RIO GRANDE - EMBALSE</t>
  </si>
  <si>
    <t>EL CHOCON</t>
  </si>
  <si>
    <t>TRAFO 4</t>
  </si>
  <si>
    <t>500/132/13,2</t>
  </si>
  <si>
    <t>ROSARIO OESTE</t>
  </si>
  <si>
    <t>TRAFO 2</t>
  </si>
  <si>
    <t>EZEIZA</t>
  </si>
  <si>
    <t>TRAFO 1</t>
  </si>
  <si>
    <t>500/220/132</t>
  </si>
  <si>
    <t>RESISTENCIA</t>
  </si>
  <si>
    <t>ATUCHA I</t>
  </si>
  <si>
    <t>TRAFO</t>
  </si>
  <si>
    <t>TRAFO T2</t>
  </si>
  <si>
    <t>GRAN MENDOZA</t>
  </si>
  <si>
    <t>TRAFO 3</t>
  </si>
  <si>
    <t>HENDERSON</t>
  </si>
  <si>
    <t>AUTOTRAFO</t>
  </si>
  <si>
    <t>SANTO TOME</t>
  </si>
  <si>
    <t>SALIDA RESISTENCIA 2 CD5</t>
  </si>
  <si>
    <t>SALIDA LINEA A P. LA PLAZA</t>
  </si>
  <si>
    <t>SALIDA RESISTENCIA 1 CD6</t>
  </si>
  <si>
    <t>SALIDA LINEA A BARRANQUERAS 2</t>
  </si>
  <si>
    <t>SALIDA LINEA A BARRANQUERAS 1</t>
  </si>
  <si>
    <t>ALMAFUERTE</t>
  </si>
  <si>
    <t>SALIDA LINEA C. N. EMBALSE</t>
  </si>
  <si>
    <t>B. BLANCA</t>
  </si>
  <si>
    <t>SALIDA ACOPLAMIENTO A-C</t>
  </si>
  <si>
    <t>SALIDA LINEA A GODOY</t>
  </si>
  <si>
    <t>SALIDA ACOPLAMIENTO B-D</t>
  </si>
  <si>
    <t>RECREO</t>
  </si>
  <si>
    <t>ALIMENTADOR A FRIAS</t>
  </si>
  <si>
    <t>SALIDA LINEA A CRUZ DE PIEDRA 1</t>
  </si>
  <si>
    <t>AGUA DEL CAJÓN</t>
  </si>
  <si>
    <t>SALIDA TRAFO 2 CAPEX</t>
  </si>
  <si>
    <t>SALIDA LINEA A CRUZ DE PIEDRA 2</t>
  </si>
  <si>
    <t>SALIDA LINEA MONTE CASEROS 2</t>
  </si>
  <si>
    <t>SALIDA LINEA MONTE CASEROS 1</t>
  </si>
  <si>
    <t>VILLA LIA</t>
  </si>
  <si>
    <t>SALIDA TRAFO 220/132/13,2</t>
  </si>
  <si>
    <t>MALVINAS ARGENTINAS</t>
  </si>
  <si>
    <t>SALIDA LINEA NORTE 1</t>
  </si>
  <si>
    <t>SALIDA LINEA LOS REYUNOS</t>
  </si>
  <si>
    <t>SALIDA CALCHINES</t>
  </si>
  <si>
    <t>SALIDA LINEA TANCACHA</t>
  </si>
  <si>
    <t>SALIDA LINEA ROSARIO SUR 3</t>
  </si>
  <si>
    <t>CS2</t>
  </si>
  <si>
    <t>CS1</t>
  </si>
  <si>
    <t>BAHIA BLANCA</t>
  </si>
  <si>
    <t>R1B5BB</t>
  </si>
  <si>
    <t>R3A RL</t>
  </si>
  <si>
    <t>OLAVARRIA</t>
  </si>
  <si>
    <t>R4L5OL</t>
  </si>
  <si>
    <t>SALTO GDE.ARG.</t>
  </si>
  <si>
    <t>R22011</t>
  </si>
  <si>
    <t>T1OL</t>
  </si>
  <si>
    <t>SALIDA A P. LURO</t>
  </si>
  <si>
    <t>SALIDA LINEA PBUENA 1</t>
  </si>
  <si>
    <t>SALIDA A PRINGLES</t>
  </si>
  <si>
    <t>CAMPANA</t>
  </si>
  <si>
    <t>SALIDA MINETTI</t>
  </si>
  <si>
    <t>SALIDA A COOP. P. ALTA</t>
  </si>
  <si>
    <t>SALIDA A DORREGO</t>
  </si>
  <si>
    <t>SALIDA A OLAVARRIA</t>
  </si>
  <si>
    <t>SALIDA LINEA PBUENA 2</t>
  </si>
  <si>
    <t>SALIDA A PIGUE</t>
  </si>
  <si>
    <t>SALIDA BARKER</t>
  </si>
  <si>
    <t>SALIDA A L. NEGRA</t>
  </si>
  <si>
    <t>SALIDA A V. LIA</t>
  </si>
  <si>
    <t>P. DE LA PATRIA</t>
  </si>
  <si>
    <t>TRPP</t>
  </si>
  <si>
    <t>P - PROGRAMADA ;   F - FORZADA</t>
  </si>
  <si>
    <t>P - PROGRAMADA</t>
  </si>
  <si>
    <t>220/132/13,2</t>
  </si>
  <si>
    <t>220/132/33</t>
  </si>
  <si>
    <t>BC1</t>
  </si>
  <si>
    <t>BC4</t>
  </si>
  <si>
    <t>PUELCHES-HENDERSON</t>
  </si>
  <si>
    <t>RESITENCIA</t>
  </si>
  <si>
    <t>Valores remuneratorios según Res. ENRE 327/08 y Res. ENRE 328/08</t>
  </si>
  <si>
    <t>SISTEMA DE TRANSPORTE DE ENERGÍA ELÉCTRICA EN ALTA TENSION</t>
  </si>
  <si>
    <t>INDISPONIBILIDADES FORZADAS DE LÍNEAS - TASA DE FALLA</t>
  </si>
  <si>
    <t>Correspondiente al mes de octubre de 2008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</si>
  <si>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</si>
  <si>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</si>
  <si>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</si>
  <si>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</si>
  <si>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</si>
  <si>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</si>
  <si>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</si>
  <si>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1.3.- Incendio de Campos - Aplicación Punto 6.1.6 del Acta Acuerdo</t>
  </si>
  <si>
    <t xml:space="preserve">P - PROGRAMADA                  </t>
  </si>
  <si>
    <t xml:space="preserve">FM - Fuerza  Mayor                       </t>
  </si>
  <si>
    <t>1.3.-</t>
  </si>
  <si>
    <t>Incendio de campos</t>
  </si>
  <si>
    <t>1.1.1 - Indisponibilidades de LAT causadas por condiciones climáticas extremas. Resolución ENRE 313/01</t>
  </si>
  <si>
    <t>1.1.1.-</t>
  </si>
  <si>
    <t>Condiciones climáticas extremas</t>
  </si>
  <si>
    <t>(*): Según Nota S.E. N° 2492</t>
  </si>
  <si>
    <t>RF</t>
  </si>
  <si>
    <t>RM: Por Capacitores ET Bahía Blanca:</t>
  </si>
  <si>
    <t>100 MVAr</t>
  </si>
  <si>
    <t>(*):</t>
  </si>
  <si>
    <t>Según Resolución ENRE N° 157/07</t>
  </si>
  <si>
    <t>RM: Por Capacitores ET Paso de la Patria:</t>
  </si>
  <si>
    <t>75 MVAr</t>
  </si>
  <si>
    <t>Según Resolución ENRE N° 735/07</t>
  </si>
  <si>
    <t>TOTAL DE PENALIZACIONES A APLICAR</t>
  </si>
  <si>
    <t>2.1.2.-</t>
  </si>
  <si>
    <t>Indisp. Transformador N° 4 E.T. El Chocón</t>
  </si>
  <si>
    <t>2.1.2.- Indisponibilidad Transformador N° 4 E.T. El Chocón</t>
  </si>
  <si>
    <t xml:space="preserve">ANEXO V al Memorándum D.T.E.E. N°  366 / 2010        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</si>
</sst>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_)"/>
    <numFmt numFmtId="182" formatCode="0.000"/>
    <numFmt numFmtId="183" formatCode="0.0\ \k\V"/>
    <numFmt numFmtId="184" formatCode="0.00\ &quot;km&quot;"/>
    <numFmt numFmtId="185" formatCode="0.00\ &quot;MVA&quot;"/>
    <numFmt numFmtId="186" formatCode="dd/mm/yy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-yyyy"/>
    <numFmt numFmtId="204" formatCode="&quot;$&quot;\ #,##0.0;&quot;$&quot;\ \-#,##0.0"/>
    <numFmt numFmtId="205" formatCode="&quot;$&quot;\ #,##0.0000;&quot;$&quot;\ \-#,##0.0000"/>
    <numFmt numFmtId="206" formatCode="&quot;$&quot;\ #,##0.00000;&quot;$&quot;\ \-#,##0.00000"/>
    <numFmt numFmtId="207" formatCode="&quot;$&quot;\ #,##0.000000;&quot;$&quot;\ \-#,##0.000000"/>
    <numFmt numFmtId="208" formatCode="&quot;$&quot;#,##0.0;&quot;$&quot;\-#,##0.0"/>
    <numFmt numFmtId="209" formatCode="&quot;$&quot;#,##0;&quot;$&quot;\-#,##0"/>
    <numFmt numFmtId="210" formatCode="&quot;$&quot;\ #,##0.0000000;&quot;$&quot;\ \-#,##0.0000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d\-m"/>
    <numFmt numFmtId="215" formatCode="dd/mm/\a\a\a\a\ hh:\n\n"/>
    <numFmt numFmtId="216" formatCode="d\-m\-yy\ h:mm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</numFmts>
  <fonts count="1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b/>
      <u val="single"/>
      <sz val="18"/>
      <name val="Times New Roman"/>
      <family val="1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10"/>
      <color indexed="5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i/>
      <sz val="12"/>
      <name val="Times New Roman"/>
      <family val="1"/>
    </font>
    <font>
      <sz val="10"/>
      <color indexed="18"/>
      <name val="MS Sans Serif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8"/>
      <name val="MS Sans Serif"/>
      <family val="0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9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 applyProtection="1" quotePrefix="1">
      <alignment horizontal="center"/>
      <protection/>
    </xf>
    <xf numFmtId="176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76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6" fillId="2" borderId="14" xfId="0" applyFont="1" applyFill="1" applyBorder="1" applyAlignment="1" applyProtection="1">
      <alignment horizontal="center" vertical="center"/>
      <protection/>
    </xf>
    <xf numFmtId="176" fontId="37" fillId="2" borderId="2" xfId="0" applyNumberFormat="1" applyFont="1" applyFill="1" applyBorder="1" applyAlignment="1" applyProtection="1">
      <alignment horizontal="center"/>
      <protection/>
    </xf>
    <xf numFmtId="176" fontId="37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 applyProtection="1">
      <alignment horizontal="center" vertical="center"/>
      <protection/>
    </xf>
    <xf numFmtId="0" fontId="48" fillId="3" borderId="14" xfId="0" applyFont="1" applyFill="1" applyBorder="1" applyAlignment="1">
      <alignment horizontal="center" vertical="center" wrapText="1"/>
    </xf>
    <xf numFmtId="0" fontId="44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8" fillId="0" borderId="0" xfId="0" applyFont="1" applyAlignment="1">
      <alignment horizontal="right" vertical="top"/>
    </xf>
    <xf numFmtId="0" fontId="58" fillId="0" borderId="0" xfId="0" applyFont="1" applyFill="1" applyAlignment="1">
      <alignment horizontal="right" vertical="top"/>
    </xf>
    <xf numFmtId="0" fontId="15" fillId="0" borderId="0" xfId="27" applyFont="1" applyFill="1">
      <alignment/>
      <protection/>
    </xf>
    <xf numFmtId="0" fontId="15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0" fontId="16" fillId="0" borderId="0" xfId="27" applyFont="1" applyFill="1" applyAlignment="1">
      <alignment horizontal="centerContinuous"/>
      <protection/>
    </xf>
    <xf numFmtId="0" fontId="7" fillId="0" borderId="0" xfId="27" applyFont="1" applyFill="1">
      <alignment/>
      <protection/>
    </xf>
    <xf numFmtId="0" fontId="7" fillId="0" borderId="0" xfId="27" applyFont="1">
      <alignment/>
      <protection/>
    </xf>
    <xf numFmtId="0" fontId="14" fillId="0" borderId="0" xfId="27" applyFont="1" applyFill="1" applyBorder="1" applyAlignment="1" applyProtection="1">
      <alignment horizontal="centerContinuous"/>
      <protection/>
    </xf>
    <xf numFmtId="0" fontId="18" fillId="0" borderId="0" xfId="27" applyFont="1" applyAlignment="1">
      <alignment horizontal="centerContinuous"/>
      <protection/>
    </xf>
    <xf numFmtId="0" fontId="18" fillId="0" borderId="0" xfId="27" applyFont="1">
      <alignment/>
      <protection/>
    </xf>
    <xf numFmtId="0" fontId="18" fillId="0" borderId="0" xfId="27" applyFont="1" applyFill="1">
      <alignment/>
      <protection/>
    </xf>
    <xf numFmtId="0" fontId="7" fillId="0" borderId="13" xfId="27" applyFont="1" applyBorder="1">
      <alignment/>
      <protection/>
    </xf>
    <xf numFmtId="0" fontId="7" fillId="0" borderId="5" xfId="27" applyFont="1" applyBorder="1">
      <alignment/>
      <protection/>
    </xf>
    <xf numFmtId="0" fontId="7" fillId="0" borderId="5" xfId="27" applyFont="1" applyBorder="1" applyAlignment="1" applyProtection="1">
      <alignment horizontal="left"/>
      <protection/>
    </xf>
    <xf numFmtId="0" fontId="7" fillId="0" borderId="5" xfId="27" applyFont="1" applyFill="1" applyBorder="1">
      <alignment/>
      <protection/>
    </xf>
    <xf numFmtId="0" fontId="7" fillId="0" borderId="6" xfId="27" applyFont="1" applyFill="1" applyBorder="1">
      <alignment/>
      <protection/>
    </xf>
    <xf numFmtId="0" fontId="20" fillId="0" borderId="0" xfId="27" applyFont="1">
      <alignment/>
      <protection/>
    </xf>
    <xf numFmtId="0" fontId="20" fillId="0" borderId="7" xfId="27" applyFont="1" applyBorder="1">
      <alignment/>
      <protection/>
    </xf>
    <xf numFmtId="0" fontId="20" fillId="0" borderId="0" xfId="27" applyFont="1" applyBorder="1">
      <alignment/>
      <protection/>
    </xf>
    <xf numFmtId="0" fontId="11" fillId="0" borderId="0" xfId="27" applyFont="1" applyBorder="1" applyAlignment="1">
      <alignment horizontal="left"/>
      <protection/>
    </xf>
    <xf numFmtId="0" fontId="20" fillId="0" borderId="0" xfId="27" applyFont="1" applyFill="1">
      <alignment/>
      <protection/>
    </xf>
    <xf numFmtId="0" fontId="11" fillId="0" borderId="0" xfId="27" applyFont="1" applyBorder="1">
      <alignment/>
      <protection/>
    </xf>
    <xf numFmtId="0" fontId="20" fillId="0" borderId="0" xfId="27" applyFont="1" applyFill="1" applyBorder="1">
      <alignment/>
      <protection/>
    </xf>
    <xf numFmtId="0" fontId="20" fillId="0" borderId="1" xfId="27" applyFont="1" applyFill="1" applyBorder="1">
      <alignment/>
      <protection/>
    </xf>
    <xf numFmtId="0" fontId="7" fillId="0" borderId="7" xfId="27" applyFont="1" applyBorder="1">
      <alignment/>
      <protection/>
    </xf>
    <xf numFmtId="0" fontId="7" fillId="0" borderId="0" xfId="27" applyFont="1" applyBorder="1">
      <alignment/>
      <protection/>
    </xf>
    <xf numFmtId="0" fontId="7" fillId="0" borderId="0" xfId="27" applyFont="1" applyFill="1" applyBorder="1">
      <alignment/>
      <protection/>
    </xf>
    <xf numFmtId="0" fontId="7" fillId="0" borderId="1" xfId="27" applyFont="1" applyFill="1" applyBorder="1">
      <alignment/>
      <protection/>
    </xf>
    <xf numFmtId="0" fontId="11" fillId="0" borderId="0" xfId="27" applyFont="1" applyBorder="1" applyProtection="1">
      <alignment/>
      <protection locked="0"/>
    </xf>
    <xf numFmtId="0" fontId="23" fillId="0" borderId="0" xfId="27" applyFont="1">
      <alignment/>
      <protection/>
    </xf>
    <xf numFmtId="0" fontId="24" fillId="0" borderId="0" xfId="27" applyFont="1" applyBorder="1" applyAlignment="1">
      <alignment horizontal="centerContinuous"/>
      <protection/>
    </xf>
    <xf numFmtId="0" fontId="24" fillId="0" borderId="0" xfId="27" applyFont="1" applyFill="1" applyBorder="1" applyAlignment="1">
      <alignment horizontal="centerContinuous"/>
      <protection/>
    </xf>
    <xf numFmtId="0" fontId="24" fillId="0" borderId="0" xfId="27" applyFont="1" applyAlignment="1">
      <alignment horizontal="centerContinuous"/>
      <protection/>
    </xf>
    <xf numFmtId="0" fontId="24" fillId="0" borderId="1" xfId="27" applyFont="1" applyFill="1" applyBorder="1" applyAlignment="1">
      <alignment horizontal="centerContinuous"/>
      <protection/>
    </xf>
    <xf numFmtId="0" fontId="7" fillId="0" borderId="0" xfId="27" applyFont="1" applyBorder="1" applyAlignment="1">
      <alignment horizontal="center"/>
      <protection/>
    </xf>
    <xf numFmtId="0" fontId="26" fillId="0" borderId="0" xfId="27" applyFont="1" applyBorder="1" applyAlignment="1">
      <alignment horizontal="left"/>
      <protection/>
    </xf>
    <xf numFmtId="0" fontId="5" fillId="6" borderId="13" xfId="27" applyFont="1" applyFill="1" applyBorder="1" applyAlignment="1">
      <alignment horizontal="left"/>
      <protection/>
    </xf>
    <xf numFmtId="2" fontId="7" fillId="6" borderId="5" xfId="27" applyNumberFormat="1" applyFont="1" applyFill="1" applyBorder="1" applyAlignment="1">
      <alignment horizontal="left"/>
      <protection/>
    </xf>
    <xf numFmtId="0" fontId="7" fillId="6" borderId="6" xfId="27" applyFont="1" applyFill="1" applyBorder="1" applyAlignment="1">
      <alignment horizontal="left"/>
      <protection/>
    </xf>
    <xf numFmtId="0" fontId="5" fillId="7" borderId="18" xfId="27" applyFont="1" applyFill="1" applyBorder="1">
      <alignment/>
      <protection/>
    </xf>
    <xf numFmtId="0" fontId="5" fillId="7" borderId="19" xfId="27" applyFont="1" applyFill="1" applyBorder="1">
      <alignment/>
      <protection/>
    </xf>
    <xf numFmtId="0" fontId="5" fillId="7" borderId="20" xfId="27" applyFont="1" applyFill="1" applyBorder="1">
      <alignment/>
      <protection/>
    </xf>
    <xf numFmtId="0" fontId="0" fillId="0" borderId="8" xfId="27" applyFont="1" applyBorder="1" applyAlignment="1" applyProtection="1">
      <alignment horizontal="center"/>
      <protection/>
    </xf>
    <xf numFmtId="0" fontId="7" fillId="6" borderId="7" xfId="27" applyFont="1" applyFill="1" applyBorder="1" applyAlignment="1">
      <alignment horizontal="left"/>
      <protection/>
    </xf>
    <xf numFmtId="0" fontId="7" fillId="6" borderId="0" xfId="27" applyFont="1" applyFill="1" applyBorder="1" applyAlignment="1">
      <alignment horizontal="left"/>
      <protection/>
    </xf>
    <xf numFmtId="22" fontId="7" fillId="6" borderId="1" xfId="27" applyNumberFormat="1" applyFont="1" applyFill="1" applyBorder="1" applyAlignment="1">
      <alignment horizontal="left"/>
      <protection/>
    </xf>
    <xf numFmtId="22" fontId="7" fillId="0" borderId="0" xfId="27" applyNumberFormat="1" applyFont="1" applyBorder="1">
      <alignment/>
      <protection/>
    </xf>
    <xf numFmtId="0" fontId="5" fillId="7" borderId="21" xfId="27" applyFont="1" applyFill="1" applyBorder="1">
      <alignment/>
      <protection/>
    </xf>
    <xf numFmtId="0" fontId="5" fillId="7" borderId="0" xfId="27" applyFont="1" applyFill="1" applyBorder="1">
      <alignment/>
      <protection/>
    </xf>
    <xf numFmtId="0" fontId="5" fillId="7" borderId="22" xfId="27" applyFont="1" applyFill="1" applyBorder="1">
      <alignment/>
      <protection/>
    </xf>
    <xf numFmtId="0" fontId="5" fillId="0" borderId="0" xfId="27" applyFont="1" applyFill="1" applyBorder="1">
      <alignment/>
      <protection/>
    </xf>
    <xf numFmtId="0" fontId="5" fillId="0" borderId="1" xfId="27" applyFont="1" applyFill="1" applyBorder="1">
      <alignment/>
      <protection/>
    </xf>
    <xf numFmtId="0" fontId="7" fillId="0" borderId="0" xfId="27" applyFont="1" applyBorder="1" applyAlignment="1" applyProtection="1">
      <alignment horizontal="center"/>
      <protection/>
    </xf>
    <xf numFmtId="0" fontId="7" fillId="0" borderId="23" xfId="27" applyFont="1" applyBorder="1">
      <alignment/>
      <protection/>
    </xf>
    <xf numFmtId="0" fontId="7" fillId="6" borderId="10" xfId="27" applyFont="1" applyFill="1" applyBorder="1" applyAlignment="1">
      <alignment horizontal="left"/>
      <protection/>
    </xf>
    <xf numFmtId="0" fontId="5" fillId="6" borderId="11" xfId="27" applyFont="1" applyFill="1" applyBorder="1" applyAlignment="1">
      <alignment horizontal="left"/>
      <protection/>
    </xf>
    <xf numFmtId="0" fontId="5" fillId="6" borderId="12" xfId="27" applyFont="1" applyFill="1" applyBorder="1" applyAlignment="1">
      <alignment horizontal="left"/>
      <protection/>
    </xf>
    <xf numFmtId="0" fontId="5" fillId="7" borderId="24" xfId="27" applyFont="1" applyFill="1" applyBorder="1">
      <alignment/>
      <protection/>
    </xf>
    <xf numFmtId="0" fontId="5" fillId="7" borderId="25" xfId="27" applyFont="1" applyFill="1" applyBorder="1">
      <alignment/>
      <protection/>
    </xf>
    <xf numFmtId="0" fontId="5" fillId="7" borderId="26" xfId="27" applyFont="1" applyFill="1" applyBorder="1">
      <alignment/>
      <protection/>
    </xf>
    <xf numFmtId="0" fontId="27" fillId="0" borderId="14" xfId="27" applyFont="1" applyBorder="1" applyAlignment="1" applyProtection="1">
      <alignment horizontal="center" vertical="center" textRotation="90" wrapText="1"/>
      <protection/>
    </xf>
    <xf numFmtId="172" fontId="27" fillId="0" borderId="14" xfId="27" applyNumberFormat="1" applyFont="1" applyBorder="1" applyAlignment="1" applyProtection="1">
      <alignment horizontal="center" vertical="center" wrapText="1"/>
      <protection/>
    </xf>
    <xf numFmtId="0" fontId="27" fillId="0" borderId="14" xfId="27" applyFont="1" applyBorder="1" applyAlignment="1" applyProtection="1">
      <alignment horizontal="center" vertical="center" wrapText="1"/>
      <protection/>
    </xf>
    <xf numFmtId="0" fontId="27" fillId="0" borderId="8" xfId="27" applyFont="1" applyFill="1" applyBorder="1" applyAlignment="1" applyProtection="1">
      <alignment horizontal="center" vertical="center" wrapText="1"/>
      <protection/>
    </xf>
    <xf numFmtId="0" fontId="27" fillId="0" borderId="14" xfId="27" applyFont="1" applyFill="1" applyBorder="1" applyAlignment="1" applyProtection="1">
      <alignment horizontal="center" vertical="center" wrapText="1"/>
      <protection/>
    </xf>
    <xf numFmtId="0" fontId="27" fillId="0" borderId="8" xfId="27" applyFont="1" applyBorder="1" applyAlignment="1" applyProtection="1">
      <alignment horizontal="center" vertical="center" wrapText="1"/>
      <protection/>
    </xf>
    <xf numFmtId="0" fontId="39" fillId="2" borderId="27" xfId="27" applyFont="1" applyFill="1" applyBorder="1" applyAlignment="1" applyProtection="1">
      <alignment horizontal="centerContinuous" vertical="center" wrapText="1"/>
      <protection/>
    </xf>
    <xf numFmtId="0" fontId="27" fillId="0" borderId="14" xfId="27" applyFont="1" applyFill="1" applyBorder="1" applyAlignment="1">
      <alignment horizontal="center" vertical="center" wrapText="1"/>
      <protection/>
    </xf>
    <xf numFmtId="0" fontId="27" fillId="0" borderId="14" xfId="27" applyFont="1" applyBorder="1" applyAlignment="1">
      <alignment horizontal="center" vertical="center" wrapText="1"/>
      <protection/>
    </xf>
    <xf numFmtId="0" fontId="27" fillId="6" borderId="14" xfId="27" applyFont="1" applyFill="1" applyBorder="1" applyAlignment="1">
      <alignment horizontal="center" vertical="center" wrapText="1"/>
      <protection/>
    </xf>
    <xf numFmtId="0" fontId="7" fillId="0" borderId="17" xfId="27" applyFont="1" applyBorder="1">
      <alignment/>
      <protection/>
    </xf>
    <xf numFmtId="0" fontId="7" fillId="0" borderId="17" xfId="27" applyFont="1" applyBorder="1" applyAlignment="1">
      <alignment horizontal="center"/>
      <protection/>
    </xf>
    <xf numFmtId="0" fontId="64" fillId="4" borderId="17" xfId="27" applyFont="1" applyFill="1" applyBorder="1">
      <alignment/>
      <protection/>
    </xf>
    <xf numFmtId="0" fontId="7" fillId="0" borderId="17" xfId="27" applyFont="1" applyFill="1" applyBorder="1">
      <alignment/>
      <protection/>
    </xf>
    <xf numFmtId="0" fontId="7" fillId="8" borderId="17" xfId="27" applyFont="1" applyFill="1" applyBorder="1">
      <alignment/>
      <protection/>
    </xf>
    <xf numFmtId="0" fontId="7" fillId="2" borderId="28" xfId="27" applyFont="1" applyFill="1" applyBorder="1">
      <alignment/>
      <protection/>
    </xf>
    <xf numFmtId="0" fontId="7" fillId="2" borderId="29" xfId="27" applyFont="1" applyFill="1" applyBorder="1">
      <alignment/>
      <protection/>
    </xf>
    <xf numFmtId="0" fontId="7" fillId="2" borderId="30" xfId="27" applyFont="1" applyFill="1" applyBorder="1">
      <alignment/>
      <protection/>
    </xf>
    <xf numFmtId="7" fontId="10" fillId="0" borderId="17" xfId="27" applyNumberFormat="1" applyFont="1" applyFill="1" applyBorder="1" applyAlignment="1">
      <alignment/>
      <protection/>
    </xf>
    <xf numFmtId="7" fontId="10" fillId="0" borderId="0" xfId="27" applyNumberFormat="1" applyFont="1" applyBorder="1" applyAlignment="1">
      <alignment/>
      <protection/>
    </xf>
    <xf numFmtId="7" fontId="10" fillId="0" borderId="0" xfId="27" applyNumberFormat="1" applyFont="1" applyFill="1" applyBorder="1" applyAlignment="1">
      <alignment/>
      <protection/>
    </xf>
    <xf numFmtId="7" fontId="10" fillId="0" borderId="21" xfId="27" applyNumberFormat="1" applyFont="1" applyFill="1" applyBorder="1" applyAlignment="1">
      <alignment/>
      <protection/>
    </xf>
    <xf numFmtId="7" fontId="10" fillId="6" borderId="0" xfId="27" applyNumberFormat="1" applyFont="1" applyFill="1" applyBorder="1" applyAlignment="1">
      <alignment/>
      <protection/>
    </xf>
    <xf numFmtId="0" fontId="7" fillId="9" borderId="31" xfId="27" applyFont="1" applyFill="1" applyBorder="1">
      <alignment/>
      <protection/>
    </xf>
    <xf numFmtId="0" fontId="7" fillId="0" borderId="32" xfId="27" applyFont="1" applyBorder="1">
      <alignment/>
      <protection/>
    </xf>
    <xf numFmtId="0" fontId="7" fillId="0" borderId="33" xfId="27" applyFont="1" applyBorder="1">
      <alignment/>
      <protection/>
    </xf>
    <xf numFmtId="0" fontId="7" fillId="10" borderId="32" xfId="27" applyFont="1" applyFill="1" applyBorder="1" applyProtection="1">
      <alignment/>
      <protection locked="0"/>
    </xf>
    <xf numFmtId="0" fontId="7" fillId="10" borderId="32" xfId="27" applyFont="1" applyFill="1" applyBorder="1" applyAlignment="1" applyProtection="1">
      <alignment horizontal="center"/>
      <protection locked="0"/>
    </xf>
    <xf numFmtId="0" fontId="64" fillId="4" borderId="32" xfId="27" applyFont="1" applyFill="1" applyBorder="1" applyProtection="1">
      <alignment/>
      <protection locked="0"/>
    </xf>
    <xf numFmtId="22" fontId="7" fillId="10" borderId="33" xfId="27" applyNumberFormat="1" applyFont="1" applyFill="1" applyBorder="1" applyAlignment="1" applyProtection="1">
      <alignment horizontal="center"/>
      <protection locked="0"/>
    </xf>
    <xf numFmtId="0" fontId="7" fillId="10" borderId="0" xfId="27" applyFont="1" applyFill="1" applyBorder="1" applyProtection="1">
      <alignment/>
      <protection locked="0"/>
    </xf>
    <xf numFmtId="0" fontId="7" fillId="0" borderId="32" xfId="27" applyFont="1" applyFill="1" applyBorder="1">
      <alignment/>
      <protection/>
    </xf>
    <xf numFmtId="0" fontId="7" fillId="10" borderId="33" xfId="27" applyFont="1" applyFill="1" applyBorder="1" applyProtection="1">
      <alignment/>
      <protection locked="0"/>
    </xf>
    <xf numFmtId="176" fontId="9" fillId="2" borderId="34" xfId="27" applyNumberFormat="1" applyFont="1" applyFill="1" applyBorder="1" applyAlignment="1" applyProtection="1" quotePrefix="1">
      <alignment horizontal="center"/>
      <protection/>
    </xf>
    <xf numFmtId="4" fontId="9" fillId="2" borderId="34" xfId="27" applyNumberFormat="1" applyFont="1" applyFill="1" applyBorder="1" applyAlignment="1" applyProtection="1">
      <alignment horizontal="center"/>
      <protection/>
    </xf>
    <xf numFmtId="0" fontId="10" fillId="0" borderId="33" xfId="27" applyFont="1" applyFill="1" applyBorder="1">
      <alignment/>
      <protection/>
    </xf>
    <xf numFmtId="0" fontId="10" fillId="10" borderId="33" xfId="27" applyFont="1" applyFill="1" applyBorder="1" applyProtection="1">
      <alignment/>
      <protection locked="0"/>
    </xf>
    <xf numFmtId="0" fontId="10" fillId="0" borderId="35" xfId="27" applyFont="1" applyFill="1" applyBorder="1">
      <alignment/>
      <protection/>
    </xf>
    <xf numFmtId="0" fontId="10" fillId="6" borderId="33" xfId="27" applyFont="1" applyFill="1" applyBorder="1">
      <alignment/>
      <protection/>
    </xf>
    <xf numFmtId="0" fontId="10" fillId="0" borderId="33" xfId="27" applyFont="1" applyBorder="1">
      <alignment/>
      <protection/>
    </xf>
    <xf numFmtId="0" fontId="7" fillId="0" borderId="7" xfId="27" applyFont="1" applyFill="1" applyBorder="1">
      <alignment/>
      <protection/>
    </xf>
    <xf numFmtId="0" fontId="7" fillId="0" borderId="36" xfId="27" applyFont="1" applyFill="1" applyBorder="1" applyAlignment="1">
      <alignment horizontal="center"/>
      <protection/>
    </xf>
    <xf numFmtId="0" fontId="7" fillId="0" borderId="37" xfId="27" applyFont="1" applyFill="1" applyBorder="1" applyAlignment="1">
      <alignment horizontal="center"/>
      <protection/>
    </xf>
    <xf numFmtId="4" fontId="7" fillId="0" borderId="36" xfId="27" applyNumberFormat="1" applyFont="1" applyFill="1" applyBorder="1" applyAlignment="1" applyProtection="1" quotePrefix="1">
      <alignment horizontal="center"/>
      <protection/>
    </xf>
    <xf numFmtId="172" fontId="7" fillId="0" borderId="36" xfId="27" applyNumberFormat="1" applyFont="1" applyFill="1" applyBorder="1" applyAlignment="1" applyProtection="1" quotePrefix="1">
      <alignment horizontal="center"/>
      <protection/>
    </xf>
    <xf numFmtId="176" fontId="7" fillId="10" borderId="37" xfId="27" applyNumberFormat="1" applyFont="1" applyFill="1" applyBorder="1" applyAlignment="1" applyProtection="1">
      <alignment horizontal="center"/>
      <protection locked="0"/>
    </xf>
    <xf numFmtId="181" fontId="7" fillId="0" borderId="36" xfId="27" applyNumberFormat="1" applyFont="1" applyFill="1" applyBorder="1" applyAlignment="1" applyProtection="1" quotePrefix="1">
      <alignment horizontal="center"/>
      <protection/>
    </xf>
    <xf numFmtId="176" fontId="7" fillId="0" borderId="36" xfId="27" applyNumberFormat="1" applyFont="1" applyFill="1" applyBorder="1" applyAlignment="1" applyProtection="1">
      <alignment horizontal="center"/>
      <protection/>
    </xf>
    <xf numFmtId="4" fontId="10" fillId="0" borderId="37" xfId="27" applyNumberFormat="1" applyFont="1" applyFill="1" applyBorder="1" applyAlignment="1">
      <alignment horizontal="right"/>
      <protection/>
    </xf>
    <xf numFmtId="4" fontId="9" fillId="0" borderId="36" xfId="27" applyNumberFormat="1" applyFont="1" applyFill="1" applyBorder="1" applyAlignment="1" applyProtection="1">
      <alignment horizontal="center"/>
      <protection/>
    </xf>
    <xf numFmtId="187" fontId="10" fillId="10" borderId="37" xfId="27" applyNumberFormat="1" applyFont="1" applyFill="1" applyBorder="1" applyAlignment="1" applyProtection="1">
      <alignment horizontal="right"/>
      <protection locked="0"/>
    </xf>
    <xf numFmtId="3" fontId="10" fillId="0" borderId="37" xfId="27" applyNumberFormat="1" applyFont="1" applyFill="1" applyBorder="1" applyAlignment="1">
      <alignment horizontal="right"/>
      <protection/>
    </xf>
    <xf numFmtId="4" fontId="10" fillId="10" borderId="36" xfId="27" applyNumberFormat="1" applyFont="1" applyFill="1" applyBorder="1" applyAlignment="1" applyProtection="1">
      <alignment horizontal="right"/>
      <protection locked="0"/>
    </xf>
    <xf numFmtId="178" fontId="10" fillId="0" borderId="36" xfId="27" applyNumberFormat="1" applyFont="1" applyFill="1" applyBorder="1" applyAlignment="1">
      <alignment horizontal="center"/>
      <protection/>
    </xf>
    <xf numFmtId="4" fontId="10" fillId="0" borderId="38" xfId="27" applyNumberFormat="1" applyFont="1" applyFill="1" applyBorder="1" applyAlignment="1">
      <alignment horizontal="right"/>
      <protection/>
    </xf>
    <xf numFmtId="4" fontId="65" fillId="6" borderId="37" xfId="27" applyNumberFormat="1" applyFont="1" applyFill="1" applyBorder="1" applyAlignment="1">
      <alignment horizontal="right"/>
      <protection/>
    </xf>
    <xf numFmtId="188" fontId="65" fillId="6" borderId="37" xfId="27" applyNumberFormat="1" applyFont="1" applyFill="1" applyBorder="1" applyAlignment="1">
      <alignment horizontal="right"/>
      <protection/>
    </xf>
    <xf numFmtId="4" fontId="10" fillId="0" borderId="36" xfId="27" applyNumberFormat="1" applyFont="1" applyFill="1" applyBorder="1" applyAlignment="1">
      <alignment horizontal="right"/>
      <protection/>
    </xf>
    <xf numFmtId="2" fontId="7" fillId="0" borderId="1" xfId="27" applyNumberFormat="1" applyFont="1" applyFill="1" applyBorder="1" applyAlignment="1">
      <alignment horizontal="center"/>
      <protection/>
    </xf>
    <xf numFmtId="0" fontId="7" fillId="0" borderId="39" xfId="27" applyFont="1" applyFill="1" applyBorder="1" applyAlignment="1">
      <alignment horizontal="center"/>
      <protection/>
    </xf>
    <xf numFmtId="0" fontId="7" fillId="0" borderId="40" xfId="27" applyFont="1" applyFill="1" applyBorder="1" applyAlignment="1">
      <alignment horizontal="center"/>
      <protection/>
    </xf>
    <xf numFmtId="4" fontId="7" fillId="0" borderId="39" xfId="27" applyNumberFormat="1" applyFont="1" applyFill="1" applyBorder="1" applyAlignment="1" applyProtection="1" quotePrefix="1">
      <alignment horizontal="center"/>
      <protection/>
    </xf>
    <xf numFmtId="172" fontId="7" fillId="0" borderId="39" xfId="27" applyNumberFormat="1" applyFont="1" applyFill="1" applyBorder="1" applyAlignment="1" applyProtection="1" quotePrefix="1">
      <alignment horizontal="center"/>
      <protection/>
    </xf>
    <xf numFmtId="176" fontId="7" fillId="10" borderId="40" xfId="27" applyNumberFormat="1" applyFont="1" applyFill="1" applyBorder="1" applyAlignment="1" applyProtection="1">
      <alignment horizontal="center"/>
      <protection locked="0"/>
    </xf>
    <xf numFmtId="181" fontId="7" fillId="0" borderId="39" xfId="27" applyNumberFormat="1" applyFont="1" applyFill="1" applyBorder="1" applyAlignment="1" applyProtection="1" quotePrefix="1">
      <alignment horizontal="center"/>
      <protection/>
    </xf>
    <xf numFmtId="176" fontId="7" fillId="0" borderId="39" xfId="27" applyNumberFormat="1" applyFont="1" applyFill="1" applyBorder="1" applyAlignment="1" applyProtection="1">
      <alignment horizontal="center"/>
      <protection/>
    </xf>
    <xf numFmtId="176" fontId="9" fillId="2" borderId="39" xfId="27" applyNumberFormat="1" applyFont="1" applyFill="1" applyBorder="1" applyAlignment="1" applyProtection="1" quotePrefix="1">
      <alignment horizontal="center"/>
      <protection/>
    </xf>
    <xf numFmtId="4" fontId="9" fillId="2" borderId="39" xfId="27" applyNumberFormat="1" applyFont="1" applyFill="1" applyBorder="1" applyAlignment="1" applyProtection="1">
      <alignment horizontal="center"/>
      <protection/>
    </xf>
    <xf numFmtId="4" fontId="10" fillId="0" borderId="40" xfId="27" applyNumberFormat="1" applyFont="1" applyFill="1" applyBorder="1" applyAlignment="1">
      <alignment horizontal="right"/>
      <protection/>
    </xf>
    <xf numFmtId="4" fontId="9" fillId="0" borderId="39" xfId="27" applyNumberFormat="1" applyFont="1" applyFill="1" applyBorder="1" applyAlignment="1" applyProtection="1">
      <alignment horizontal="center"/>
      <protection/>
    </xf>
    <xf numFmtId="178" fontId="10" fillId="0" borderId="4" xfId="27" applyNumberFormat="1" applyFont="1" applyFill="1" applyBorder="1" applyAlignment="1">
      <alignment horizontal="center"/>
      <protection/>
    </xf>
    <xf numFmtId="176" fontId="7" fillId="10" borderId="39" xfId="27" applyNumberFormat="1" applyFont="1" applyFill="1" applyBorder="1" applyAlignment="1" applyProtection="1">
      <alignment horizontal="center"/>
      <protection locked="0"/>
    </xf>
    <xf numFmtId="4" fontId="10" fillId="0" borderId="39" xfId="27" applyNumberFormat="1" applyFont="1" applyFill="1" applyBorder="1" applyAlignment="1">
      <alignment horizontal="right"/>
      <protection/>
    </xf>
    <xf numFmtId="187" fontId="10" fillId="10" borderId="39" xfId="27" applyNumberFormat="1" applyFont="1" applyFill="1" applyBorder="1" applyAlignment="1" applyProtection="1">
      <alignment horizontal="right"/>
      <protection locked="0"/>
    </xf>
    <xf numFmtId="3" fontId="10" fillId="0" borderId="39" xfId="27" applyNumberFormat="1" applyFont="1" applyFill="1" applyBorder="1" applyAlignment="1">
      <alignment horizontal="right"/>
      <protection/>
    </xf>
    <xf numFmtId="4" fontId="10" fillId="10" borderId="39" xfId="27" applyNumberFormat="1" applyFont="1" applyFill="1" applyBorder="1" applyAlignment="1" applyProtection="1">
      <alignment horizontal="right"/>
      <protection locked="0"/>
    </xf>
    <xf numFmtId="4" fontId="10" fillId="6" borderId="39" xfId="27" applyNumberFormat="1" applyFont="1" applyFill="1" applyBorder="1" applyAlignment="1">
      <alignment horizontal="right"/>
      <protection/>
    </xf>
    <xf numFmtId="188" fontId="10" fillId="6" borderId="39" xfId="27" applyNumberFormat="1" applyFont="1" applyFill="1" applyBorder="1" applyAlignment="1">
      <alignment horizontal="right"/>
      <protection/>
    </xf>
    <xf numFmtId="0" fontId="7" fillId="0" borderId="34" xfId="27" applyFont="1" applyFill="1" applyBorder="1" applyAlignment="1">
      <alignment horizontal="center"/>
      <protection/>
    </xf>
    <xf numFmtId="0" fontId="7" fillId="0" borderId="41" xfId="27" applyFont="1" applyFill="1" applyBorder="1" applyAlignment="1">
      <alignment horizontal="center"/>
      <protection/>
    </xf>
    <xf numFmtId="4" fontId="7" fillId="0" borderId="34" xfId="27" applyNumberFormat="1" applyFont="1" applyFill="1" applyBorder="1" applyAlignment="1" applyProtection="1" quotePrefix="1">
      <alignment horizontal="center"/>
      <protection/>
    </xf>
    <xf numFmtId="172" fontId="7" fillId="0" borderId="34" xfId="27" applyNumberFormat="1" applyFont="1" applyFill="1" applyBorder="1" applyAlignment="1" applyProtection="1" quotePrefix="1">
      <alignment horizontal="center"/>
      <protection/>
    </xf>
    <xf numFmtId="176" fontId="7" fillId="10" borderId="34" xfId="27" applyNumberFormat="1" applyFont="1" applyFill="1" applyBorder="1" applyAlignment="1" applyProtection="1">
      <alignment horizontal="center"/>
      <protection locked="0"/>
    </xf>
    <xf numFmtId="181" fontId="7" fillId="0" borderId="34" xfId="27" applyNumberFormat="1" applyFont="1" applyFill="1" applyBorder="1" applyAlignment="1" applyProtection="1" quotePrefix="1">
      <alignment horizontal="center"/>
      <protection/>
    </xf>
    <xf numFmtId="176" fontId="7" fillId="0" borderId="34" xfId="27" applyNumberFormat="1" applyFont="1" applyFill="1" applyBorder="1" applyAlignment="1" applyProtection="1">
      <alignment horizontal="center"/>
      <protection/>
    </xf>
    <xf numFmtId="4" fontId="10" fillId="0" borderId="34" xfId="27" applyNumberFormat="1" applyFont="1" applyFill="1" applyBorder="1" applyAlignment="1">
      <alignment horizontal="right"/>
      <protection/>
    </xf>
    <xf numFmtId="4" fontId="9" fillId="0" borderId="34" xfId="27" applyNumberFormat="1" applyFont="1" applyFill="1" applyBorder="1" applyAlignment="1" applyProtection="1">
      <alignment horizontal="center"/>
      <protection/>
    </xf>
    <xf numFmtId="187" fontId="10" fillId="10" borderId="34" xfId="27" applyNumberFormat="1" applyFont="1" applyFill="1" applyBorder="1" applyAlignment="1" applyProtection="1">
      <alignment horizontal="right"/>
      <protection locked="0"/>
    </xf>
    <xf numFmtId="3" fontId="10" fillId="0" borderId="34" xfId="27" applyNumberFormat="1" applyFont="1" applyFill="1" applyBorder="1" applyAlignment="1">
      <alignment horizontal="right"/>
      <protection/>
    </xf>
    <xf numFmtId="4" fontId="10" fillId="10" borderId="34" xfId="27" applyNumberFormat="1" applyFont="1" applyFill="1" applyBorder="1" applyAlignment="1" applyProtection="1">
      <alignment horizontal="right"/>
      <protection locked="0"/>
    </xf>
    <xf numFmtId="4" fontId="10" fillId="6" borderId="34" xfId="27" applyNumberFormat="1" applyFont="1" applyFill="1" applyBorder="1" applyAlignment="1">
      <alignment horizontal="right"/>
      <protection/>
    </xf>
    <xf numFmtId="188" fontId="10" fillId="6" borderId="34" xfId="27" applyNumberFormat="1" applyFont="1" applyFill="1" applyBorder="1" applyAlignment="1">
      <alignment horizontal="right"/>
      <protection/>
    </xf>
    <xf numFmtId="176" fontId="9" fillId="2" borderId="36" xfId="27" applyNumberFormat="1" applyFont="1" applyFill="1" applyBorder="1" applyAlignment="1" applyProtection="1" quotePrefix="1">
      <alignment horizontal="center"/>
      <protection/>
    </xf>
    <xf numFmtId="4" fontId="9" fillId="2" borderId="36" xfId="27" applyNumberFormat="1" applyFont="1" applyFill="1" applyBorder="1" applyAlignment="1" applyProtection="1">
      <alignment horizontal="center"/>
      <protection/>
    </xf>
    <xf numFmtId="0" fontId="7" fillId="9" borderId="3" xfId="27" applyFont="1" applyFill="1" applyBorder="1">
      <alignment/>
      <protection/>
    </xf>
    <xf numFmtId="0" fontId="7" fillId="0" borderId="3" xfId="27" applyFont="1" applyBorder="1" applyAlignment="1">
      <alignment horizontal="center"/>
      <protection/>
    </xf>
    <xf numFmtId="0" fontId="7" fillId="0" borderId="42" xfId="27" applyFont="1" applyBorder="1" applyAlignment="1">
      <alignment horizontal="center"/>
      <protection/>
    </xf>
    <xf numFmtId="0" fontId="7" fillId="10" borderId="3" xfId="27" applyFont="1" applyFill="1" applyBorder="1" applyAlignment="1" applyProtection="1">
      <alignment horizontal="center"/>
      <protection locked="0"/>
    </xf>
    <xf numFmtId="172" fontId="9" fillId="10" borderId="3" xfId="27" applyNumberFormat="1" applyFont="1" applyFill="1" applyBorder="1" applyAlignment="1" applyProtection="1">
      <alignment horizontal="center"/>
      <protection locked="0"/>
    </xf>
    <xf numFmtId="182" fontId="64" fillId="4" borderId="3" xfId="27" applyNumberFormat="1" applyFont="1" applyFill="1" applyBorder="1" applyAlignment="1" applyProtection="1">
      <alignment horizontal="center"/>
      <protection locked="0"/>
    </xf>
    <xf numFmtId="176" fontId="7" fillId="10" borderId="3" xfId="27" applyNumberFormat="1" applyFont="1" applyFill="1" applyBorder="1" applyAlignment="1" applyProtection="1">
      <alignment horizontal="center"/>
      <protection locked="0"/>
    </xf>
    <xf numFmtId="176" fontId="7" fillId="0" borderId="3" xfId="27" applyNumberFormat="1" applyFont="1" applyFill="1" applyBorder="1" applyAlignment="1" applyProtection="1">
      <alignment horizontal="center"/>
      <protection/>
    </xf>
    <xf numFmtId="181" fontId="7" fillId="0" borderId="3" xfId="27" applyNumberFormat="1" applyFont="1" applyFill="1" applyBorder="1" applyAlignment="1" applyProtection="1" quotePrefix="1">
      <alignment horizontal="center"/>
      <protection/>
    </xf>
    <xf numFmtId="176" fontId="38" fillId="2" borderId="43" xfId="27" applyNumberFormat="1" applyFont="1" applyFill="1" applyBorder="1" applyAlignment="1" applyProtection="1" quotePrefix="1">
      <alignment horizontal="center"/>
      <protection/>
    </xf>
    <xf numFmtId="4" fontId="38" fillId="2" borderId="43" xfId="27" applyNumberFormat="1" applyFont="1" applyFill="1" applyBorder="1" applyAlignment="1" applyProtection="1">
      <alignment horizontal="center"/>
      <protection/>
    </xf>
    <xf numFmtId="2" fontId="10" fillId="0" borderId="3" xfId="27" applyNumberFormat="1" applyFont="1" applyFill="1" applyBorder="1" applyAlignment="1">
      <alignment horizontal="right"/>
      <protection/>
    </xf>
    <xf numFmtId="4" fontId="9" fillId="0" borderId="3" xfId="27" applyNumberFormat="1" applyFont="1" applyBorder="1" applyAlignment="1" applyProtection="1">
      <alignment horizontal="center"/>
      <protection/>
    </xf>
    <xf numFmtId="0" fontId="10" fillId="10" borderId="3" xfId="27" applyFont="1" applyFill="1" applyBorder="1" applyProtection="1">
      <alignment/>
      <protection locked="0"/>
    </xf>
    <xf numFmtId="0" fontId="10" fillId="0" borderId="3" xfId="27" applyFont="1" applyFill="1" applyBorder="1">
      <alignment/>
      <protection/>
    </xf>
    <xf numFmtId="178" fontId="10" fillId="0" borderId="3" xfId="27" applyNumberFormat="1" applyFont="1" applyFill="1" applyBorder="1" applyAlignment="1">
      <alignment horizontal="center"/>
      <protection/>
    </xf>
    <xf numFmtId="4" fontId="10" fillId="6" borderId="3" xfId="27" applyNumberFormat="1" applyFont="1" applyFill="1" applyBorder="1" applyAlignment="1">
      <alignment horizontal="right"/>
      <protection/>
    </xf>
    <xf numFmtId="0" fontId="10" fillId="6" borderId="3" xfId="27" applyFont="1" applyFill="1" applyBorder="1">
      <alignment/>
      <protection/>
    </xf>
    <xf numFmtId="176" fontId="38" fillId="2" borderId="3" xfId="27" applyNumberFormat="1" applyFont="1" applyFill="1" applyBorder="1" applyAlignment="1" applyProtection="1" quotePrefix="1">
      <alignment horizontal="center"/>
      <protection/>
    </xf>
    <xf numFmtId="4" fontId="38" fillId="2" borderId="3" xfId="27" applyNumberFormat="1" applyFont="1" applyFill="1" applyBorder="1" applyAlignment="1" applyProtection="1">
      <alignment horizontal="center"/>
      <protection/>
    </xf>
    <xf numFmtId="0" fontId="10" fillId="0" borderId="32" xfId="27" applyFont="1" applyBorder="1">
      <alignment/>
      <protection/>
    </xf>
    <xf numFmtId="0" fontId="32" fillId="0" borderId="16" xfId="27" applyFont="1" applyBorder="1" applyAlignment="1">
      <alignment horizontal="center"/>
      <protection/>
    </xf>
    <xf numFmtId="0" fontId="34" fillId="0" borderId="0" xfId="27" applyFont="1" applyBorder="1" applyAlignment="1" applyProtection="1">
      <alignment horizontal="left"/>
      <protection/>
    </xf>
    <xf numFmtId="172" fontId="9" fillId="0" borderId="0" xfId="27" applyNumberFormat="1" applyFont="1" applyBorder="1" applyAlignment="1" applyProtection="1">
      <alignment horizontal="center"/>
      <protection/>
    </xf>
    <xf numFmtId="176" fontId="7" fillId="0" borderId="0" xfId="27" applyNumberFormat="1" applyFont="1" applyBorder="1" applyAlignment="1" applyProtection="1">
      <alignment horizontal="center"/>
      <protection/>
    </xf>
    <xf numFmtId="176" fontId="7" fillId="0" borderId="0" xfId="27" applyNumberFormat="1" applyFont="1" applyFill="1" applyBorder="1" applyAlignment="1" applyProtection="1">
      <alignment horizontal="center"/>
      <protection/>
    </xf>
    <xf numFmtId="181" fontId="7" fillId="0" borderId="0" xfId="27" applyNumberFormat="1" applyFont="1" applyBorder="1" applyAlignment="1" applyProtection="1" quotePrefix="1">
      <alignment horizontal="center"/>
      <protection/>
    </xf>
    <xf numFmtId="2" fontId="38" fillId="2" borderId="3" xfId="27" applyNumberFormat="1" applyFont="1" applyFill="1" applyBorder="1" applyAlignment="1" applyProtection="1">
      <alignment horizontal="center"/>
      <protection/>
    </xf>
    <xf numFmtId="7" fontId="13" fillId="0" borderId="0" xfId="27" applyNumberFormat="1" applyFont="1" applyFill="1" applyBorder="1" applyAlignment="1" applyProtection="1">
      <alignment horizontal="right"/>
      <protection/>
    </xf>
    <xf numFmtId="2" fontId="66" fillId="0" borderId="0" xfId="27" applyNumberFormat="1" applyFont="1" applyBorder="1" applyAlignment="1" applyProtection="1">
      <alignment horizontal="center"/>
      <protection/>
    </xf>
    <xf numFmtId="7" fontId="13" fillId="0" borderId="44" xfId="27" applyNumberFormat="1" applyFont="1" applyFill="1" applyBorder="1" applyAlignment="1" applyProtection="1">
      <alignment horizontal="right"/>
      <protection/>
    </xf>
    <xf numFmtId="0" fontId="0" fillId="0" borderId="0" xfId="27">
      <alignment/>
      <protection/>
    </xf>
    <xf numFmtId="0" fontId="0" fillId="0" borderId="7" xfId="27" applyBorder="1">
      <alignment/>
      <protection/>
    </xf>
    <xf numFmtId="0" fontId="0" fillId="0" borderId="0" xfId="27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Fill="1">
      <alignment/>
      <protection/>
    </xf>
    <xf numFmtId="0" fontId="0" fillId="0" borderId="0" xfId="27" applyFill="1">
      <alignment/>
      <protection/>
    </xf>
    <xf numFmtId="0" fontId="0" fillId="0" borderId="1" xfId="27" applyBorder="1">
      <alignment/>
      <protection/>
    </xf>
    <xf numFmtId="0" fontId="7" fillId="0" borderId="10" xfId="27" applyFont="1" applyBorder="1">
      <alignment/>
      <protection/>
    </xf>
    <xf numFmtId="0" fontId="7" fillId="0" borderId="11" xfId="27" applyFont="1" applyBorder="1">
      <alignment/>
      <protection/>
    </xf>
    <xf numFmtId="0" fontId="7" fillId="0" borderId="11" xfId="27" applyFont="1" applyFill="1" applyBorder="1">
      <alignment/>
      <protection/>
    </xf>
    <xf numFmtId="0" fontId="7" fillId="0" borderId="12" xfId="27" applyFont="1" applyBorder="1">
      <alignment/>
      <protection/>
    </xf>
    <xf numFmtId="0" fontId="67" fillId="0" borderId="0" xfId="27" applyFont="1">
      <alignment/>
      <protection/>
    </xf>
    <xf numFmtId="0" fontId="67" fillId="0" borderId="0" xfId="27" applyFont="1" applyFill="1">
      <alignment/>
      <protection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76" fontId="7" fillId="0" borderId="3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76" fontId="7" fillId="0" borderId="4" xfId="0" applyNumberFormat="1" applyFont="1" applyFill="1" applyBorder="1" applyAlignment="1" applyProtection="1">
      <alignment horizontal="center"/>
      <protection locked="0"/>
    </xf>
    <xf numFmtId="176" fontId="46" fillId="3" borderId="2" xfId="0" applyNumberFormat="1" applyFont="1" applyFill="1" applyBorder="1" applyAlignment="1" applyProtection="1" quotePrefix="1">
      <alignment horizontal="center"/>
      <protection locked="0"/>
    </xf>
    <xf numFmtId="176" fontId="7" fillId="0" borderId="42" xfId="0" applyNumberFormat="1" applyFont="1" applyFill="1" applyBorder="1" applyAlignment="1" applyProtection="1">
      <alignment horizontal="center"/>
      <protection locked="0"/>
    </xf>
    <xf numFmtId="176" fontId="46" fillId="3" borderId="3" xfId="0" applyNumberFormat="1" applyFont="1" applyFill="1" applyBorder="1" applyAlignment="1" applyProtection="1" quotePrefix="1">
      <alignment horizontal="center"/>
      <protection locked="0"/>
    </xf>
    <xf numFmtId="176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9" fontId="25" fillId="0" borderId="0" xfId="0" applyNumberFormat="1" applyFont="1" applyBorder="1" applyAlignment="1">
      <alignment horizontal="right"/>
    </xf>
    <xf numFmtId="190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 horizontal="right"/>
    </xf>
    <xf numFmtId="189" fontId="25" fillId="0" borderId="0" xfId="0" applyNumberFormat="1" applyFont="1" applyBorder="1" applyAlignment="1">
      <alignment horizontal="left"/>
    </xf>
    <xf numFmtId="190" fontId="23" fillId="0" borderId="0" xfId="0" applyNumberFormat="1" applyFont="1" applyBorder="1" applyAlignment="1">
      <alignment/>
    </xf>
    <xf numFmtId="0" fontId="68" fillId="0" borderId="0" xfId="0" applyNumberFormat="1" applyFont="1" applyBorder="1" applyAlignment="1">
      <alignment horizontal="left"/>
    </xf>
    <xf numFmtId="0" fontId="56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72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9" fillId="11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72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45" xfId="0" applyNumberFormat="1" applyFont="1" applyBorder="1" applyAlignment="1" applyProtection="1">
      <alignment horizontal="center"/>
      <protection locked="0"/>
    </xf>
    <xf numFmtId="4" fontId="7" fillId="9" borderId="2" xfId="0" applyNumberFormat="1" applyFont="1" applyFill="1" applyBorder="1" applyAlignment="1" applyProtection="1" quotePrefix="1">
      <alignment horizontal="center"/>
      <protection/>
    </xf>
    <xf numFmtId="172" fontId="7" fillId="9" borderId="2" xfId="0" applyNumberFormat="1" applyFont="1" applyFill="1" applyBorder="1" applyAlignment="1" applyProtection="1" quotePrefix="1">
      <alignment horizontal="center"/>
      <protection/>
    </xf>
    <xf numFmtId="181" fontId="7" fillId="0" borderId="2" xfId="0" applyNumberFormat="1" applyFont="1" applyBorder="1" applyAlignment="1" applyProtection="1" quotePrefix="1">
      <alignment horizontal="center"/>
      <protection locked="0"/>
    </xf>
    <xf numFmtId="176" fontId="71" fillId="11" borderId="46" xfId="0" applyNumberFormat="1" applyFont="1" applyFill="1" applyBorder="1" applyAlignment="1" applyProtection="1" quotePrefix="1">
      <alignment horizontal="center"/>
      <protection/>
    </xf>
    <xf numFmtId="181" fontId="7" fillId="0" borderId="3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7" borderId="15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7" borderId="8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82" fontId="0" fillId="0" borderId="0" xfId="0" applyNumberFormat="1" applyFont="1" applyBorder="1" applyAlignment="1">
      <alignment horizontal="centerContinuous"/>
    </xf>
    <xf numFmtId="0" fontId="7" fillId="7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27" fillId="0" borderId="14" xfId="25" applyFont="1" applyBorder="1" applyAlignment="1">
      <alignment horizontal="center" vertical="center"/>
      <protection/>
    </xf>
    <xf numFmtId="176" fontId="27" fillId="0" borderId="14" xfId="0" applyNumberFormat="1" applyFont="1" applyBorder="1" applyAlignment="1" applyProtection="1">
      <alignment horizontal="center" vertical="center"/>
      <protection/>
    </xf>
    <xf numFmtId="176" fontId="36" fillId="2" borderId="14" xfId="0" applyNumberFormat="1" applyFont="1" applyFill="1" applyBorder="1" applyAlignment="1" applyProtection="1">
      <alignment horizontal="center" vertical="center"/>
      <protection/>
    </xf>
    <xf numFmtId="0" fontId="39" fillId="2" borderId="8" xfId="0" applyFont="1" applyFill="1" applyBorder="1" applyAlignment="1" applyProtection="1">
      <alignment horizontal="centerContinuous" vertical="center" wrapText="1"/>
      <protection/>
    </xf>
    <xf numFmtId="0" fontId="40" fillId="2" borderId="15" xfId="0" applyFont="1" applyFill="1" applyBorder="1" applyAlignment="1">
      <alignment horizontal="centerContinuous"/>
    </xf>
    <xf numFmtId="0" fontId="39" fillId="2" borderId="9" xfId="0" applyFont="1" applyFill="1" applyBorder="1" applyAlignment="1">
      <alignment horizontal="centerContinuous" vertical="center"/>
    </xf>
    <xf numFmtId="0" fontId="75" fillId="12" borderId="14" xfId="0" applyFont="1" applyFill="1" applyBorder="1" applyAlignment="1">
      <alignment horizontal="center" vertical="center" wrapText="1"/>
    </xf>
    <xf numFmtId="0" fontId="76" fillId="1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7" fillId="12" borderId="2" xfId="0" applyNumberFormat="1" applyFont="1" applyFill="1" applyBorder="1" applyAlignment="1" applyProtection="1">
      <alignment horizontal="center"/>
      <protection/>
    </xf>
    <xf numFmtId="4" fontId="78" fillId="13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7" fillId="2" borderId="2" xfId="0" applyFont="1" applyFill="1" applyBorder="1" applyAlignment="1" applyProtection="1">
      <alignment horizontal="center"/>
      <protection/>
    </xf>
    <xf numFmtId="22" fontId="7" fillId="0" borderId="47" xfId="0" applyNumberFormat="1" applyFont="1" applyBorder="1" applyAlignment="1" applyProtection="1">
      <alignment horizontal="center"/>
      <protection locked="0"/>
    </xf>
    <xf numFmtId="176" fontId="7" fillId="0" borderId="4" xfId="0" applyNumberFormat="1" applyFont="1" applyBorder="1" applyAlignment="1" applyProtection="1">
      <alignment horizontal="center"/>
      <protection locked="0"/>
    </xf>
    <xf numFmtId="181" fontId="7" fillId="0" borderId="4" xfId="0" applyNumberFormat="1" applyFont="1" applyBorder="1" applyAlignment="1" applyProtection="1" quotePrefix="1">
      <alignment horizontal="center"/>
      <protection locked="0"/>
    </xf>
    <xf numFmtId="176" fontId="7" fillId="0" borderId="2" xfId="0" applyNumberFormat="1" applyFont="1" applyBorder="1" applyAlignment="1" applyProtection="1">
      <alignment horizontal="center"/>
      <protection/>
    </xf>
    <xf numFmtId="176" fontId="38" fillId="2" borderId="46" xfId="0" applyNumberFormat="1" applyFont="1" applyFill="1" applyBorder="1" applyAlignment="1" applyProtection="1" quotePrefix="1">
      <alignment horizontal="center"/>
      <protection locked="0"/>
    </xf>
    <xf numFmtId="176" fontId="38" fillId="2" borderId="48" xfId="0" applyNumberFormat="1" applyFont="1" applyFill="1" applyBorder="1" applyAlignment="1" applyProtection="1" quotePrefix="1">
      <alignment horizontal="center"/>
      <protection locked="0"/>
    </xf>
    <xf numFmtId="4" fontId="38" fillId="2" borderId="4" xfId="0" applyNumberFormat="1" applyFont="1" applyFill="1" applyBorder="1" applyAlignment="1" applyProtection="1">
      <alignment horizontal="center"/>
      <protection locked="0"/>
    </xf>
    <xf numFmtId="4" fontId="79" fillId="12" borderId="2" xfId="0" applyNumberFormat="1" applyFont="1" applyFill="1" applyBorder="1" applyAlignment="1" applyProtection="1">
      <alignment horizontal="center"/>
      <protection locked="0"/>
    </xf>
    <xf numFmtId="4" fontId="80" fillId="13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72" fontId="9" fillId="0" borderId="3" xfId="0" applyNumberFormat="1" applyFont="1" applyBorder="1" applyAlignment="1" applyProtection="1">
      <alignment horizontal="center"/>
      <protection locked="0"/>
    </xf>
    <xf numFmtId="173" fontId="7" fillId="0" borderId="3" xfId="0" applyNumberFormat="1" applyFont="1" applyBorder="1" applyAlignment="1" applyProtection="1">
      <alignment horizontal="center"/>
      <protection locked="0"/>
    </xf>
    <xf numFmtId="176" fontId="38" fillId="2" borderId="49" xfId="0" applyNumberFormat="1" applyFont="1" applyFill="1" applyBorder="1" applyAlignment="1" applyProtection="1" quotePrefix="1">
      <alignment horizontal="center"/>
      <protection locked="0"/>
    </xf>
    <xf numFmtId="176" fontId="38" fillId="2" borderId="50" xfId="0" applyNumberFormat="1" applyFont="1" applyFill="1" applyBorder="1" applyAlignment="1" applyProtection="1" quotePrefix="1">
      <alignment horizontal="center"/>
      <protection locked="0"/>
    </xf>
    <xf numFmtId="4" fontId="38" fillId="2" borderId="51" xfId="0" applyNumberFormat="1" applyFont="1" applyFill="1" applyBorder="1" applyAlignment="1" applyProtection="1">
      <alignment horizontal="center"/>
      <protection locked="0"/>
    </xf>
    <xf numFmtId="4" fontId="79" fillId="12" borderId="3" xfId="0" applyNumberFormat="1" applyFont="1" applyFill="1" applyBorder="1" applyAlignment="1" applyProtection="1">
      <alignment horizontal="center"/>
      <protection locked="0"/>
    </xf>
    <xf numFmtId="4" fontId="80" fillId="13" borderId="3" xfId="0" applyNumberFormat="1" applyFont="1" applyFill="1" applyBorder="1" applyAlignment="1" applyProtection="1">
      <alignment horizontal="center"/>
      <protection locked="0"/>
    </xf>
    <xf numFmtId="2" fontId="10" fillId="0" borderId="52" xfId="0" applyNumberFormat="1" applyFont="1" applyFill="1" applyBorder="1" applyAlignment="1">
      <alignment horizontal="right"/>
    </xf>
    <xf numFmtId="172" fontId="9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 horizontal="center"/>
      <protection/>
    </xf>
    <xf numFmtId="2" fontId="79" fillId="12" borderId="14" xfId="0" applyNumberFormat="1" applyFont="1" applyFill="1" applyBorder="1" applyAlignment="1" applyProtection="1">
      <alignment horizontal="center"/>
      <protection/>
    </xf>
    <xf numFmtId="2" fontId="80" fillId="13" borderId="14" xfId="0" applyNumberFormat="1" applyFont="1" applyFill="1" applyBorder="1" applyAlignment="1" applyProtection="1">
      <alignment horizontal="center"/>
      <protection/>
    </xf>
    <xf numFmtId="2" fontId="66" fillId="0" borderId="53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81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4" fillId="5" borderId="14" xfId="0" applyFont="1" applyFill="1" applyBorder="1" applyAlignment="1" applyProtection="1">
      <alignment horizontal="center" vertical="center"/>
      <protection/>
    </xf>
    <xf numFmtId="0" fontId="82" fillId="12" borderId="14" xfId="0" applyFont="1" applyFill="1" applyBorder="1" applyAlignment="1">
      <alignment horizontal="center" vertical="center" wrapText="1"/>
    </xf>
    <xf numFmtId="0" fontId="83" fillId="11" borderId="14" xfId="0" applyFont="1" applyFill="1" applyBorder="1" applyAlignment="1">
      <alignment horizontal="center" vertical="center" wrapText="1"/>
    </xf>
    <xf numFmtId="0" fontId="41" fillId="14" borderId="8" xfId="0" applyFont="1" applyFill="1" applyBorder="1" applyAlignment="1" applyProtection="1">
      <alignment horizontal="centerContinuous" vertical="center" wrapText="1"/>
      <protection/>
    </xf>
    <xf numFmtId="0" fontId="41" fillId="14" borderId="9" xfId="0" applyFont="1" applyFill="1" applyBorder="1" applyAlignment="1">
      <alignment horizontal="centerContinuous" vertical="center"/>
    </xf>
    <xf numFmtId="0" fontId="48" fillId="15" borderId="14" xfId="0" applyFont="1" applyFill="1" applyBorder="1" applyAlignment="1">
      <alignment horizontal="center" vertical="center" wrapText="1"/>
    </xf>
    <xf numFmtId="0" fontId="42" fillId="12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72" fontId="7" fillId="0" borderId="31" xfId="0" applyNumberFormat="1" applyFont="1" applyFill="1" applyBorder="1" applyAlignment="1" applyProtection="1">
      <alignment horizontal="center"/>
      <protection/>
    </xf>
    <xf numFmtId="0" fontId="37" fillId="2" borderId="31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47" fillId="5" borderId="31" xfId="0" applyFont="1" applyFill="1" applyBorder="1" applyAlignment="1">
      <alignment horizontal="center"/>
    </xf>
    <xf numFmtId="0" fontId="84" fillId="12" borderId="31" xfId="0" applyFont="1" applyFill="1" applyBorder="1" applyAlignment="1">
      <alignment horizontal="center"/>
    </xf>
    <xf numFmtId="0" fontId="85" fillId="11" borderId="31" xfId="0" applyFont="1" applyFill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2" borderId="30" xfId="0" applyFont="1" applyFill="1" applyBorder="1" applyAlignment="1">
      <alignment horizontal="center"/>
    </xf>
    <xf numFmtId="0" fontId="86" fillId="14" borderId="55" xfId="0" applyFont="1" applyFill="1" applyBorder="1" applyAlignment="1">
      <alignment horizontal="center"/>
    </xf>
    <xf numFmtId="0" fontId="86" fillId="14" borderId="56" xfId="0" applyFont="1" applyFill="1" applyBorder="1" applyAlignment="1">
      <alignment horizontal="center"/>
    </xf>
    <xf numFmtId="0" fontId="49" fillId="15" borderId="31" xfId="0" applyFont="1" applyFill="1" applyBorder="1" applyAlignment="1">
      <alignment horizontal="center"/>
    </xf>
    <xf numFmtId="0" fontId="43" fillId="12" borderId="31" xfId="0" applyFont="1" applyFill="1" applyBorder="1" applyAlignment="1">
      <alignment horizontal="center"/>
    </xf>
    <xf numFmtId="7" fontId="10" fillId="0" borderId="54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172" fontId="7" fillId="0" borderId="39" xfId="0" applyNumberFormat="1" applyFont="1" applyFill="1" applyBorder="1" applyAlignment="1" applyProtection="1">
      <alignment horizontal="center"/>
      <protection/>
    </xf>
    <xf numFmtId="0" fontId="37" fillId="2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7" fillId="5" borderId="39" xfId="0" applyFont="1" applyFill="1" applyBorder="1" applyAlignment="1">
      <alignment horizontal="center"/>
    </xf>
    <xf numFmtId="0" fontId="84" fillId="12" borderId="39" xfId="0" applyFont="1" applyFill="1" applyBorder="1" applyAlignment="1">
      <alignment horizontal="center"/>
    </xf>
    <xf numFmtId="0" fontId="85" fillId="11" borderId="39" xfId="0" applyFont="1" applyFill="1" applyBorder="1" applyAlignment="1">
      <alignment horizontal="center"/>
    </xf>
    <xf numFmtId="0" fontId="38" fillId="2" borderId="57" xfId="0" applyFont="1" applyFill="1" applyBorder="1" applyAlignment="1">
      <alignment horizontal="center"/>
    </xf>
    <xf numFmtId="0" fontId="38" fillId="2" borderId="58" xfId="0" applyFont="1" applyFill="1" applyBorder="1" applyAlignment="1">
      <alignment horizontal="center"/>
    </xf>
    <xf numFmtId="0" fontId="86" fillId="14" borderId="57" xfId="0" applyFont="1" applyFill="1" applyBorder="1" applyAlignment="1">
      <alignment horizontal="center"/>
    </xf>
    <xf numFmtId="0" fontId="86" fillId="14" borderId="58" xfId="0" applyFont="1" applyFill="1" applyBorder="1" applyAlignment="1">
      <alignment horizontal="center"/>
    </xf>
    <xf numFmtId="0" fontId="49" fillId="15" borderId="39" xfId="0" applyFont="1" applyFill="1" applyBorder="1" applyAlignment="1">
      <alignment horizontal="center"/>
    </xf>
    <xf numFmtId="0" fontId="43" fillId="12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7" fillId="0" borderId="47" xfId="0" applyFont="1" applyBorder="1" applyAlignment="1" applyProtection="1">
      <alignment horizontal="center"/>
      <protection locked="0"/>
    </xf>
    <xf numFmtId="172" fontId="7" fillId="0" borderId="39" xfId="0" applyNumberFormat="1" applyFont="1" applyBorder="1" applyAlignment="1" applyProtection="1">
      <alignment horizontal="center"/>
      <protection locked="0"/>
    </xf>
    <xf numFmtId="1" fontId="7" fillId="0" borderId="58" xfId="0" applyNumberFormat="1" applyFont="1" applyBorder="1" applyAlignment="1" applyProtection="1" quotePrefix="1">
      <alignment horizontal="center"/>
      <protection locked="0"/>
    </xf>
    <xf numFmtId="182" fontId="37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72" fontId="47" fillId="5" borderId="2" xfId="0" applyNumberFormat="1" applyFont="1" applyFill="1" applyBorder="1" applyAlignment="1" applyProtection="1">
      <alignment horizontal="center"/>
      <protection/>
    </xf>
    <xf numFmtId="2" fontId="84" fillId="12" borderId="2" xfId="0" applyNumberFormat="1" applyFont="1" applyFill="1" applyBorder="1" applyAlignment="1">
      <alignment horizontal="center"/>
    </xf>
    <xf numFmtId="2" fontId="85" fillId="11" borderId="2" xfId="0" applyNumberFormat="1" applyFont="1" applyFill="1" applyBorder="1" applyAlignment="1">
      <alignment horizontal="center"/>
    </xf>
    <xf numFmtId="176" fontId="38" fillId="2" borderId="57" xfId="0" applyNumberFormat="1" applyFont="1" applyFill="1" applyBorder="1" applyAlignment="1" applyProtection="1" quotePrefix="1">
      <alignment horizontal="center"/>
      <protection/>
    </xf>
    <xf numFmtId="176" fontId="38" fillId="2" borderId="58" xfId="0" applyNumberFormat="1" applyFont="1" applyFill="1" applyBorder="1" applyAlignment="1" applyProtection="1" quotePrefix="1">
      <alignment horizontal="center"/>
      <protection/>
    </xf>
    <xf numFmtId="176" fontId="86" fillId="14" borderId="57" xfId="0" applyNumberFormat="1" applyFont="1" applyFill="1" applyBorder="1" applyAlignment="1" applyProtection="1" quotePrefix="1">
      <alignment horizontal="center"/>
      <protection/>
    </xf>
    <xf numFmtId="176" fontId="86" fillId="14" borderId="58" xfId="0" applyNumberFormat="1" applyFont="1" applyFill="1" applyBorder="1" applyAlignment="1" applyProtection="1" quotePrefix="1">
      <alignment horizontal="center"/>
      <protection/>
    </xf>
    <xf numFmtId="176" fontId="49" fillId="15" borderId="2" xfId="0" applyNumberFormat="1" applyFont="1" applyFill="1" applyBorder="1" applyAlignment="1" applyProtection="1" quotePrefix="1">
      <alignment horizontal="center"/>
      <protection/>
    </xf>
    <xf numFmtId="176" fontId="43" fillId="12" borderId="39" xfId="0" applyNumberFormat="1" applyFont="1" applyFill="1" applyBorder="1" applyAlignment="1" applyProtection="1" quotePrefix="1">
      <alignment horizontal="center"/>
      <protection/>
    </xf>
    <xf numFmtId="176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40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72" fontId="9" fillId="0" borderId="4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72" fontId="7" fillId="0" borderId="3" xfId="0" applyNumberFormat="1" applyFont="1" applyFill="1" applyBorder="1" applyAlignment="1" applyProtection="1" quotePrefix="1">
      <alignment horizontal="center"/>
      <protection/>
    </xf>
    <xf numFmtId="172" fontId="47" fillId="5" borderId="3" xfId="0" applyNumberFormat="1" applyFont="1" applyFill="1" applyBorder="1" applyAlignment="1" applyProtection="1">
      <alignment horizontal="center"/>
      <protection/>
    </xf>
    <xf numFmtId="2" fontId="84" fillId="12" borderId="3" xfId="0" applyNumberFormat="1" applyFont="1" applyFill="1" applyBorder="1" applyAlignment="1">
      <alignment horizontal="center"/>
    </xf>
    <xf numFmtId="2" fontId="85" fillId="11" borderId="3" xfId="0" applyNumberFormat="1" applyFont="1" applyFill="1" applyBorder="1" applyAlignment="1">
      <alignment horizontal="center"/>
    </xf>
    <xf numFmtId="176" fontId="38" fillId="2" borderId="59" xfId="0" applyNumberFormat="1" applyFont="1" applyFill="1" applyBorder="1" applyAlignment="1" applyProtection="1" quotePrefix="1">
      <alignment horizontal="center"/>
      <protection/>
    </xf>
    <xf numFmtId="176" fontId="38" fillId="2" borderId="60" xfId="0" applyNumberFormat="1" applyFont="1" applyFill="1" applyBorder="1" applyAlignment="1" applyProtection="1" quotePrefix="1">
      <alignment horizontal="center"/>
      <protection/>
    </xf>
    <xf numFmtId="176" fontId="86" fillId="14" borderId="49" xfId="0" applyNumberFormat="1" applyFont="1" applyFill="1" applyBorder="1" applyAlignment="1" applyProtection="1" quotePrefix="1">
      <alignment horizontal="center"/>
      <protection/>
    </xf>
    <xf numFmtId="176" fontId="86" fillId="14" borderId="51" xfId="0" applyNumberFormat="1" applyFont="1" applyFill="1" applyBorder="1" applyAlignment="1" applyProtection="1" quotePrefix="1">
      <alignment horizontal="center"/>
      <protection/>
    </xf>
    <xf numFmtId="176" fontId="49" fillId="15" borderId="3" xfId="0" applyNumberFormat="1" applyFont="1" applyFill="1" applyBorder="1" applyAlignment="1" applyProtection="1" quotePrefix="1">
      <alignment horizontal="center"/>
      <protection/>
    </xf>
    <xf numFmtId="176" fontId="43" fillId="12" borderId="3" xfId="0" applyNumberFormat="1" applyFont="1" applyFill="1" applyBorder="1" applyAlignment="1" applyProtection="1" quotePrefix="1">
      <alignment horizontal="center"/>
      <protection/>
    </xf>
    <xf numFmtId="176" fontId="72" fillId="0" borderId="42" xfId="0" applyNumberFormat="1" applyFont="1" applyFill="1" applyBorder="1" applyAlignment="1">
      <alignment horizontal="center"/>
    </xf>
    <xf numFmtId="176" fontId="28" fillId="0" borderId="61" xfId="0" applyNumberFormat="1" applyFont="1" applyFill="1" applyBorder="1" applyAlignment="1">
      <alignment horizontal="center"/>
    </xf>
    <xf numFmtId="4" fontId="84" fillId="12" borderId="14" xfId="0" applyNumberFormat="1" applyFont="1" applyFill="1" applyBorder="1" applyAlignment="1">
      <alignment horizontal="center"/>
    </xf>
    <xf numFmtId="4" fontId="85" fillId="11" borderId="14" xfId="0" applyNumberFormat="1" applyFont="1" applyFill="1" applyBorder="1" applyAlignment="1">
      <alignment horizontal="center"/>
    </xf>
    <xf numFmtId="4" fontId="38" fillId="2" borderId="62" xfId="0" applyNumberFormat="1" applyFont="1" applyFill="1" applyBorder="1" applyAlignment="1">
      <alignment horizontal="center"/>
    </xf>
    <xf numFmtId="4" fontId="38" fillId="2" borderId="9" xfId="0" applyNumberFormat="1" applyFont="1" applyFill="1" applyBorder="1" applyAlignment="1">
      <alignment horizontal="center"/>
    </xf>
    <xf numFmtId="4" fontId="86" fillId="14" borderId="62" xfId="0" applyNumberFormat="1" applyFont="1" applyFill="1" applyBorder="1" applyAlignment="1">
      <alignment horizontal="center"/>
    </xf>
    <xf numFmtId="4" fontId="86" fillId="14" borderId="63" xfId="0" applyNumberFormat="1" applyFont="1" applyFill="1" applyBorder="1" applyAlignment="1">
      <alignment horizontal="center"/>
    </xf>
    <xf numFmtId="4" fontId="49" fillId="15" borderId="14" xfId="0" applyNumberFormat="1" applyFont="1" applyFill="1" applyBorder="1" applyAlignment="1">
      <alignment horizontal="center"/>
    </xf>
    <xf numFmtId="4" fontId="43" fillId="12" borderId="14" xfId="0" applyNumberFormat="1" applyFont="1" applyFill="1" applyBorder="1" applyAlignment="1">
      <alignment horizontal="center"/>
    </xf>
    <xf numFmtId="7" fontId="87" fillId="0" borderId="14" xfId="0" applyNumberFormat="1" applyFont="1" applyFill="1" applyBorder="1" applyAlignment="1">
      <alignment horizontal="right"/>
    </xf>
    <xf numFmtId="0" fontId="50" fillId="2" borderId="14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/>
    </xf>
    <xf numFmtId="7" fontId="29" fillId="2" borderId="31" xfId="0" applyNumberFormat="1" applyFont="1" applyFill="1" applyBorder="1" applyAlignment="1">
      <alignment horizontal="center"/>
    </xf>
    <xf numFmtId="2" fontId="84" fillId="12" borderId="2" xfId="0" applyNumberFormat="1" applyFont="1" applyFill="1" applyBorder="1" applyAlignment="1" applyProtection="1">
      <alignment horizontal="center"/>
      <protection locked="0"/>
    </xf>
    <xf numFmtId="2" fontId="85" fillId="11" borderId="2" xfId="0" applyNumberFormat="1" applyFont="1" applyFill="1" applyBorder="1" applyAlignment="1" applyProtection="1">
      <alignment horizontal="center"/>
      <protection locked="0"/>
    </xf>
    <xf numFmtId="176" fontId="38" fillId="2" borderId="57" xfId="0" applyNumberFormat="1" applyFont="1" applyFill="1" applyBorder="1" applyAlignment="1" applyProtection="1" quotePrefix="1">
      <alignment horizontal="center"/>
      <protection locked="0"/>
    </xf>
    <xf numFmtId="176" fontId="38" fillId="2" borderId="58" xfId="0" applyNumberFormat="1" applyFont="1" applyFill="1" applyBorder="1" applyAlignment="1" applyProtection="1" quotePrefix="1">
      <alignment horizontal="center"/>
      <protection locked="0"/>
    </xf>
    <xf numFmtId="176" fontId="86" fillId="14" borderId="57" xfId="0" applyNumberFormat="1" applyFont="1" applyFill="1" applyBorder="1" applyAlignment="1" applyProtection="1" quotePrefix="1">
      <alignment horizontal="center"/>
      <protection locked="0"/>
    </xf>
    <xf numFmtId="176" fontId="86" fillId="14" borderId="58" xfId="0" applyNumberFormat="1" applyFont="1" applyFill="1" applyBorder="1" applyAlignment="1" applyProtection="1" quotePrefix="1">
      <alignment horizontal="center"/>
      <protection locked="0"/>
    </xf>
    <xf numFmtId="176" fontId="49" fillId="15" borderId="2" xfId="0" applyNumberFormat="1" applyFont="1" applyFill="1" applyBorder="1" applyAlignment="1" applyProtection="1" quotePrefix="1">
      <alignment horizontal="center"/>
      <protection locked="0"/>
    </xf>
    <xf numFmtId="176" fontId="43" fillId="12" borderId="39" xfId="0" applyNumberFormat="1" applyFont="1" applyFill="1" applyBorder="1" applyAlignment="1" applyProtection="1" quotePrefix="1">
      <alignment horizontal="center"/>
      <protection locked="0"/>
    </xf>
    <xf numFmtId="2" fontId="84" fillId="12" borderId="3" xfId="0" applyNumberFormat="1" applyFont="1" applyFill="1" applyBorder="1" applyAlignment="1" applyProtection="1">
      <alignment horizontal="center"/>
      <protection locked="0"/>
    </xf>
    <xf numFmtId="2" fontId="85" fillId="11" borderId="3" xfId="0" applyNumberFormat="1" applyFont="1" applyFill="1" applyBorder="1" applyAlignment="1" applyProtection="1">
      <alignment horizontal="center"/>
      <protection locked="0"/>
    </xf>
    <xf numFmtId="176" fontId="38" fillId="2" borderId="59" xfId="0" applyNumberFormat="1" applyFont="1" applyFill="1" applyBorder="1" applyAlignment="1" applyProtection="1" quotePrefix="1">
      <alignment horizontal="center"/>
      <protection locked="0"/>
    </xf>
    <xf numFmtId="176" fontId="38" fillId="2" borderId="60" xfId="0" applyNumberFormat="1" applyFont="1" applyFill="1" applyBorder="1" applyAlignment="1" applyProtection="1" quotePrefix="1">
      <alignment horizontal="center"/>
      <protection locked="0"/>
    </xf>
    <xf numFmtId="176" fontId="86" fillId="14" borderId="49" xfId="0" applyNumberFormat="1" applyFont="1" applyFill="1" applyBorder="1" applyAlignment="1" applyProtection="1" quotePrefix="1">
      <alignment horizontal="center"/>
      <protection locked="0"/>
    </xf>
    <xf numFmtId="176" fontId="86" fillId="14" borderId="51" xfId="0" applyNumberFormat="1" applyFont="1" applyFill="1" applyBorder="1" applyAlignment="1" applyProtection="1" quotePrefix="1">
      <alignment horizontal="center"/>
      <protection locked="0"/>
    </xf>
    <xf numFmtId="176" fontId="49" fillId="15" borderId="3" xfId="0" applyNumberFormat="1" applyFont="1" applyFill="1" applyBorder="1" applyAlignment="1" applyProtection="1" quotePrefix="1">
      <alignment horizontal="center"/>
      <protection locked="0"/>
    </xf>
    <xf numFmtId="176" fontId="43" fillId="12" borderId="3" xfId="0" applyNumberFormat="1" applyFont="1" applyFill="1" applyBorder="1" applyAlignment="1" applyProtection="1" quotePrefix="1">
      <alignment horizontal="center"/>
      <protection locked="0"/>
    </xf>
    <xf numFmtId="176" fontId="72" fillId="0" borderId="42" xfId="0" applyNumberFormat="1" applyFont="1" applyFill="1" applyBorder="1" applyAlignment="1" applyProtection="1">
      <alignment horizontal="center"/>
      <protection locked="0"/>
    </xf>
    <xf numFmtId="176" fontId="29" fillId="2" borderId="52" xfId="0" applyNumberFormat="1" applyFont="1" applyFill="1" applyBorder="1" applyAlignment="1">
      <alignment horizontal="center"/>
    </xf>
    <xf numFmtId="172" fontId="47" fillId="5" borderId="2" xfId="0" applyNumberFormat="1" applyFont="1" applyFill="1" applyBorder="1" applyAlignment="1" applyProtection="1">
      <alignment horizontal="center"/>
      <protection locked="0"/>
    </xf>
    <xf numFmtId="172" fontId="47" fillId="5" borderId="3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82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2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64" xfId="0" applyFont="1" applyBorder="1" applyAlignment="1">
      <alignment horizontal="center"/>
    </xf>
    <xf numFmtId="0" fontId="12" fillId="0" borderId="64" xfId="0" applyFont="1" applyBorder="1" applyAlignment="1" applyProtection="1">
      <alignment horizontal="center"/>
      <protection/>
    </xf>
    <xf numFmtId="172" fontId="9" fillId="0" borderId="64" xfId="0" applyNumberFormat="1" applyFont="1" applyBorder="1" applyAlignment="1" applyProtection="1">
      <alignment horizontal="center"/>
      <protection/>
    </xf>
    <xf numFmtId="176" fontId="7" fillId="0" borderId="64" xfId="0" applyNumberFormat="1" applyFont="1" applyBorder="1" applyAlignment="1" applyProtection="1">
      <alignment horizontal="center"/>
      <protection/>
    </xf>
    <xf numFmtId="172" fontId="7" fillId="0" borderId="64" xfId="0" applyNumberFormat="1" applyFont="1" applyBorder="1" applyAlignment="1" applyProtection="1">
      <alignment horizontal="center"/>
      <protection/>
    </xf>
    <xf numFmtId="2" fontId="66" fillId="0" borderId="64" xfId="0" applyNumberFormat="1" applyFont="1" applyBorder="1" applyAlignment="1">
      <alignment horizontal="center"/>
    </xf>
    <xf numFmtId="176" fontId="9" fillId="0" borderId="64" xfId="0" applyNumberFormat="1" applyFont="1" applyBorder="1" applyAlignment="1" applyProtection="1" quotePrefix="1">
      <alignment horizontal="center"/>
      <protection/>
    </xf>
    <xf numFmtId="176" fontId="7" fillId="0" borderId="64" xfId="0" applyNumberFormat="1" applyFont="1" applyBorder="1" applyAlignment="1">
      <alignment horizontal="center"/>
    </xf>
    <xf numFmtId="176" fontId="72" fillId="0" borderId="64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1" fillId="14" borderId="14" xfId="0" applyFont="1" applyFill="1" applyBorder="1" applyAlignment="1">
      <alignment horizontal="center" vertical="center" wrapText="1"/>
    </xf>
    <xf numFmtId="0" fontId="69" fillId="11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7" fillId="4" borderId="17" xfId="0" applyFont="1" applyFill="1" applyBorder="1" applyAlignment="1" applyProtection="1">
      <alignment horizontal="center"/>
      <protection/>
    </xf>
    <xf numFmtId="0" fontId="86" fillId="14" borderId="17" xfId="0" applyFont="1" applyFill="1" applyBorder="1" applyAlignment="1" applyProtection="1">
      <alignment horizontal="center"/>
      <protection/>
    </xf>
    <xf numFmtId="176" fontId="71" fillId="11" borderId="28" xfId="0" applyNumberFormat="1" applyFont="1" applyFill="1" applyBorder="1" applyAlignment="1" applyProtection="1" quotePrefix="1">
      <alignment horizontal="center"/>
      <protection/>
    </xf>
    <xf numFmtId="176" fontId="71" fillId="11" borderId="30" xfId="0" applyNumberFormat="1" applyFont="1" applyFill="1" applyBorder="1" applyAlignment="1" applyProtection="1" quotePrefix="1">
      <alignment horizontal="center"/>
      <protection/>
    </xf>
    <xf numFmtId="176" fontId="46" fillId="3" borderId="17" xfId="0" applyNumberFormat="1" applyFont="1" applyFill="1" applyBorder="1" applyAlignment="1" applyProtection="1" quotePrefix="1">
      <alignment horizontal="center"/>
      <protection/>
    </xf>
    <xf numFmtId="7" fontId="88" fillId="0" borderId="2" xfId="0" applyNumberFormat="1" applyFont="1" applyBorder="1" applyAlignment="1" applyProtection="1">
      <alignment/>
      <protection/>
    </xf>
    <xf numFmtId="0" fontId="12" fillId="0" borderId="45" xfId="0" applyFont="1" applyBorder="1" applyAlignment="1" applyProtection="1">
      <alignment horizontal="center"/>
      <protection/>
    </xf>
    <xf numFmtId="0" fontId="37" fillId="2" borderId="45" xfId="0" applyFont="1" applyFill="1" applyBorder="1" applyAlignment="1" applyProtection="1">
      <alignment horizontal="center"/>
      <protection/>
    </xf>
    <xf numFmtId="0" fontId="47" fillId="4" borderId="2" xfId="0" applyFont="1" applyFill="1" applyBorder="1" applyAlignment="1" applyProtection="1">
      <alignment horizontal="center"/>
      <protection/>
    </xf>
    <xf numFmtId="0" fontId="86" fillId="14" borderId="2" xfId="0" applyFont="1" applyFill="1" applyBorder="1" applyAlignment="1" applyProtection="1">
      <alignment horizontal="center"/>
      <protection/>
    </xf>
    <xf numFmtId="176" fontId="71" fillId="11" borderId="65" xfId="0" applyNumberFormat="1" applyFont="1" applyFill="1" applyBorder="1" applyAlignment="1" applyProtection="1" quotePrefix="1">
      <alignment horizontal="center"/>
      <protection/>
    </xf>
    <xf numFmtId="176" fontId="46" fillId="3" borderId="2" xfId="0" applyNumberFormat="1" applyFont="1" applyFill="1" applyBorder="1" applyAlignment="1" applyProtection="1" quotePrefix="1">
      <alignment horizontal="center"/>
      <protection/>
    </xf>
    <xf numFmtId="176" fontId="29" fillId="0" borderId="2" xfId="0" applyNumberFormat="1" applyFont="1" applyFill="1" applyBorder="1" applyAlignment="1">
      <alignment horizontal="center"/>
    </xf>
    <xf numFmtId="0" fontId="12" fillId="0" borderId="45" xfId="0" applyFont="1" applyBorder="1" applyAlignment="1" applyProtection="1">
      <alignment horizontal="center"/>
      <protection locked="0"/>
    </xf>
    <xf numFmtId="172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46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72" fontId="7" fillId="0" borderId="2" xfId="0" applyNumberFormat="1" applyFont="1" applyFill="1" applyBorder="1" applyAlignment="1" applyProtection="1" quotePrefix="1">
      <alignment horizontal="center"/>
      <protection/>
    </xf>
    <xf numFmtId="172" fontId="47" fillId="4" borderId="2" xfId="0" applyNumberFormat="1" applyFont="1" applyFill="1" applyBorder="1" applyAlignment="1" applyProtection="1">
      <alignment horizontal="center"/>
      <protection locked="0"/>
    </xf>
    <xf numFmtId="2" fontId="86" fillId="14" borderId="2" xfId="0" applyNumberFormat="1" applyFont="1" applyFill="1" applyBorder="1" applyAlignment="1" applyProtection="1">
      <alignment horizontal="center"/>
      <protection locked="0"/>
    </xf>
    <xf numFmtId="176" fontId="71" fillId="11" borderId="46" xfId="0" applyNumberFormat="1" applyFont="1" applyFill="1" applyBorder="1" applyAlignment="1" applyProtection="1" quotePrefix="1">
      <alignment horizontal="center"/>
      <protection locked="0"/>
    </xf>
    <xf numFmtId="176" fontId="71" fillId="11" borderId="65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76" fontId="7" fillId="0" borderId="42" xfId="0" applyNumberFormat="1" applyFont="1" applyBorder="1" applyAlignment="1" applyProtection="1">
      <alignment horizontal="center"/>
      <protection locked="0"/>
    </xf>
    <xf numFmtId="176" fontId="7" fillId="0" borderId="42" xfId="0" applyNumberFormat="1" applyFont="1" applyBorder="1" applyAlignment="1" applyProtection="1">
      <alignment horizontal="center"/>
      <protection/>
    </xf>
    <xf numFmtId="172" fontId="47" fillId="4" borderId="3" xfId="0" applyNumberFormat="1" applyFont="1" applyFill="1" applyBorder="1" applyAlignment="1" applyProtection="1">
      <alignment horizontal="center"/>
      <protection locked="0"/>
    </xf>
    <xf numFmtId="2" fontId="86" fillId="14" borderId="3" xfId="0" applyNumberFormat="1" applyFont="1" applyFill="1" applyBorder="1" applyAlignment="1" applyProtection="1">
      <alignment horizontal="center"/>
      <protection locked="0"/>
    </xf>
    <xf numFmtId="176" fontId="71" fillId="11" borderId="49" xfId="0" applyNumberFormat="1" applyFont="1" applyFill="1" applyBorder="1" applyAlignment="1" applyProtection="1" quotePrefix="1">
      <alignment horizontal="center"/>
      <protection locked="0"/>
    </xf>
    <xf numFmtId="176" fontId="71" fillId="11" borderId="51" xfId="0" applyNumberFormat="1" applyFont="1" applyFill="1" applyBorder="1" applyAlignment="1" applyProtection="1" quotePrefix="1">
      <alignment horizontal="center"/>
      <protection locked="0"/>
    </xf>
    <xf numFmtId="7" fontId="28" fillId="0" borderId="52" xfId="0" applyNumberFormat="1" applyFont="1" applyFill="1" applyBorder="1" applyAlignment="1">
      <alignment horizontal="right"/>
    </xf>
    <xf numFmtId="4" fontId="86" fillId="14" borderId="14" xfId="0" applyNumberFormat="1" applyFont="1" applyFill="1" applyBorder="1" applyAlignment="1">
      <alignment horizontal="center"/>
    </xf>
    <xf numFmtId="4" fontId="71" fillId="11" borderId="62" xfId="0" applyNumberFormat="1" applyFont="1" applyFill="1" applyBorder="1" applyAlignment="1">
      <alignment horizontal="center"/>
    </xf>
    <xf numFmtId="4" fontId="71" fillId="11" borderId="63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82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2" fontId="66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0" xfId="0" applyNumberFormat="1" applyFont="1" applyBorder="1" applyAlignment="1" applyProtection="1">
      <alignment horizontal="center"/>
      <protection/>
    </xf>
    <xf numFmtId="176" fontId="54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50" fillId="12" borderId="14" xfId="0" applyFont="1" applyFill="1" applyBorder="1" applyAlignment="1">
      <alignment horizontal="center" vertical="center" wrapText="1"/>
    </xf>
    <xf numFmtId="0" fontId="48" fillId="16" borderId="8" xfId="0" applyFont="1" applyFill="1" applyBorder="1" applyAlignment="1" applyProtection="1">
      <alignment horizontal="centerContinuous" vertical="center" wrapText="1"/>
      <protection/>
    </xf>
    <xf numFmtId="0" fontId="48" fillId="16" borderId="9" xfId="0" applyFont="1" applyFill="1" applyBorder="1" applyAlignment="1">
      <alignment horizontal="centerContinuous" vertical="center"/>
    </xf>
    <xf numFmtId="0" fontId="51" fillId="11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90" fillId="12" borderId="31" xfId="0" applyFont="1" applyFill="1" applyBorder="1" applyAlignment="1">
      <alignment horizontal="center"/>
    </xf>
    <xf numFmtId="0" fontId="49" fillId="16" borderId="28" xfId="0" applyFont="1" applyFill="1" applyBorder="1" applyAlignment="1">
      <alignment horizontal="center"/>
    </xf>
    <xf numFmtId="0" fontId="49" fillId="16" borderId="30" xfId="0" applyFont="1" applyFill="1" applyBorder="1" applyAlignment="1">
      <alignment horizontal="center"/>
    </xf>
    <xf numFmtId="0" fontId="52" fillId="11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0" fontId="12" fillId="0" borderId="67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176" fontId="37" fillId="2" borderId="39" xfId="0" applyNumberFormat="1" applyFont="1" applyFill="1" applyBorder="1" applyAlignment="1" applyProtection="1">
      <alignment horizontal="center"/>
      <protection/>
    </xf>
    <xf numFmtId="22" fontId="7" fillId="0" borderId="57" xfId="0" applyNumberFormat="1" applyFont="1" applyBorder="1" applyAlignment="1">
      <alignment horizontal="center"/>
    </xf>
    <xf numFmtId="22" fontId="7" fillId="0" borderId="6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 quotePrefix="1">
      <alignment horizontal="center"/>
      <protection/>
    </xf>
    <xf numFmtId="172" fontId="7" fillId="0" borderId="39" xfId="0" applyNumberFormat="1" applyFont="1" applyFill="1" applyBorder="1" applyAlignment="1" applyProtection="1" quotePrefix="1">
      <alignment horizontal="center"/>
      <protection/>
    </xf>
    <xf numFmtId="176" fontId="7" fillId="0" borderId="40" xfId="0" applyNumberFormat="1" applyFont="1" applyBorder="1" applyAlignment="1" applyProtection="1">
      <alignment horizontal="center"/>
      <protection/>
    </xf>
    <xf numFmtId="176" fontId="7" fillId="0" borderId="39" xfId="0" applyNumberFormat="1" applyFont="1" applyBorder="1" applyAlignment="1" applyProtection="1">
      <alignment horizontal="center"/>
      <protection/>
    </xf>
    <xf numFmtId="172" fontId="37" fillId="2" borderId="47" xfId="0" applyNumberFormat="1" applyFont="1" applyFill="1" applyBorder="1" applyAlignment="1" applyProtection="1">
      <alignment horizontal="center"/>
      <protection/>
    </xf>
    <xf numFmtId="2" fontId="90" fillId="12" borderId="39" xfId="0" applyNumberFormat="1" applyFont="1" applyFill="1" applyBorder="1" applyAlignment="1">
      <alignment horizontal="center"/>
    </xf>
    <xf numFmtId="176" fontId="49" fillId="16" borderId="57" xfId="0" applyNumberFormat="1" applyFont="1" applyFill="1" applyBorder="1" applyAlignment="1" applyProtection="1" quotePrefix="1">
      <alignment horizontal="center"/>
      <protection/>
    </xf>
    <xf numFmtId="176" fontId="49" fillId="16" borderId="58" xfId="0" applyNumberFormat="1" applyFont="1" applyFill="1" applyBorder="1" applyAlignment="1" applyProtection="1" quotePrefix="1">
      <alignment horizontal="center"/>
      <protection/>
    </xf>
    <xf numFmtId="176" fontId="52" fillId="11" borderId="39" xfId="0" applyNumberFormat="1" applyFont="1" applyFill="1" applyBorder="1" applyAlignment="1" applyProtection="1" quotePrefix="1">
      <alignment horizontal="center"/>
      <protection/>
    </xf>
    <xf numFmtId="176" fontId="29" fillId="0" borderId="39" xfId="0" applyNumberFormat="1" applyFont="1" applyFill="1" applyBorder="1" applyAlignment="1">
      <alignment horizontal="center"/>
    </xf>
    <xf numFmtId="0" fontId="12" fillId="0" borderId="64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72" fontId="37" fillId="2" borderId="64" xfId="0" applyNumberFormat="1" applyFont="1" applyFill="1" applyBorder="1" applyAlignment="1" applyProtection="1">
      <alignment horizontal="center"/>
      <protection locked="0"/>
    </xf>
    <xf numFmtId="2" fontId="90" fillId="12" borderId="2" xfId="0" applyNumberFormat="1" applyFont="1" applyFill="1" applyBorder="1" applyAlignment="1" applyProtection="1">
      <alignment horizontal="center"/>
      <protection locked="0"/>
    </xf>
    <xf numFmtId="176" fontId="49" fillId="16" borderId="57" xfId="0" applyNumberFormat="1" applyFont="1" applyFill="1" applyBorder="1" applyAlignment="1" applyProtection="1" quotePrefix="1">
      <alignment horizontal="center"/>
      <protection locked="0"/>
    </xf>
    <xf numFmtId="176" fontId="49" fillId="16" borderId="58" xfId="0" applyNumberFormat="1" applyFont="1" applyFill="1" applyBorder="1" applyAlignment="1" applyProtection="1" quotePrefix="1">
      <alignment horizontal="center"/>
      <protection locked="0"/>
    </xf>
    <xf numFmtId="176" fontId="52" fillId="11" borderId="39" xfId="0" applyNumberFormat="1" applyFont="1" applyFill="1" applyBorder="1" applyAlignment="1" applyProtection="1" quotePrefix="1">
      <alignment horizontal="center"/>
      <protection locked="0"/>
    </xf>
    <xf numFmtId="2" fontId="7" fillId="0" borderId="68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72" fontId="37" fillId="2" borderId="23" xfId="0" applyNumberFormat="1" applyFont="1" applyFill="1" applyBorder="1" applyAlignment="1" applyProtection="1">
      <alignment horizontal="center"/>
      <protection locked="0"/>
    </xf>
    <xf numFmtId="2" fontId="90" fillId="12" borderId="3" xfId="0" applyNumberFormat="1" applyFont="1" applyFill="1" applyBorder="1" applyAlignment="1" applyProtection="1">
      <alignment horizontal="center"/>
      <protection locked="0"/>
    </xf>
    <xf numFmtId="176" fontId="49" fillId="16" borderId="59" xfId="0" applyNumberFormat="1" applyFont="1" applyFill="1" applyBorder="1" applyAlignment="1" applyProtection="1" quotePrefix="1">
      <alignment horizontal="center"/>
      <protection locked="0"/>
    </xf>
    <xf numFmtId="176" fontId="49" fillId="16" borderId="60" xfId="0" applyNumberFormat="1" applyFont="1" applyFill="1" applyBorder="1" applyAlignment="1" applyProtection="1" quotePrefix="1">
      <alignment horizontal="center"/>
      <protection locked="0"/>
    </xf>
    <xf numFmtId="176" fontId="52" fillId="11" borderId="3" xfId="0" applyNumberFormat="1" applyFont="1" applyFill="1" applyBorder="1" applyAlignment="1" applyProtection="1" quotePrefix="1">
      <alignment horizontal="center"/>
      <protection locked="0"/>
    </xf>
    <xf numFmtId="176" fontId="29" fillId="0" borderId="52" xfId="0" applyNumberFormat="1" applyFont="1" applyFill="1" applyBorder="1" applyAlignment="1">
      <alignment horizontal="center"/>
    </xf>
    <xf numFmtId="4" fontId="90" fillId="12" borderId="14" xfId="0" applyNumberFormat="1" applyFont="1" applyFill="1" applyBorder="1" applyAlignment="1">
      <alignment horizontal="center"/>
    </xf>
    <xf numFmtId="4" fontId="49" fillId="16" borderId="62" xfId="0" applyNumberFormat="1" applyFont="1" applyFill="1" applyBorder="1" applyAlignment="1">
      <alignment horizontal="center"/>
    </xf>
    <xf numFmtId="4" fontId="49" fillId="16" borderId="9" xfId="0" applyNumberFormat="1" applyFont="1" applyFill="1" applyBorder="1" applyAlignment="1">
      <alignment horizontal="center"/>
    </xf>
    <xf numFmtId="4" fontId="52" fillId="11" borderId="14" xfId="0" applyNumberFormat="1" applyFont="1" applyFill="1" applyBorder="1" applyAlignment="1">
      <alignment horizontal="center"/>
    </xf>
    <xf numFmtId="0" fontId="7" fillId="0" borderId="69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91" fillId="17" borderId="14" xfId="0" applyFont="1" applyFill="1" applyBorder="1" applyAlignment="1">
      <alignment horizontal="center" vertical="center" wrapText="1"/>
    </xf>
    <xf numFmtId="0" fontId="42" fillId="11" borderId="8" xfId="0" applyFont="1" applyFill="1" applyBorder="1" applyAlignment="1" applyProtection="1">
      <alignment horizontal="centerContinuous" vertical="center" wrapText="1"/>
      <protection/>
    </xf>
    <xf numFmtId="0" fontId="42" fillId="11" borderId="9" xfId="0" applyFont="1" applyFill="1" applyBorder="1" applyAlignment="1">
      <alignment horizontal="centerContinuous" vertical="center"/>
    </xf>
    <xf numFmtId="0" fontId="44" fillId="12" borderId="14" xfId="0" applyFont="1" applyFill="1" applyBorder="1" applyAlignment="1">
      <alignment horizontal="center" vertical="center" wrapText="1"/>
    </xf>
    <xf numFmtId="0" fontId="92" fillId="17" borderId="31" xfId="0" applyFont="1" applyFill="1" applyBorder="1" applyAlignment="1">
      <alignment horizontal="center"/>
    </xf>
    <xf numFmtId="0" fontId="43" fillId="11" borderId="28" xfId="0" applyFont="1" applyFill="1" applyBorder="1" applyAlignment="1">
      <alignment horizontal="center"/>
    </xf>
    <xf numFmtId="0" fontId="43" fillId="11" borderId="30" xfId="0" applyFont="1" applyFill="1" applyBorder="1" applyAlignment="1">
      <alignment horizontal="center"/>
    </xf>
    <xf numFmtId="0" fontId="46" fillId="12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72" fontId="37" fillId="2" borderId="39" xfId="0" applyNumberFormat="1" applyFont="1" applyFill="1" applyBorder="1" applyAlignment="1" applyProtection="1">
      <alignment horizontal="center"/>
      <protection/>
    </xf>
    <xf numFmtId="2" fontId="92" fillId="17" borderId="39" xfId="0" applyNumberFormat="1" applyFont="1" applyFill="1" applyBorder="1" applyAlignment="1">
      <alignment horizontal="center"/>
    </xf>
    <xf numFmtId="176" fontId="43" fillId="11" borderId="57" xfId="0" applyNumberFormat="1" applyFont="1" applyFill="1" applyBorder="1" applyAlignment="1" applyProtection="1" quotePrefix="1">
      <alignment horizontal="center"/>
      <protection/>
    </xf>
    <xf numFmtId="176" fontId="43" fillId="11" borderId="58" xfId="0" applyNumberFormat="1" applyFont="1" applyFill="1" applyBorder="1" applyAlignment="1" applyProtection="1" quotePrefix="1">
      <alignment horizontal="center"/>
      <protection/>
    </xf>
    <xf numFmtId="176" fontId="46" fillId="12" borderId="39" xfId="0" applyNumberFormat="1" applyFont="1" applyFill="1" applyBorder="1" applyAlignment="1" applyProtection="1" quotePrefix="1">
      <alignment horizontal="center"/>
      <protection/>
    </xf>
    <xf numFmtId="176" fontId="7" fillId="0" borderId="67" xfId="0" applyNumberFormat="1" applyFont="1" applyBorder="1" applyAlignment="1" applyProtection="1">
      <alignment horizontal="center"/>
      <protection/>
    </xf>
    <xf numFmtId="176" fontId="29" fillId="2" borderId="39" xfId="0" applyNumberFormat="1" applyFont="1" applyFill="1" applyBorder="1" applyAlignment="1">
      <alignment horizontal="center"/>
    </xf>
    <xf numFmtId="172" fontId="37" fillId="2" borderId="2" xfId="0" applyNumberFormat="1" applyFont="1" applyFill="1" applyBorder="1" applyAlignment="1" applyProtection="1">
      <alignment horizontal="center"/>
      <protection locked="0"/>
    </xf>
    <xf numFmtId="2" fontId="92" fillId="17" borderId="2" xfId="0" applyNumberFormat="1" applyFont="1" applyFill="1" applyBorder="1" applyAlignment="1" applyProtection="1">
      <alignment horizontal="center"/>
      <protection locked="0"/>
    </xf>
    <xf numFmtId="176" fontId="43" fillId="11" borderId="57" xfId="0" applyNumberFormat="1" applyFont="1" applyFill="1" applyBorder="1" applyAlignment="1" applyProtection="1" quotePrefix="1">
      <alignment horizontal="center"/>
      <protection locked="0"/>
    </xf>
    <xf numFmtId="176" fontId="43" fillId="11" borderId="58" xfId="0" applyNumberFormat="1" applyFont="1" applyFill="1" applyBorder="1" applyAlignment="1" applyProtection="1" quotePrefix="1">
      <alignment horizontal="center"/>
      <protection locked="0"/>
    </xf>
    <xf numFmtId="176" fontId="46" fillId="12" borderId="39" xfId="0" applyNumberFormat="1" applyFont="1" applyFill="1" applyBorder="1" applyAlignment="1" applyProtection="1" quotePrefix="1">
      <alignment horizontal="center"/>
      <protection locked="0"/>
    </xf>
    <xf numFmtId="176" fontId="7" fillId="0" borderId="45" xfId="0" applyNumberFormat="1" applyFont="1" applyBorder="1" applyAlignment="1" applyProtection="1">
      <alignment horizontal="center"/>
      <protection locked="0"/>
    </xf>
    <xf numFmtId="4" fontId="29" fillId="2" borderId="2" xfId="0" applyNumberFormat="1" applyFont="1" applyFill="1" applyBorder="1" applyAlignment="1">
      <alignment horizontal="right"/>
    </xf>
    <xf numFmtId="172" fontId="37" fillId="2" borderId="3" xfId="0" applyNumberFormat="1" applyFont="1" applyFill="1" applyBorder="1" applyAlignment="1" applyProtection="1">
      <alignment horizontal="center"/>
      <protection locked="0"/>
    </xf>
    <xf numFmtId="2" fontId="92" fillId="17" borderId="3" xfId="0" applyNumberFormat="1" applyFont="1" applyFill="1" applyBorder="1" applyAlignment="1" applyProtection="1">
      <alignment horizontal="center"/>
      <protection locked="0"/>
    </xf>
    <xf numFmtId="176" fontId="43" fillId="11" borderId="59" xfId="0" applyNumberFormat="1" applyFont="1" applyFill="1" applyBorder="1" applyAlignment="1" applyProtection="1" quotePrefix="1">
      <alignment horizontal="center"/>
      <protection locked="0"/>
    </xf>
    <xf numFmtId="176" fontId="43" fillId="11" borderId="60" xfId="0" applyNumberFormat="1" applyFont="1" applyFill="1" applyBorder="1" applyAlignment="1" applyProtection="1" quotePrefix="1">
      <alignment horizontal="center"/>
      <protection locked="0"/>
    </xf>
    <xf numFmtId="176" fontId="46" fillId="12" borderId="3" xfId="0" applyNumberFormat="1" applyFont="1" applyFill="1" applyBorder="1" applyAlignment="1" applyProtection="1" quotePrefix="1">
      <alignment horizontal="center"/>
      <protection locked="0"/>
    </xf>
    <xf numFmtId="176" fontId="7" fillId="0" borderId="27" xfId="0" applyNumberFormat="1" applyFont="1" applyBorder="1" applyAlignment="1" applyProtection="1">
      <alignment horizontal="center"/>
      <protection locked="0"/>
    </xf>
    <xf numFmtId="4" fontId="92" fillId="17" borderId="8" xfId="0" applyNumberFormat="1" applyFont="1" applyFill="1" applyBorder="1" applyAlignment="1">
      <alignment horizontal="center"/>
    </xf>
    <xf numFmtId="4" fontId="43" fillId="11" borderId="62" xfId="0" applyNumberFormat="1" applyFont="1" applyFill="1" applyBorder="1" applyAlignment="1">
      <alignment horizontal="center"/>
    </xf>
    <xf numFmtId="4" fontId="43" fillId="11" borderId="9" xfId="0" applyNumberFormat="1" applyFont="1" applyFill="1" applyBorder="1" applyAlignment="1">
      <alignment horizontal="center"/>
    </xf>
    <xf numFmtId="4" fontId="46" fillId="12" borderId="14" xfId="0" applyNumberFormat="1" applyFont="1" applyFill="1" applyBorder="1" applyAlignment="1">
      <alignment horizontal="center"/>
    </xf>
    <xf numFmtId="7" fontId="13" fillId="2" borderId="14" xfId="0" applyNumberFormat="1" applyFont="1" applyFill="1" applyBorder="1" applyAlignment="1">
      <alignment horizontal="right"/>
    </xf>
    <xf numFmtId="0" fontId="93" fillId="0" borderId="0" xfId="0" applyFont="1" applyAlignment="1">
      <alignment horizontal="centerContinuous"/>
    </xf>
    <xf numFmtId="0" fontId="6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2" fontId="7" fillId="0" borderId="4" xfId="0" applyNumberFormat="1" applyFont="1" applyBorder="1" applyAlignment="1" applyProtection="1">
      <alignment horizontal="center"/>
      <protection/>
    </xf>
    <xf numFmtId="22" fontId="7" fillId="0" borderId="47" xfId="0" applyNumberFormat="1" applyFont="1" applyBorder="1" applyAlignment="1">
      <alignment horizontal="center"/>
    </xf>
    <xf numFmtId="182" fontId="10" fillId="0" borderId="0" xfId="21" applyNumberFormat="1" applyFont="1" applyBorder="1" applyAlignment="1">
      <alignment horizontal="center"/>
      <protection/>
    </xf>
    <xf numFmtId="182" fontId="0" fillId="0" borderId="0" xfId="27" applyNumberFormat="1" applyFont="1" applyBorder="1" applyAlignment="1">
      <alignment horizontal="centerContinuous"/>
      <protection/>
    </xf>
    <xf numFmtId="0" fontId="94" fillId="18" borderId="32" xfId="27" applyFont="1" applyFill="1" applyBorder="1" applyProtection="1">
      <alignment/>
      <protection locked="0"/>
    </xf>
    <xf numFmtId="0" fontId="7" fillId="10" borderId="36" xfId="21" applyFont="1" applyFill="1" applyBorder="1" applyAlignment="1" applyProtection="1">
      <alignment horizontal="center"/>
      <protection locked="0"/>
    </xf>
    <xf numFmtId="0" fontId="64" fillId="4" borderId="36" xfId="27" applyFont="1" applyFill="1" applyBorder="1" applyProtection="1">
      <alignment/>
      <protection locked="0"/>
    </xf>
    <xf numFmtId="22" fontId="7" fillId="10" borderId="37" xfId="21" applyNumberFormat="1" applyFont="1" applyFill="1" applyBorder="1" applyAlignment="1" applyProtection="1">
      <alignment horizontal="center"/>
      <protection locked="0"/>
    </xf>
    <xf numFmtId="22" fontId="7" fillId="10" borderId="70" xfId="21" applyNumberFormat="1" applyFont="1" applyFill="1" applyBorder="1" applyAlignment="1" applyProtection="1">
      <alignment horizontal="center"/>
      <protection locked="0"/>
    </xf>
    <xf numFmtId="0" fontId="7" fillId="10" borderId="39" xfId="21" applyFont="1" applyFill="1" applyBorder="1" applyAlignment="1" applyProtection="1">
      <alignment horizontal="center"/>
      <protection locked="0"/>
    </xf>
    <xf numFmtId="172" fontId="7" fillId="10" borderId="39" xfId="21" applyNumberFormat="1" applyFont="1" applyFill="1" applyBorder="1" applyAlignment="1" applyProtection="1">
      <alignment horizontal="center"/>
      <protection locked="0"/>
    </xf>
    <xf numFmtId="173" fontId="7" fillId="10" borderId="39" xfId="21" applyNumberFormat="1" applyFont="1" applyFill="1" applyBorder="1" applyAlignment="1" applyProtection="1">
      <alignment horizontal="center"/>
      <protection locked="0"/>
    </xf>
    <xf numFmtId="0" fontId="94" fillId="18" borderId="39" xfId="27" applyFont="1" applyFill="1" applyBorder="1" applyProtection="1">
      <alignment/>
      <protection locked="0"/>
    </xf>
    <xf numFmtId="0" fontId="64" fillId="4" borderId="39" xfId="27" applyFont="1" applyFill="1" applyBorder="1" applyProtection="1">
      <alignment/>
      <protection locked="0"/>
    </xf>
    <xf numFmtId="22" fontId="7" fillId="10" borderId="40" xfId="21" applyNumberFormat="1" applyFont="1" applyFill="1" applyBorder="1" applyAlignment="1" applyProtection="1">
      <alignment horizontal="center"/>
      <protection locked="0"/>
    </xf>
    <xf numFmtId="22" fontId="7" fillId="10" borderId="47" xfId="21" applyNumberFormat="1" applyFont="1" applyFill="1" applyBorder="1" applyAlignment="1" applyProtection="1">
      <alignment horizontal="center"/>
      <protection locked="0"/>
    </xf>
    <xf numFmtId="22" fontId="7" fillId="10" borderId="39" xfId="21" applyNumberFormat="1" applyFont="1" applyFill="1" applyBorder="1" applyAlignment="1" applyProtection="1">
      <alignment horizontal="center"/>
      <protection locked="0"/>
    </xf>
    <xf numFmtId="0" fontId="7" fillId="10" borderId="34" xfId="21" applyFont="1" applyFill="1" applyBorder="1" applyAlignment="1" applyProtection="1">
      <alignment horizontal="center"/>
      <protection locked="0"/>
    </xf>
    <xf numFmtId="172" fontId="7" fillId="10" borderId="34" xfId="21" applyNumberFormat="1" applyFont="1" applyFill="1" applyBorder="1" applyAlignment="1" applyProtection="1">
      <alignment horizontal="center"/>
      <protection locked="0"/>
    </xf>
    <xf numFmtId="173" fontId="7" fillId="10" borderId="34" xfId="21" applyNumberFormat="1" applyFont="1" applyFill="1" applyBorder="1" applyAlignment="1" applyProtection="1">
      <alignment horizontal="center"/>
      <protection locked="0"/>
    </xf>
    <xf numFmtId="0" fontId="94" fillId="18" borderId="34" xfId="27" applyFont="1" applyFill="1" applyBorder="1" applyProtection="1">
      <alignment/>
      <protection locked="0"/>
    </xf>
    <xf numFmtId="0" fontId="64" fillId="4" borderId="34" xfId="27" applyFont="1" applyFill="1" applyBorder="1" applyProtection="1">
      <alignment/>
      <protection locked="0"/>
    </xf>
    <xf numFmtId="22" fontId="7" fillId="10" borderId="34" xfId="21" applyNumberFormat="1" applyFont="1" applyFill="1" applyBorder="1" applyAlignment="1" applyProtection="1">
      <alignment horizontal="center"/>
      <protection locked="0"/>
    </xf>
    <xf numFmtId="173" fontId="7" fillId="10" borderId="3" xfId="27" applyNumberFormat="1" applyFont="1" applyFill="1" applyBorder="1" applyAlignment="1" applyProtection="1">
      <alignment horizontal="center"/>
      <protection locked="0"/>
    </xf>
    <xf numFmtId="0" fontId="94" fillId="18" borderId="3" xfId="27" applyFont="1" applyFill="1" applyBorder="1" applyAlignment="1" applyProtection="1">
      <alignment horizontal="center"/>
      <protection locked="0"/>
    </xf>
    <xf numFmtId="173" fontId="7" fillId="0" borderId="0" xfId="27" applyNumberFormat="1" applyFont="1" applyBorder="1" applyAlignment="1" applyProtection="1">
      <alignment horizontal="center"/>
      <protection/>
    </xf>
    <xf numFmtId="0" fontId="94" fillId="18" borderId="17" xfId="27" applyFont="1" applyFill="1" applyBorder="1">
      <alignment/>
      <protection/>
    </xf>
    <xf numFmtId="0" fontId="95" fillId="0" borderId="0" xfId="0" applyFont="1" applyFill="1" applyAlignment="1">
      <alignment/>
    </xf>
    <xf numFmtId="0" fontId="96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0" xfId="0" applyFont="1" applyAlignment="1">
      <alignment/>
    </xf>
    <xf numFmtId="0" fontId="23" fillId="0" borderId="0" xfId="0" applyFont="1" applyAlignment="1">
      <alignment/>
    </xf>
    <xf numFmtId="0" fontId="97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8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82" fontId="22" fillId="0" borderId="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76" fontId="13" fillId="0" borderId="8" xfId="0" applyNumberFormat="1" applyFont="1" applyBorder="1" applyAlignment="1" applyProtection="1">
      <alignment horizontal="center"/>
      <protection/>
    </xf>
    <xf numFmtId="191" fontId="22" fillId="0" borderId="9" xfId="0" applyNumberFormat="1" applyFont="1" applyBorder="1" applyAlignment="1" applyProtection="1">
      <alignment horizontal="centerContinuous"/>
      <protection/>
    </xf>
    <xf numFmtId="0" fontId="50" fillId="19" borderId="14" xfId="0" applyFont="1" applyFill="1" applyBorder="1" applyAlignment="1">
      <alignment horizontal="center" vertical="center" wrapText="1"/>
    </xf>
    <xf numFmtId="0" fontId="99" fillId="3" borderId="8" xfId="0" applyFont="1" applyFill="1" applyBorder="1" applyAlignment="1" applyProtection="1">
      <alignment horizontal="centerContinuous" vertical="center" wrapText="1"/>
      <protection/>
    </xf>
    <xf numFmtId="0" fontId="100" fillId="3" borderId="15" xfId="0" applyFont="1" applyFill="1" applyBorder="1" applyAlignment="1">
      <alignment horizontal="centerContinuous"/>
    </xf>
    <xf numFmtId="0" fontId="99" fillId="3" borderId="9" xfId="0" applyFont="1" applyFill="1" applyBorder="1" applyAlignment="1">
      <alignment horizontal="centerContinuous" vertical="center"/>
    </xf>
    <xf numFmtId="0" fontId="44" fillId="20" borderId="8" xfId="0" applyFont="1" applyFill="1" applyBorder="1" applyAlignment="1">
      <alignment horizontal="centerContinuous" vertical="center" wrapText="1"/>
    </xf>
    <xf numFmtId="0" fontId="45" fillId="20" borderId="15" xfId="0" applyFont="1" applyFill="1" applyBorder="1" applyAlignment="1">
      <alignment horizontal="centerContinuous"/>
    </xf>
    <xf numFmtId="0" fontId="44" fillId="20" borderId="9" xfId="0" applyFont="1" applyFill="1" applyBorder="1" applyAlignment="1">
      <alignment horizontal="centerContinuous" vertical="center"/>
    </xf>
    <xf numFmtId="0" fontId="44" fillId="12" borderId="14" xfId="0" applyFont="1" applyFill="1" applyBorder="1" applyAlignment="1">
      <alignment horizontal="centerContinuous" vertical="center" wrapText="1"/>
    </xf>
    <xf numFmtId="0" fontId="44" fillId="21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72" fontId="22" fillId="0" borderId="4" xfId="0" applyNumberFormat="1" applyFont="1" applyBorder="1" applyAlignment="1" applyProtection="1">
      <alignment/>
      <protection/>
    </xf>
    <xf numFmtId="172" fontId="22" fillId="0" borderId="2" xfId="0" applyNumberFormat="1" applyFont="1" applyBorder="1" applyAlignment="1" applyProtection="1">
      <alignment horizontal="center"/>
      <protection/>
    </xf>
    <xf numFmtId="172" fontId="22" fillId="0" borderId="17" xfId="0" applyNumberFormat="1" applyFont="1" applyBorder="1" applyAlignment="1" applyProtection="1">
      <alignment horizontal="center"/>
      <protection/>
    </xf>
    <xf numFmtId="172" fontId="101" fillId="2" borderId="17" xfId="0" applyNumberFormat="1" applyFont="1" applyFill="1" applyBorder="1" applyAlignment="1" applyProtection="1">
      <alignment horizontal="center"/>
      <protection/>
    </xf>
    <xf numFmtId="0" fontId="102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46" fillId="5" borderId="17" xfId="0" applyFont="1" applyFill="1" applyBorder="1" applyAlignment="1">
      <alignment horizontal="center"/>
    </xf>
    <xf numFmtId="0" fontId="90" fillId="19" borderId="17" xfId="0" applyFont="1" applyFill="1" applyBorder="1" applyAlignment="1">
      <alignment horizontal="center"/>
    </xf>
    <xf numFmtId="176" fontId="103" fillId="3" borderId="28" xfId="0" applyNumberFormat="1" applyFont="1" applyFill="1" applyBorder="1" applyAlignment="1" applyProtection="1" quotePrefix="1">
      <alignment horizontal="center"/>
      <protection/>
    </xf>
    <xf numFmtId="176" fontId="103" fillId="3" borderId="72" xfId="0" applyNumberFormat="1" applyFont="1" applyFill="1" applyBorder="1" applyAlignment="1" applyProtection="1" quotePrefix="1">
      <alignment horizontal="center"/>
      <protection/>
    </xf>
    <xf numFmtId="4" fontId="103" fillId="3" borderId="73" xfId="0" applyNumberFormat="1" applyFont="1" applyFill="1" applyBorder="1" applyAlignment="1" applyProtection="1">
      <alignment horizontal="center"/>
      <protection/>
    </xf>
    <xf numFmtId="176" fontId="46" fillId="20" borderId="28" xfId="0" applyNumberFormat="1" applyFont="1" applyFill="1" applyBorder="1" applyAlignment="1" applyProtection="1" quotePrefix="1">
      <alignment horizontal="center"/>
      <protection/>
    </xf>
    <xf numFmtId="176" fontId="46" fillId="20" borderId="72" xfId="0" applyNumberFormat="1" applyFont="1" applyFill="1" applyBorder="1" applyAlignment="1" applyProtection="1" quotePrefix="1">
      <alignment horizontal="center"/>
      <protection/>
    </xf>
    <xf numFmtId="4" fontId="46" fillId="20" borderId="73" xfId="0" applyNumberFormat="1" applyFont="1" applyFill="1" applyBorder="1" applyAlignment="1" applyProtection="1">
      <alignment horizontal="center"/>
      <protection/>
    </xf>
    <xf numFmtId="4" fontId="46" fillId="12" borderId="17" xfId="0" applyNumberFormat="1" applyFont="1" applyFill="1" applyBorder="1" applyAlignment="1" applyProtection="1">
      <alignment horizontal="center"/>
      <protection/>
    </xf>
    <xf numFmtId="4" fontId="46" fillId="21" borderId="17" xfId="0" applyNumberFormat="1" applyFont="1" applyFill="1" applyBorder="1" applyAlignment="1" applyProtection="1">
      <alignment horizontal="center"/>
      <protection/>
    </xf>
    <xf numFmtId="0" fontId="7" fillId="0" borderId="73" xfId="0" applyFont="1" applyBorder="1" applyAlignment="1">
      <alignment horizontal="left"/>
    </xf>
    <xf numFmtId="0" fontId="10" fillId="0" borderId="73" xfId="0" applyFont="1" applyBorder="1" applyAlignment="1">
      <alignment horizontal="center"/>
    </xf>
    <xf numFmtId="173" fontId="7" fillId="0" borderId="2" xfId="0" applyNumberFormat="1" applyFont="1" applyBorder="1" applyAlignment="1" applyProtection="1">
      <alignment horizontal="center"/>
      <protection/>
    </xf>
    <xf numFmtId="172" fontId="7" fillId="0" borderId="2" xfId="0" applyNumberFormat="1" applyFont="1" applyBorder="1" applyAlignment="1" applyProtection="1">
      <alignment horizontal="center"/>
      <protection/>
    </xf>
    <xf numFmtId="0" fontId="101" fillId="2" borderId="2" xfId="0" applyFont="1" applyFill="1" applyBorder="1" applyAlignment="1" applyProtection="1">
      <alignment horizontal="center"/>
      <protection/>
    </xf>
    <xf numFmtId="176" fontId="102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81" fontId="7" fillId="0" borderId="4" xfId="0" applyNumberFormat="1" applyFont="1" applyBorder="1" applyAlignment="1" applyProtection="1" quotePrefix="1">
      <alignment horizontal="center"/>
      <protection/>
    </xf>
    <xf numFmtId="2" fontId="46" fillId="5" borderId="2" xfId="0" applyNumberFormat="1" applyFont="1" applyFill="1" applyBorder="1" applyAlignment="1" applyProtection="1">
      <alignment horizontal="center"/>
      <protection/>
    </xf>
    <xf numFmtId="2" fontId="90" fillId="19" borderId="2" xfId="0" applyNumberFormat="1" applyFont="1" applyFill="1" applyBorder="1" applyAlignment="1" applyProtection="1">
      <alignment horizontal="center"/>
      <protection/>
    </xf>
    <xf numFmtId="176" fontId="103" fillId="3" borderId="46" xfId="0" applyNumberFormat="1" applyFont="1" applyFill="1" applyBorder="1" applyAlignment="1" applyProtection="1" quotePrefix="1">
      <alignment horizontal="center"/>
      <protection/>
    </xf>
    <xf numFmtId="176" fontId="103" fillId="3" borderId="48" xfId="0" applyNumberFormat="1" applyFont="1" applyFill="1" applyBorder="1" applyAlignment="1" applyProtection="1" quotePrefix="1">
      <alignment horizontal="center"/>
      <protection/>
    </xf>
    <xf numFmtId="4" fontId="103" fillId="3" borderId="4" xfId="0" applyNumberFormat="1" applyFont="1" applyFill="1" applyBorder="1" applyAlignment="1" applyProtection="1">
      <alignment horizontal="center"/>
      <protection/>
    </xf>
    <xf numFmtId="176" fontId="46" fillId="20" borderId="46" xfId="0" applyNumberFormat="1" applyFont="1" applyFill="1" applyBorder="1" applyAlignment="1" applyProtection="1" quotePrefix="1">
      <alignment horizontal="center"/>
      <protection/>
    </xf>
    <xf numFmtId="176" fontId="46" fillId="20" borderId="48" xfId="0" applyNumberFormat="1" applyFont="1" applyFill="1" applyBorder="1" applyAlignment="1" applyProtection="1" quotePrefix="1">
      <alignment horizontal="center"/>
      <protection/>
    </xf>
    <xf numFmtId="4" fontId="46" fillId="20" borderId="4" xfId="0" applyNumberFormat="1" applyFont="1" applyFill="1" applyBorder="1" applyAlignment="1" applyProtection="1">
      <alignment horizontal="center"/>
      <protection/>
    </xf>
    <xf numFmtId="4" fontId="46" fillId="12" borderId="2" xfId="0" applyNumberFormat="1" applyFont="1" applyFill="1" applyBorder="1" applyAlignment="1" applyProtection="1">
      <alignment horizontal="center"/>
      <protection/>
    </xf>
    <xf numFmtId="4" fontId="46" fillId="21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72" fontId="104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73" fontId="22" fillId="0" borderId="3" xfId="0" applyNumberFormat="1" applyFont="1" applyBorder="1" applyAlignment="1" applyProtection="1">
      <alignment horizontal="center"/>
      <protection/>
    </xf>
    <xf numFmtId="173" fontId="101" fillId="2" borderId="3" xfId="0" applyNumberFormat="1" applyFont="1" applyFill="1" applyBorder="1" applyAlignment="1" applyProtection="1">
      <alignment horizontal="center"/>
      <protection/>
    </xf>
    <xf numFmtId="176" fontId="102" fillId="4" borderId="3" xfId="0" applyNumberFormat="1" applyFont="1" applyFill="1" applyBorder="1" applyAlignment="1" applyProtection="1">
      <alignment horizontal="center"/>
      <protection/>
    </xf>
    <xf numFmtId="176" fontId="22" fillId="0" borderId="3" xfId="0" applyNumberFormat="1" applyFont="1" applyBorder="1" applyAlignment="1" applyProtection="1">
      <alignment horizontal="center"/>
      <protection/>
    </xf>
    <xf numFmtId="181" fontId="7" fillId="0" borderId="3" xfId="0" applyNumberFormat="1" applyFont="1" applyBorder="1" applyAlignment="1" applyProtection="1" quotePrefix="1">
      <alignment horizontal="center"/>
      <protection/>
    </xf>
    <xf numFmtId="2" fontId="46" fillId="5" borderId="3" xfId="0" applyNumberFormat="1" applyFont="1" applyFill="1" applyBorder="1" applyAlignment="1" applyProtection="1">
      <alignment horizontal="center"/>
      <protection/>
    </xf>
    <xf numFmtId="2" fontId="90" fillId="19" borderId="3" xfId="0" applyNumberFormat="1" applyFont="1" applyFill="1" applyBorder="1" applyAlignment="1" applyProtection="1">
      <alignment horizontal="center"/>
      <protection/>
    </xf>
    <xf numFmtId="176" fontId="103" fillId="3" borderId="49" xfId="0" applyNumberFormat="1" applyFont="1" applyFill="1" applyBorder="1" applyAlignment="1" applyProtection="1" quotePrefix="1">
      <alignment horizontal="center"/>
      <protection/>
    </xf>
    <xf numFmtId="176" fontId="103" fillId="3" borderId="74" xfId="0" applyNumberFormat="1" applyFont="1" applyFill="1" applyBorder="1" applyAlignment="1" applyProtection="1" quotePrefix="1">
      <alignment horizontal="center"/>
      <protection/>
    </xf>
    <xf numFmtId="4" fontId="103" fillId="3" borderId="42" xfId="0" applyNumberFormat="1" applyFont="1" applyFill="1" applyBorder="1" applyAlignment="1" applyProtection="1">
      <alignment horizontal="center"/>
      <protection/>
    </xf>
    <xf numFmtId="176" fontId="46" fillId="20" borderId="49" xfId="0" applyNumberFormat="1" applyFont="1" applyFill="1" applyBorder="1" applyAlignment="1" applyProtection="1" quotePrefix="1">
      <alignment horizontal="center"/>
      <protection/>
    </xf>
    <xf numFmtId="176" fontId="46" fillId="20" borderId="74" xfId="0" applyNumberFormat="1" applyFont="1" applyFill="1" applyBorder="1" applyAlignment="1" applyProtection="1" quotePrefix="1">
      <alignment horizontal="center"/>
      <protection/>
    </xf>
    <xf numFmtId="4" fontId="46" fillId="20" borderId="42" xfId="0" applyNumberFormat="1" applyFont="1" applyFill="1" applyBorder="1" applyAlignment="1" applyProtection="1">
      <alignment horizontal="center"/>
      <protection/>
    </xf>
    <xf numFmtId="4" fontId="46" fillId="12" borderId="3" xfId="0" applyNumberFormat="1" applyFont="1" applyFill="1" applyBorder="1" applyAlignment="1" applyProtection="1">
      <alignment horizontal="center"/>
      <protection/>
    </xf>
    <xf numFmtId="4" fontId="46" fillId="21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76" fontId="28" fillId="0" borderId="3" xfId="0" applyNumberFormat="1" applyFont="1" applyFill="1" applyBorder="1" applyAlignment="1">
      <alignment horizontal="center"/>
    </xf>
    <xf numFmtId="172" fontId="104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181" fontId="22" fillId="0" borderId="0" xfId="0" applyNumberFormat="1" applyFont="1" applyBorder="1" applyAlignment="1" applyProtection="1" quotePrefix="1">
      <alignment horizontal="center"/>
      <protection/>
    </xf>
    <xf numFmtId="2" fontId="102" fillId="5" borderId="14" xfId="0" applyNumberFormat="1" applyFont="1" applyFill="1" applyBorder="1" applyAlignment="1" applyProtection="1">
      <alignment horizontal="center"/>
      <protection/>
    </xf>
    <xf numFmtId="2" fontId="87" fillId="19" borderId="14" xfId="0" applyNumberFormat="1" applyFont="1" applyFill="1" applyBorder="1" applyAlignment="1" applyProtection="1">
      <alignment horizontal="center"/>
      <protection/>
    </xf>
    <xf numFmtId="2" fontId="105" fillId="3" borderId="14" xfId="0" applyNumberFormat="1" applyFont="1" applyFill="1" applyBorder="1" applyAlignment="1" applyProtection="1">
      <alignment horizontal="center"/>
      <protection/>
    </xf>
    <xf numFmtId="2" fontId="102" fillId="20" borderId="14" xfId="0" applyNumberFormat="1" applyFont="1" applyFill="1" applyBorder="1" applyAlignment="1" applyProtection="1">
      <alignment horizontal="center"/>
      <protection/>
    </xf>
    <xf numFmtId="2" fontId="102" fillId="12" borderId="14" xfId="0" applyNumberFormat="1" applyFont="1" applyFill="1" applyBorder="1" applyAlignment="1" applyProtection="1">
      <alignment horizontal="center"/>
      <protection/>
    </xf>
    <xf numFmtId="2" fontId="102" fillId="21" borderId="14" xfId="0" applyNumberFormat="1" applyFont="1" applyFill="1" applyBorder="1" applyAlignment="1" applyProtection="1">
      <alignment horizontal="center"/>
      <protection/>
    </xf>
    <xf numFmtId="2" fontId="22" fillId="0" borderId="54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102" fillId="0" borderId="15" xfId="0" applyNumberFormat="1" applyFont="1" applyFill="1" applyBorder="1" applyAlignment="1" applyProtection="1">
      <alignment horizontal="center"/>
      <protection/>
    </xf>
    <xf numFmtId="2" fontId="87" fillId="0" borderId="15" xfId="0" applyNumberFormat="1" applyFont="1" applyFill="1" applyBorder="1" applyAlignment="1" applyProtection="1">
      <alignment horizontal="center"/>
      <protection/>
    </xf>
    <xf numFmtId="2" fontId="105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6" fillId="22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4" fillId="23" borderId="14" xfId="0" applyFont="1" applyFill="1" applyBorder="1" applyAlignment="1">
      <alignment horizontal="center" vertical="center" wrapText="1"/>
    </xf>
    <xf numFmtId="0" fontId="44" fillId="17" borderId="8" xfId="0" applyFont="1" applyFill="1" applyBorder="1" applyAlignment="1" applyProtection="1">
      <alignment horizontal="centerContinuous" vertical="center" wrapText="1"/>
      <protection/>
    </xf>
    <xf numFmtId="0" fontId="44" fillId="17" borderId="9" xfId="0" applyFont="1" applyFill="1" applyBorder="1" applyAlignment="1">
      <alignment horizontal="centerContinuous" vertical="center"/>
    </xf>
    <xf numFmtId="0" fontId="44" fillId="3" borderId="14" xfId="0" applyFont="1" applyFill="1" applyBorder="1" applyAlignment="1">
      <alignment horizontal="centerContinuous" vertical="center" wrapText="1"/>
    </xf>
    <xf numFmtId="0" fontId="44" fillId="22" borderId="75" xfId="0" applyFont="1" applyFill="1" applyBorder="1" applyAlignment="1">
      <alignment vertical="center" wrapText="1"/>
    </xf>
    <xf numFmtId="0" fontId="44" fillId="22" borderId="16" xfId="0" applyFont="1" applyFill="1" applyBorder="1" applyAlignment="1">
      <alignment vertical="center" wrapText="1"/>
    </xf>
    <xf numFmtId="0" fontId="44" fillId="22" borderId="54" xfId="0" applyFont="1" applyFill="1" applyBorder="1" applyAlignment="1">
      <alignment vertical="center" wrapText="1"/>
    </xf>
    <xf numFmtId="172" fontId="7" fillId="0" borderId="2" xfId="0" applyNumberFormat="1" applyFont="1" applyFill="1" applyBorder="1" applyAlignment="1" applyProtection="1">
      <alignment horizontal="center"/>
      <protection/>
    </xf>
    <xf numFmtId="0" fontId="106" fillId="2" borderId="2" xfId="0" applyFont="1" applyFill="1" applyBorder="1" applyAlignment="1">
      <alignment horizontal="center"/>
    </xf>
    <xf numFmtId="0" fontId="106" fillId="2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7" fillId="23" borderId="17" xfId="0" applyFont="1" applyFill="1" applyBorder="1" applyAlignment="1">
      <alignment horizontal="center"/>
    </xf>
    <xf numFmtId="0" fontId="47" fillId="17" borderId="28" xfId="0" applyFont="1" applyFill="1" applyBorder="1" applyAlignment="1">
      <alignment horizontal="center"/>
    </xf>
    <xf numFmtId="0" fontId="47" fillId="17" borderId="30" xfId="0" applyFont="1" applyFill="1" applyBorder="1" applyAlignment="1">
      <alignment horizontal="left"/>
    </xf>
    <xf numFmtId="0" fontId="47" fillId="3" borderId="17" xfId="0" applyFont="1" applyFill="1" applyBorder="1" applyAlignment="1">
      <alignment horizontal="left"/>
    </xf>
    <xf numFmtId="0" fontId="47" fillId="22" borderId="66" xfId="0" applyFont="1" applyFill="1" applyBorder="1" applyAlignment="1">
      <alignment horizontal="left"/>
    </xf>
    <xf numFmtId="0" fontId="47" fillId="22" borderId="0" xfId="0" applyFont="1" applyFill="1" applyBorder="1" applyAlignment="1">
      <alignment horizontal="left"/>
    </xf>
    <xf numFmtId="0" fontId="47" fillId="22" borderId="3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39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172" fontId="7" fillId="0" borderId="39" xfId="0" applyNumberFormat="1" applyFont="1" applyBorder="1" applyAlignment="1" applyProtection="1">
      <alignment horizontal="center"/>
      <protection/>
    </xf>
    <xf numFmtId="1" fontId="7" fillId="0" borderId="58" xfId="0" applyNumberFormat="1" applyFont="1" applyBorder="1" applyAlignment="1" applyProtection="1" quotePrefix="1">
      <alignment horizontal="center"/>
      <protection/>
    </xf>
    <xf numFmtId="176" fontId="106" fillId="2" borderId="2" xfId="0" applyNumberFormat="1" applyFont="1" applyFill="1" applyBorder="1" applyAlignment="1" applyProtection="1">
      <alignment horizontal="center"/>
      <protection/>
    </xf>
    <xf numFmtId="176" fontId="106" fillId="2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76" fontId="7" fillId="0" borderId="45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Continuous"/>
      <protection/>
    </xf>
    <xf numFmtId="172" fontId="37" fillId="2" borderId="2" xfId="0" applyNumberFormat="1" applyFont="1" applyFill="1" applyBorder="1" applyAlignment="1" applyProtection="1">
      <alignment horizontal="center"/>
      <protection/>
    </xf>
    <xf numFmtId="2" fontId="46" fillId="23" borderId="2" xfId="0" applyNumberFormat="1" applyFont="1" applyFill="1" applyBorder="1" applyAlignment="1">
      <alignment horizontal="center"/>
    </xf>
    <xf numFmtId="176" fontId="46" fillId="17" borderId="57" xfId="0" applyNumberFormat="1" applyFont="1" applyFill="1" applyBorder="1" applyAlignment="1" applyProtection="1" quotePrefix="1">
      <alignment horizontal="center"/>
      <protection/>
    </xf>
    <xf numFmtId="176" fontId="46" fillId="17" borderId="58" xfId="0" applyNumberFormat="1" applyFont="1" applyFill="1" applyBorder="1" applyAlignment="1" applyProtection="1" quotePrefix="1">
      <alignment horizontal="center"/>
      <protection/>
    </xf>
    <xf numFmtId="176" fontId="46" fillId="22" borderId="66" xfId="0" applyNumberFormat="1" applyFont="1" applyFill="1" applyBorder="1" applyAlignment="1" applyProtection="1" quotePrefix="1">
      <alignment horizontal="center"/>
      <protection/>
    </xf>
    <xf numFmtId="176" fontId="46" fillId="22" borderId="0" xfId="0" applyNumberFormat="1" applyFont="1" applyFill="1" applyBorder="1" applyAlignment="1" applyProtection="1" quotePrefix="1">
      <alignment horizontal="center"/>
      <protection/>
    </xf>
    <xf numFmtId="176" fontId="46" fillId="22" borderId="33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3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" fontId="7" fillId="0" borderId="60" xfId="0" applyNumberFormat="1" applyFont="1" applyBorder="1" applyAlignment="1" applyProtection="1" quotePrefix="1">
      <alignment horizontal="center"/>
      <protection/>
    </xf>
    <xf numFmtId="176" fontId="106" fillId="2" borderId="3" xfId="0" applyNumberFormat="1" applyFont="1" applyFill="1" applyBorder="1" applyAlignment="1" applyProtection="1">
      <alignment horizontal="center"/>
      <protection/>
    </xf>
    <xf numFmtId="176" fontId="106" fillId="2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76" fontId="7" fillId="0" borderId="3" xfId="0" applyNumberFormat="1" applyFont="1" applyFill="1" applyBorder="1" applyAlignment="1" applyProtection="1">
      <alignment horizontal="center"/>
      <protection/>
    </xf>
    <xf numFmtId="176" fontId="7" fillId="0" borderId="27" xfId="0" applyNumberFormat="1" applyFont="1" applyBorder="1" applyAlignment="1" applyProtection="1">
      <alignment horizontal="centerContinuous"/>
      <protection/>
    </xf>
    <xf numFmtId="176" fontId="7" fillId="0" borderId="42" xfId="0" applyNumberFormat="1" applyFont="1" applyBorder="1" applyAlignment="1" applyProtection="1">
      <alignment horizontal="centerContinuous"/>
      <protection/>
    </xf>
    <xf numFmtId="172" fontId="37" fillId="2" borderId="3" xfId="0" applyNumberFormat="1" applyFont="1" applyFill="1" applyBorder="1" applyAlignment="1" applyProtection="1">
      <alignment horizontal="center"/>
      <protection/>
    </xf>
    <xf numFmtId="2" fontId="47" fillId="23" borderId="3" xfId="0" applyNumberFormat="1" applyFont="1" applyFill="1" applyBorder="1" applyAlignment="1">
      <alignment horizontal="center"/>
    </xf>
    <xf numFmtId="176" fontId="47" fillId="17" borderId="59" xfId="0" applyNumberFormat="1" applyFont="1" applyFill="1" applyBorder="1" applyAlignment="1" applyProtection="1" quotePrefix="1">
      <alignment horizontal="center"/>
      <protection/>
    </xf>
    <xf numFmtId="176" fontId="47" fillId="17" borderId="60" xfId="0" applyNumberFormat="1" applyFont="1" applyFill="1" applyBorder="1" applyAlignment="1" applyProtection="1" quotePrefix="1">
      <alignment horizontal="center"/>
      <protection/>
    </xf>
    <xf numFmtId="176" fontId="47" fillId="3" borderId="3" xfId="0" applyNumberFormat="1" applyFont="1" applyFill="1" applyBorder="1" applyAlignment="1" applyProtection="1" quotePrefix="1">
      <alignment horizontal="center"/>
      <protection/>
    </xf>
    <xf numFmtId="176" fontId="47" fillId="22" borderId="27" xfId="0" applyNumberFormat="1" applyFont="1" applyFill="1" applyBorder="1" applyAlignment="1" applyProtection="1" quotePrefix="1">
      <alignment horizontal="center"/>
      <protection/>
    </xf>
    <xf numFmtId="176" fontId="47" fillId="22" borderId="23" xfId="0" applyNumberFormat="1" applyFont="1" applyFill="1" applyBorder="1" applyAlignment="1" applyProtection="1" quotePrefix="1">
      <alignment horizontal="center"/>
      <protection/>
    </xf>
    <xf numFmtId="176" fontId="47" fillId="22" borderId="42" xfId="0" applyNumberFormat="1" applyFont="1" applyFill="1" applyBorder="1" applyAlignment="1" applyProtection="1" quotePrefix="1">
      <alignment horizontal="center"/>
      <protection/>
    </xf>
    <xf numFmtId="176" fontId="7" fillId="0" borderId="42" xfId="0" applyNumberFormat="1" applyFont="1" applyFill="1" applyBorder="1" applyAlignment="1">
      <alignment horizontal="center"/>
    </xf>
    <xf numFmtId="4" fontId="29" fillId="0" borderId="42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2" fontId="66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 applyProtection="1" quotePrefix="1">
      <alignment horizontal="centerContinuous"/>
      <protection/>
    </xf>
    <xf numFmtId="176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7" fillId="0" borderId="0" xfId="0" applyNumberFormat="1" applyFont="1" applyBorder="1" applyAlignment="1" applyProtection="1">
      <alignment horizontal="left"/>
      <protection/>
    </xf>
    <xf numFmtId="176" fontId="57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73" fontId="57" fillId="0" borderId="0" xfId="0" applyNumberFormat="1" applyFont="1" applyBorder="1" applyAlignment="1" applyProtection="1">
      <alignment horizontal="center"/>
      <protection/>
    </xf>
    <xf numFmtId="181" fontId="57" fillId="0" borderId="0" xfId="0" applyNumberFormat="1" applyFont="1" applyBorder="1" applyAlignment="1" applyProtection="1" quotePrefix="1">
      <alignment horizontal="center"/>
      <protection/>
    </xf>
    <xf numFmtId="0" fontId="57" fillId="0" borderId="0" xfId="0" applyFont="1" applyAlignment="1">
      <alignment/>
    </xf>
    <xf numFmtId="2" fontId="57" fillId="0" borderId="0" xfId="0" applyNumberFormat="1" applyFont="1" applyBorder="1" applyAlignment="1" applyProtection="1">
      <alignment horizontal="center"/>
      <protection/>
    </xf>
    <xf numFmtId="176" fontId="57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7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81" fontId="13" fillId="0" borderId="0" xfId="0" applyNumberFormat="1" applyFont="1" applyBorder="1" applyAlignment="1" applyProtection="1">
      <alignment horizontal="left"/>
      <protection/>
    </xf>
    <xf numFmtId="176" fontId="13" fillId="0" borderId="0" xfId="0" applyNumberFormat="1" applyFont="1" applyBorder="1" applyAlignment="1" applyProtection="1">
      <alignment horizontal="left"/>
      <protection/>
    </xf>
    <xf numFmtId="2" fontId="108" fillId="0" borderId="0" xfId="0" applyNumberFormat="1" applyFont="1" applyBorder="1" applyAlignment="1" applyProtection="1">
      <alignment horizontal="center"/>
      <protection/>
    </xf>
    <xf numFmtId="176" fontId="104" fillId="0" borderId="0" xfId="0" applyNumberFormat="1" applyFont="1" applyBorder="1" applyAlignment="1" applyProtection="1" quotePrefix="1">
      <alignment horizontal="center"/>
      <protection/>
    </xf>
    <xf numFmtId="4" fontId="104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91" fontId="22" fillId="0" borderId="0" xfId="0" applyNumberFormat="1" applyFont="1" applyBorder="1" applyAlignment="1" applyProtection="1">
      <alignment horizontal="centerContinuous"/>
      <protection/>
    </xf>
    <xf numFmtId="191" fontId="57" fillId="0" borderId="0" xfId="0" applyNumberFormat="1" applyFont="1" applyBorder="1" applyAlignment="1" applyProtection="1">
      <alignment horizontal="centerContinuous"/>
      <protection/>
    </xf>
    <xf numFmtId="176" fontId="57" fillId="0" borderId="0" xfId="0" applyNumberFormat="1" applyFont="1" applyBorder="1" applyAlignment="1" applyProtection="1" quotePrefix="1">
      <alignment horizontal="left"/>
      <protection/>
    </xf>
    <xf numFmtId="176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57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67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9" fillId="0" borderId="9" xfId="0" applyNumberFormat="1" applyFont="1" applyFill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81" fontId="23" fillId="0" borderId="0" xfId="0" applyNumberFormat="1" applyFont="1" applyBorder="1" applyAlignment="1" applyProtection="1" quotePrefix="1">
      <alignment horizontal="center" vertical="center"/>
      <protection/>
    </xf>
    <xf numFmtId="2" fontId="110" fillId="0" borderId="0" xfId="0" applyNumberFormat="1" applyFont="1" applyBorder="1" applyAlignment="1" applyProtection="1">
      <alignment horizontal="center" vertical="center"/>
      <protection/>
    </xf>
    <xf numFmtId="176" fontId="111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91" fontId="22" fillId="0" borderId="0" xfId="0" applyNumberFormat="1" applyFont="1" applyBorder="1" applyAlignment="1">
      <alignment/>
    </xf>
    <xf numFmtId="4" fontId="57" fillId="0" borderId="0" xfId="0" applyNumberFormat="1" applyFont="1" applyBorder="1" applyAlignment="1" applyProtection="1">
      <alignment horizontal="center"/>
      <protection/>
    </xf>
    <xf numFmtId="7" fontId="57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7" fillId="0" borderId="64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 vertical="top"/>
    </xf>
    <xf numFmtId="1" fontId="0" fillId="0" borderId="77" xfId="0" applyNumberFormat="1" applyBorder="1" applyAlignment="1">
      <alignment horizontal="center"/>
    </xf>
    <xf numFmtId="0" fontId="10" fillId="0" borderId="78" xfId="0" applyFont="1" applyBorder="1" applyAlignment="1">
      <alignment horizontal="centerContinuous"/>
    </xf>
    <xf numFmtId="0" fontId="10" fillId="0" borderId="79" xfId="0" applyFont="1" applyBorder="1" applyAlignment="1">
      <alignment horizontal="centerContinuous"/>
    </xf>
    <xf numFmtId="182" fontId="10" fillId="0" borderId="80" xfId="0" applyNumberFormat="1" applyFont="1" applyBorder="1" applyAlignment="1">
      <alignment horizontal="center"/>
    </xf>
    <xf numFmtId="1" fontId="10" fillId="0" borderId="80" xfId="0" applyNumberFormat="1" applyFont="1" applyBorder="1" applyAlignment="1">
      <alignment horizontal="center"/>
    </xf>
    <xf numFmtId="0" fontId="10" fillId="0" borderId="81" xfId="0" applyFont="1" applyBorder="1" applyAlignment="1">
      <alignment horizontal="centerContinuous"/>
    </xf>
    <xf numFmtId="0" fontId="10" fillId="0" borderId="82" xfId="0" applyFont="1" applyBorder="1" applyAlignment="1">
      <alignment horizontal="centerContinuous"/>
    </xf>
    <xf numFmtId="182" fontId="10" fillId="0" borderId="83" xfId="0" applyNumberFormat="1" applyFont="1" applyBorder="1" applyAlignment="1">
      <alignment horizontal="center"/>
    </xf>
    <xf numFmtId="1" fontId="10" fillId="0" borderId="83" xfId="0" applyNumberFormat="1" applyFont="1" applyBorder="1" applyAlignment="1">
      <alignment horizontal="center"/>
    </xf>
    <xf numFmtId="0" fontId="10" fillId="0" borderId="84" xfId="0" applyFont="1" applyBorder="1" applyAlignment="1">
      <alignment horizontal="centerContinuous"/>
    </xf>
    <xf numFmtId="0" fontId="10" fillId="0" borderId="85" xfId="0" applyFont="1" applyBorder="1" applyAlignment="1">
      <alignment horizontal="centerContinuous"/>
    </xf>
    <xf numFmtId="182" fontId="10" fillId="0" borderId="86" xfId="0" applyNumberFormat="1" applyFont="1" applyFill="1" applyBorder="1" applyAlignment="1">
      <alignment horizontal="center"/>
    </xf>
    <xf numFmtId="1" fontId="10" fillId="0" borderId="86" xfId="0" applyNumberFormat="1" applyFont="1" applyFill="1" applyBorder="1" applyAlignment="1">
      <alignment horizontal="center"/>
    </xf>
    <xf numFmtId="191" fontId="13" fillId="0" borderId="9" xfId="0" applyNumberFormat="1" applyFont="1" applyBorder="1" applyAlignment="1" applyProtection="1">
      <alignment horizontal="centerContinuous"/>
      <protection/>
    </xf>
    <xf numFmtId="2" fontId="102" fillId="0" borderId="23" xfId="0" applyNumberFormat="1" applyFont="1" applyFill="1" applyBorder="1" applyAlignment="1" applyProtection="1">
      <alignment horizontal="center"/>
      <protection/>
    </xf>
    <xf numFmtId="2" fontId="87" fillId="0" borderId="23" xfId="0" applyNumberFormat="1" applyFont="1" applyFill="1" applyBorder="1" applyAlignment="1" applyProtection="1">
      <alignment horizontal="center"/>
      <protection/>
    </xf>
    <xf numFmtId="2" fontId="105" fillId="0" borderId="23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0" fontId="12" fillId="0" borderId="73" xfId="0" applyFont="1" applyBorder="1" applyAlignment="1" applyProtection="1">
      <alignment horizontal="center"/>
      <protection/>
    </xf>
    <xf numFmtId="172" fontId="9" fillId="0" borderId="2" xfId="0" applyNumberFormat="1" applyFont="1" applyBorder="1" applyAlignment="1" applyProtection="1" quotePrefix="1">
      <alignment horizontal="center"/>
      <protection/>
    </xf>
    <xf numFmtId="22" fontId="7" fillId="0" borderId="46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72" fontId="47" fillId="4" borderId="2" xfId="0" applyNumberFormat="1" applyFont="1" applyFill="1" applyBorder="1" applyAlignment="1" applyProtection="1">
      <alignment horizontal="center"/>
      <protection/>
    </xf>
    <xf numFmtId="2" fontId="86" fillId="14" borderId="2" xfId="0" applyNumberFormat="1" applyFont="1" applyFill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2" fillId="0" borderId="87" xfId="0" applyFont="1" applyBorder="1" applyAlignment="1" applyProtection="1">
      <alignment horizontal="center"/>
      <protection/>
    </xf>
    <xf numFmtId="172" fontId="9" fillId="0" borderId="43" xfId="0" applyNumberFormat="1" applyFont="1" applyBorder="1" applyAlignment="1" applyProtection="1" quotePrefix="1">
      <alignment horizontal="center"/>
      <protection/>
    </xf>
    <xf numFmtId="176" fontId="37" fillId="2" borderId="43" xfId="0" applyNumberFormat="1" applyFont="1" applyFill="1" applyBorder="1" applyAlignment="1" applyProtection="1">
      <alignment horizontal="center"/>
      <protection/>
    </xf>
    <xf numFmtId="22" fontId="7" fillId="0" borderId="59" xfId="0" applyNumberFormat="1" applyFont="1" applyBorder="1" applyAlignment="1">
      <alignment horizontal="center"/>
    </xf>
    <xf numFmtId="22" fontId="7" fillId="0" borderId="43" xfId="0" applyNumberFormat="1" applyFont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 quotePrefix="1">
      <alignment horizontal="center"/>
      <protection/>
    </xf>
    <xf numFmtId="172" fontId="7" fillId="0" borderId="43" xfId="0" applyNumberFormat="1" applyFont="1" applyFill="1" applyBorder="1" applyAlignment="1" applyProtection="1" quotePrefix="1">
      <alignment horizontal="center"/>
      <protection/>
    </xf>
    <xf numFmtId="176" fontId="7" fillId="0" borderId="88" xfId="0" applyNumberFormat="1" applyFont="1" applyBorder="1" applyAlignment="1" applyProtection="1">
      <alignment horizontal="center"/>
      <protection/>
    </xf>
    <xf numFmtId="176" fontId="7" fillId="0" borderId="87" xfId="0" applyNumberFormat="1" applyFont="1" applyBorder="1" applyAlignment="1" applyProtection="1">
      <alignment horizontal="center"/>
      <protection/>
    </xf>
    <xf numFmtId="172" fontId="47" fillId="4" borderId="43" xfId="0" applyNumberFormat="1" applyFont="1" applyFill="1" applyBorder="1" applyAlignment="1" applyProtection="1">
      <alignment horizontal="center"/>
      <protection/>
    </xf>
    <xf numFmtId="2" fontId="86" fillId="14" borderId="43" xfId="0" applyNumberFormat="1" applyFont="1" applyFill="1" applyBorder="1" applyAlignment="1">
      <alignment horizontal="center"/>
    </xf>
    <xf numFmtId="176" fontId="71" fillId="11" borderId="59" xfId="0" applyNumberFormat="1" applyFont="1" applyFill="1" applyBorder="1" applyAlignment="1" applyProtection="1" quotePrefix="1">
      <alignment horizontal="center"/>
      <protection/>
    </xf>
    <xf numFmtId="176" fontId="71" fillId="11" borderId="60" xfId="0" applyNumberFormat="1" applyFont="1" applyFill="1" applyBorder="1" applyAlignment="1" applyProtection="1" quotePrefix="1">
      <alignment horizontal="center"/>
      <protection/>
    </xf>
    <xf numFmtId="176" fontId="46" fillId="3" borderId="43" xfId="0" applyNumberFormat="1" applyFont="1" applyFill="1" applyBorder="1" applyAlignment="1" applyProtection="1" quotePrefix="1">
      <alignment horizontal="center"/>
      <protection/>
    </xf>
    <xf numFmtId="176" fontId="7" fillId="0" borderId="43" xfId="0" applyNumberFormat="1" applyFont="1" applyBorder="1" applyAlignment="1">
      <alignment horizontal="center"/>
    </xf>
    <xf numFmtId="4" fontId="29" fillId="0" borderId="43" xfId="0" applyNumberFormat="1" applyFont="1" applyFill="1" applyBorder="1" applyAlignment="1">
      <alignment horizontal="right"/>
    </xf>
    <xf numFmtId="172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72" fontId="10" fillId="0" borderId="0" xfId="0" applyNumberFormat="1" applyFont="1" applyBorder="1" applyAlignment="1" applyProtection="1">
      <alignment horizontal="center"/>
      <protection/>
    </xf>
    <xf numFmtId="172" fontId="27" fillId="0" borderId="14" xfId="0" applyNumberFormat="1" applyFont="1" applyBorder="1" applyAlignment="1" applyProtection="1">
      <alignment horizontal="center" vertical="center" wrapText="1"/>
      <protection/>
    </xf>
    <xf numFmtId="176" fontId="91" fillId="18" borderId="14" xfId="0" applyNumberFormat="1" applyFont="1" applyFill="1" applyBorder="1" applyAlignment="1" applyProtection="1">
      <alignment horizontal="center" vertical="center"/>
      <protection/>
    </xf>
    <xf numFmtId="0" fontId="63" fillId="4" borderId="14" xfId="0" applyFont="1" applyFill="1" applyBorder="1" applyAlignment="1" applyProtection="1">
      <alignment horizontal="center" vertical="center"/>
      <protection/>
    </xf>
    <xf numFmtId="0" fontId="69" fillId="11" borderId="14" xfId="0" applyFont="1" applyFill="1" applyBorder="1" applyAlignment="1">
      <alignment horizontal="center" vertical="center" wrapText="1"/>
    </xf>
    <xf numFmtId="0" fontId="51" fillId="24" borderId="8" xfId="0" applyFont="1" applyFill="1" applyBorder="1" applyAlignment="1">
      <alignment horizontal="centerContinuous" vertical="center" wrapText="1"/>
    </xf>
    <xf numFmtId="0" fontId="112" fillId="24" borderId="15" xfId="0" applyFont="1" applyFill="1" applyBorder="1" applyAlignment="1">
      <alignment horizontal="centerContinuous"/>
    </xf>
    <xf numFmtId="0" fontId="51" fillId="24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94" fillId="18" borderId="2" xfId="0" applyFont="1" applyFill="1" applyBorder="1" applyAlignment="1">
      <alignment/>
    </xf>
    <xf numFmtId="0" fontId="64" fillId="4" borderId="2" xfId="0" applyFont="1" applyFill="1" applyBorder="1" applyAlignment="1">
      <alignment/>
    </xf>
    <xf numFmtId="0" fontId="113" fillId="3" borderId="2" xfId="0" applyFont="1" applyFill="1" applyBorder="1" applyAlignment="1">
      <alignment/>
    </xf>
    <xf numFmtId="0" fontId="70" fillId="11" borderId="4" xfId="0" applyFont="1" applyFill="1" applyBorder="1" applyAlignment="1">
      <alignment/>
    </xf>
    <xf numFmtId="176" fontId="9" fillId="2" borderId="46" xfId="0" applyNumberFormat="1" applyFont="1" applyFill="1" applyBorder="1" applyAlignment="1" applyProtection="1" quotePrefix="1">
      <alignment horizontal="center"/>
      <protection/>
    </xf>
    <xf numFmtId="176" fontId="9" fillId="2" borderId="48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76" fontId="114" fillId="24" borderId="46" xfId="0" applyNumberFormat="1" applyFont="1" applyFill="1" applyBorder="1" applyAlignment="1" applyProtection="1" quotePrefix="1">
      <alignment horizontal="center"/>
      <protection/>
    </xf>
    <xf numFmtId="176" fontId="114" fillId="24" borderId="48" xfId="0" applyNumberFormat="1" applyFont="1" applyFill="1" applyBorder="1" applyAlignment="1" applyProtection="1" quotePrefix="1">
      <alignment horizontal="center"/>
      <protection/>
    </xf>
    <xf numFmtId="4" fontId="114" fillId="24" borderId="4" xfId="0" applyNumberFormat="1" applyFont="1" applyFill="1" applyBorder="1" applyAlignment="1" applyProtection="1">
      <alignment horizontal="center"/>
      <protection/>
    </xf>
    <xf numFmtId="0" fontId="94" fillId="18" borderId="2" xfId="0" applyFont="1" applyFill="1" applyBorder="1" applyAlignment="1" applyProtection="1">
      <alignment horizontal="center"/>
      <protection/>
    </xf>
    <xf numFmtId="182" fontId="64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47" xfId="0" applyNumberFormat="1" applyFont="1" applyFill="1" applyBorder="1" applyAlignment="1" applyProtection="1">
      <alignment horizontal="center"/>
      <protection locked="0"/>
    </xf>
    <xf numFmtId="2" fontId="49" fillId="3" borderId="2" xfId="0" applyNumberFormat="1" applyFont="1" applyFill="1" applyBorder="1" applyAlignment="1" applyProtection="1">
      <alignment horizontal="center"/>
      <protection locked="0"/>
    </xf>
    <xf numFmtId="2" fontId="71" fillId="11" borderId="4" xfId="0" applyNumberFormat="1" applyFont="1" applyFill="1" applyBorder="1" applyAlignment="1" applyProtection="1">
      <alignment horizontal="center"/>
      <protection locked="0"/>
    </xf>
    <xf numFmtId="176" fontId="52" fillId="24" borderId="46" xfId="0" applyNumberFormat="1" applyFont="1" applyFill="1" applyBorder="1" applyAlignment="1" applyProtection="1" quotePrefix="1">
      <alignment horizontal="center"/>
      <protection locked="0"/>
    </xf>
    <xf numFmtId="176" fontId="52" fillId="24" borderId="48" xfId="0" applyNumberFormat="1" applyFont="1" applyFill="1" applyBorder="1" applyAlignment="1" applyProtection="1" quotePrefix="1">
      <alignment horizontal="center"/>
      <protection locked="0"/>
    </xf>
    <xf numFmtId="4" fontId="52" fillId="24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7" applyFont="1" applyFill="1" applyBorder="1" applyAlignment="1" applyProtection="1">
      <alignment horizontal="center"/>
      <protection locked="0"/>
    </xf>
    <xf numFmtId="172" fontId="7" fillId="0" borderId="2" xfId="27" applyNumberFormat="1" applyFont="1" applyFill="1" applyBorder="1" applyAlignment="1" applyProtection="1">
      <alignment horizontal="center"/>
      <protection locked="0"/>
    </xf>
    <xf numFmtId="22" fontId="7" fillId="0" borderId="4" xfId="27" applyNumberFormat="1" applyFont="1" applyFill="1" applyBorder="1" applyAlignment="1" applyProtection="1">
      <alignment horizontal="center"/>
      <protection locked="0"/>
    </xf>
    <xf numFmtId="22" fontId="7" fillId="0" borderId="45" xfId="27" applyNumberFormat="1" applyFont="1" applyFill="1" applyBorder="1" applyAlignment="1" applyProtection="1">
      <alignment horizontal="center"/>
      <protection locked="0"/>
    </xf>
    <xf numFmtId="0" fontId="94" fillId="18" borderId="3" xfId="0" applyFont="1" applyFill="1" applyBorder="1" applyAlignment="1" applyProtection="1">
      <alignment horizontal="center"/>
      <protection/>
    </xf>
    <xf numFmtId="182" fontId="64" fillId="4" borderId="3" xfId="0" applyNumberFormat="1" applyFont="1" applyFill="1" applyBorder="1" applyAlignment="1" applyProtection="1">
      <alignment horizontal="center"/>
      <protection/>
    </xf>
    <xf numFmtId="2" fontId="113" fillId="3" borderId="3" xfId="0" applyNumberFormat="1" applyFont="1" applyFill="1" applyBorder="1" applyAlignment="1" applyProtection="1">
      <alignment horizontal="center"/>
      <protection locked="0"/>
    </xf>
    <xf numFmtId="2" fontId="71" fillId="11" borderId="3" xfId="0" applyNumberFormat="1" applyFont="1" applyFill="1" applyBorder="1" applyAlignment="1" applyProtection="1">
      <alignment horizontal="center"/>
      <protection locked="0"/>
    </xf>
    <xf numFmtId="176" fontId="52" fillId="24" borderId="49" xfId="0" applyNumberFormat="1" applyFont="1" applyFill="1" applyBorder="1" applyAlignment="1" applyProtection="1" quotePrefix="1">
      <alignment horizontal="center"/>
      <protection locked="0"/>
    </xf>
    <xf numFmtId="176" fontId="52" fillId="24" borderId="50" xfId="0" applyNumberFormat="1" applyFont="1" applyFill="1" applyBorder="1" applyAlignment="1" applyProtection="1" quotePrefix="1">
      <alignment horizontal="center"/>
      <protection locked="0"/>
    </xf>
    <xf numFmtId="4" fontId="52" fillId="24" borderId="51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9" fillId="3" borderId="14" xfId="0" applyNumberFormat="1" applyFont="1" applyFill="1" applyBorder="1" applyAlignment="1" applyProtection="1">
      <alignment horizontal="center"/>
      <protection/>
    </xf>
    <xf numFmtId="2" fontId="71" fillId="11" borderId="14" xfId="0" applyNumberFormat="1" applyFont="1" applyFill="1" applyBorder="1" applyAlignment="1" applyProtection="1">
      <alignment horizontal="center"/>
      <protection/>
    </xf>
    <xf numFmtId="2" fontId="38" fillId="2" borderId="14" xfId="0" applyNumberFormat="1" applyFont="1" applyFill="1" applyBorder="1" applyAlignment="1" applyProtection="1">
      <alignment horizontal="center"/>
      <protection/>
    </xf>
    <xf numFmtId="2" fontId="52" fillId="24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90" fontId="22" fillId="0" borderId="5" xfId="0" applyNumberFormat="1" applyFont="1" applyBorder="1" applyAlignment="1">
      <alignment/>
    </xf>
    <xf numFmtId="190" fontId="24" fillId="0" borderId="0" xfId="0" applyNumberFormat="1" applyFont="1" applyBorder="1" applyAlignment="1">
      <alignment horizontal="centerContinuous"/>
    </xf>
    <xf numFmtId="19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24" applyFont="1" applyFill="1" applyAlignment="1">
      <alignment/>
      <protection/>
    </xf>
    <xf numFmtId="0" fontId="0" fillId="0" borderId="82" xfId="0" applyFont="1" applyBorder="1" applyAlignment="1">
      <alignment/>
    </xf>
    <xf numFmtId="0" fontId="0" fillId="2" borderId="8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4" fillId="0" borderId="17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113" fillId="0" borderId="17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4" fillId="0" borderId="28" xfId="0" applyFont="1" applyFill="1" applyBorder="1" applyAlignment="1">
      <alignment/>
    </xf>
    <xf numFmtId="0" fontId="114" fillId="0" borderId="29" xfId="0" applyFont="1" applyFill="1" applyBorder="1" applyAlignment="1">
      <alignment/>
    </xf>
    <xf numFmtId="0" fontId="114" fillId="0" borderId="30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0" fillId="0" borderId="82" xfId="0" applyFont="1" applyBorder="1" applyAlignment="1" quotePrefix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0" fontId="40" fillId="0" borderId="82" xfId="0" applyFont="1" applyBorder="1" applyAlignment="1">
      <alignment/>
    </xf>
    <xf numFmtId="0" fontId="40" fillId="0" borderId="82" xfId="0" applyFont="1" applyFill="1" applyBorder="1" applyAlignment="1">
      <alignment/>
    </xf>
    <xf numFmtId="0" fontId="40" fillId="0" borderId="89" xfId="0" applyFont="1" applyBorder="1" applyAlignment="1">
      <alignment/>
    </xf>
    <xf numFmtId="178" fontId="7" fillId="0" borderId="3" xfId="0" applyNumberFormat="1" applyFont="1" applyBorder="1" applyAlignment="1" applyProtection="1">
      <alignment horizontal="center"/>
      <protection locked="0"/>
    </xf>
    <xf numFmtId="182" fontId="4" fillId="0" borderId="8" xfId="0" applyNumberFormat="1" applyFont="1" applyBorder="1" applyAlignment="1">
      <alignment horizontal="centerContinuous"/>
    </xf>
    <xf numFmtId="178" fontId="7" fillId="0" borderId="17" xfId="0" applyNumberFormat="1" applyFont="1" applyFill="1" applyBorder="1" applyAlignment="1">
      <alignment/>
    </xf>
    <xf numFmtId="178" fontId="7" fillId="0" borderId="2" xfId="0" applyNumberFormat="1" applyFont="1" applyBorder="1" applyAlignment="1">
      <alignment/>
    </xf>
    <xf numFmtId="178" fontId="7" fillId="0" borderId="2" xfId="0" applyNumberFormat="1" applyFont="1" applyFill="1" applyBorder="1" applyAlignment="1" applyProtection="1">
      <alignment horizontal="center"/>
      <protection locked="0"/>
    </xf>
    <xf numFmtId="178" fontId="7" fillId="0" borderId="2" xfId="27" applyNumberFormat="1" applyFont="1" applyFill="1" applyBorder="1" applyAlignment="1" applyProtection="1">
      <alignment horizontal="center"/>
      <protection locked="0"/>
    </xf>
    <xf numFmtId="178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2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/>
    </xf>
    <xf numFmtId="0" fontId="0" fillId="2" borderId="82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172" fontId="0" fillId="0" borderId="14" xfId="0" applyNumberFormat="1" applyFont="1" applyFill="1" applyBorder="1" applyAlignment="1" applyProtection="1">
      <alignment horizontal="center"/>
      <protection/>
    </xf>
    <xf numFmtId="182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 applyProtection="1">
      <alignment horizontal="center"/>
      <protection/>
    </xf>
    <xf numFmtId="0" fontId="115" fillId="0" borderId="82" xfId="0" applyFont="1" applyBorder="1" applyAlignment="1">
      <alignment/>
    </xf>
    <xf numFmtId="0" fontId="115" fillId="0" borderId="89" xfId="0" applyFont="1" applyBorder="1" applyAlignment="1">
      <alignment/>
    </xf>
    <xf numFmtId="0" fontId="116" fillId="0" borderId="82" xfId="0" applyFont="1" applyBorder="1" applyAlignment="1">
      <alignment/>
    </xf>
    <xf numFmtId="0" fontId="116" fillId="0" borderId="89" xfId="0" applyFont="1" applyBorder="1" applyAlignment="1">
      <alignment/>
    </xf>
    <xf numFmtId="0" fontId="117" fillId="0" borderId="82" xfId="0" applyFont="1" applyBorder="1" applyAlignment="1">
      <alignment/>
    </xf>
    <xf numFmtId="0" fontId="117" fillId="0" borderId="82" xfId="0" applyFont="1" applyFill="1" applyBorder="1" applyAlignment="1">
      <alignment/>
    </xf>
    <xf numFmtId="0" fontId="116" fillId="0" borderId="82" xfId="0" applyFont="1" applyFill="1" applyBorder="1" applyAlignment="1">
      <alignment/>
    </xf>
    <xf numFmtId="0" fontId="81" fillId="0" borderId="0" xfId="0" applyFont="1" applyBorder="1" applyAlignment="1">
      <alignment/>
    </xf>
    <xf numFmtId="0" fontId="118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76" fontId="9" fillId="0" borderId="16" xfId="0" applyNumberFormat="1" applyFont="1" applyFill="1" applyBorder="1" applyAlignment="1" applyProtection="1" quotePrefix="1">
      <alignment horizontal="center"/>
      <protection/>
    </xf>
    <xf numFmtId="176" fontId="7" fillId="0" borderId="16" xfId="0" applyNumberFormat="1" applyFont="1" applyFill="1" applyBorder="1" applyAlignment="1">
      <alignment horizontal="center"/>
    </xf>
    <xf numFmtId="0" fontId="44" fillId="26" borderId="14" xfId="0" applyFont="1" applyFill="1" applyBorder="1" applyAlignment="1">
      <alignment vertical="center" wrapText="1"/>
    </xf>
    <xf numFmtId="0" fontId="47" fillId="26" borderId="17" xfId="0" applyFont="1" applyFill="1" applyBorder="1" applyAlignment="1">
      <alignment horizontal="left"/>
    </xf>
    <xf numFmtId="2" fontId="46" fillId="26" borderId="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72" fontId="7" fillId="0" borderId="16" xfId="0" applyNumberFormat="1" applyFont="1" applyFill="1" applyBorder="1" applyAlignment="1" applyProtection="1">
      <alignment horizontal="center"/>
      <protection/>
    </xf>
    <xf numFmtId="2" fontId="66" fillId="0" borderId="16" xfId="0" applyNumberFormat="1" applyFont="1" applyFill="1" applyBorder="1" applyAlignment="1">
      <alignment horizontal="center"/>
    </xf>
    <xf numFmtId="176" fontId="22" fillId="0" borderId="23" xfId="0" applyNumberFormat="1" applyFont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46" fillId="26" borderId="43" xfId="0" applyNumberFormat="1" applyFont="1" applyFill="1" applyBorder="1" applyAlignment="1">
      <alignment horizontal="center"/>
    </xf>
    <xf numFmtId="0" fontId="119" fillId="0" borderId="0" xfId="24" applyFont="1" applyFill="1" applyAlignment="1">
      <alignment/>
      <protection/>
    </xf>
    <xf numFmtId="0" fontId="32" fillId="0" borderId="0" xfId="0" applyFont="1" applyBorder="1" applyAlignment="1">
      <alignment horizontal="center"/>
    </xf>
    <xf numFmtId="176" fontId="86" fillId="14" borderId="58" xfId="0" applyNumberFormat="1" applyFont="1" applyFill="1" applyBorder="1" applyAlignment="1" applyProtection="1">
      <alignment horizontal="center"/>
      <protection/>
    </xf>
    <xf numFmtId="0" fontId="120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93" fillId="0" borderId="0" xfId="0" applyFont="1" applyAlignment="1">
      <alignment/>
    </xf>
    <xf numFmtId="0" fontId="121" fillId="0" borderId="0" xfId="0" applyFont="1" applyAlignment="1">
      <alignment horizontal="centerContinuous"/>
    </xf>
    <xf numFmtId="0" fontId="93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2" fillId="0" borderId="7" xfId="0" applyFont="1" applyBorder="1" applyAlignment="1">
      <alignment vertical="center"/>
    </xf>
    <xf numFmtId="0" fontId="122" fillId="0" borderId="45" xfId="0" applyFont="1" applyBorder="1" applyAlignment="1">
      <alignment vertical="center"/>
    </xf>
    <xf numFmtId="0" fontId="122" fillId="0" borderId="2" xfId="0" applyFont="1" applyBorder="1" applyAlignment="1">
      <alignment vertical="center"/>
    </xf>
    <xf numFmtId="0" fontId="122" fillId="27" borderId="2" xfId="0" applyFont="1" applyFill="1" applyBorder="1" applyAlignment="1">
      <alignment vertical="center"/>
    </xf>
    <xf numFmtId="0" fontId="122" fillId="0" borderId="31" xfId="0" applyFont="1" applyBorder="1" applyAlignment="1">
      <alignment vertical="center"/>
    </xf>
    <xf numFmtId="0" fontId="122" fillId="0" borderId="1" xfId="0" applyFont="1" applyBorder="1" applyAlignment="1">
      <alignment vertical="center"/>
    </xf>
    <xf numFmtId="0" fontId="122" fillId="1" borderId="46" xfId="0" applyFont="1" applyFill="1" applyBorder="1" applyAlignment="1">
      <alignment horizontal="center" vertical="center"/>
    </xf>
    <xf numFmtId="0" fontId="122" fillId="1" borderId="2" xfId="0" applyFont="1" applyFill="1" applyBorder="1" applyAlignment="1">
      <alignment horizontal="center" vertical="center"/>
    </xf>
    <xf numFmtId="0" fontId="122" fillId="27" borderId="39" xfId="0" applyFont="1" applyFill="1" applyBorder="1" applyAlignment="1">
      <alignment horizontal="center" vertical="center"/>
    </xf>
    <xf numFmtId="0" fontId="122" fillId="0" borderId="32" xfId="0" applyFont="1" applyBorder="1" applyAlignment="1">
      <alignment vertical="center"/>
    </xf>
    <xf numFmtId="0" fontId="122" fillId="0" borderId="57" xfId="0" applyFont="1" applyBorder="1" applyAlignment="1">
      <alignment horizontal="center" vertical="center"/>
    </xf>
    <xf numFmtId="0" fontId="122" fillId="0" borderId="39" xfId="0" applyFont="1" applyBorder="1" applyAlignment="1">
      <alignment horizontal="center" vertical="center"/>
    </xf>
    <xf numFmtId="0" fontId="122" fillId="1" borderId="57" xfId="0" applyFont="1" applyFill="1" applyBorder="1" applyAlignment="1">
      <alignment horizontal="center" vertical="center"/>
    </xf>
    <xf numFmtId="0" fontId="122" fillId="1" borderId="39" xfId="0" applyFont="1" applyFill="1" applyBorder="1" applyAlignment="1">
      <alignment horizontal="center" vertical="center"/>
    </xf>
    <xf numFmtId="0" fontId="122" fillId="0" borderId="59" xfId="0" applyFont="1" applyBorder="1" applyAlignment="1">
      <alignment horizontal="center" vertical="center"/>
    </xf>
    <xf numFmtId="0" fontId="122" fillId="0" borderId="43" xfId="0" applyFont="1" applyBorder="1" applyAlignment="1">
      <alignment horizontal="center" vertical="center"/>
    </xf>
    <xf numFmtId="0" fontId="122" fillId="27" borderId="43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right" vertical="center"/>
    </xf>
    <xf numFmtId="178" fontId="123" fillId="0" borderId="14" xfId="0" applyNumberFormat="1" applyFont="1" applyFill="1" applyBorder="1" applyAlignment="1">
      <alignment horizontal="center" vertical="center"/>
    </xf>
    <xf numFmtId="0" fontId="122" fillId="0" borderId="8" xfId="0" applyFont="1" applyFill="1" applyBorder="1" applyAlignment="1">
      <alignment horizontal="center" vertical="center"/>
    </xf>
    <xf numFmtId="0" fontId="122" fillId="0" borderId="15" xfId="0" applyFont="1" applyFill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2" fillId="0" borderId="0" xfId="0" applyFont="1" applyBorder="1" applyAlignment="1">
      <alignment horizontal="right" vertical="center"/>
    </xf>
    <xf numFmtId="0" fontId="123" fillId="0" borderId="0" xfId="0" applyFont="1" applyBorder="1" applyAlignment="1">
      <alignment horizontal="right" vertical="center"/>
    </xf>
    <xf numFmtId="0" fontId="122" fillId="0" borderId="14" xfId="0" applyFont="1" applyBorder="1" applyAlignment="1">
      <alignment horizontal="center" vertical="center"/>
    </xf>
    <xf numFmtId="2" fontId="123" fillId="27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4" fillId="27" borderId="77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173" fontId="7" fillId="0" borderId="2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2" fillId="0" borderId="7" xfId="0" applyFont="1" applyBorder="1" applyAlignment="1">
      <alignment/>
    </xf>
    <xf numFmtId="0" fontId="34" fillId="0" borderId="0" xfId="0" applyFont="1" applyBorder="1" applyAlignment="1" applyProtection="1">
      <alignment horizontal="left" vertical="top"/>
      <protection/>
    </xf>
    <xf numFmtId="172" fontId="74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>
      <alignment horizontal="center"/>
      <protection/>
    </xf>
    <xf numFmtId="176" fontId="32" fillId="0" borderId="0" xfId="0" applyNumberFormat="1" applyFont="1" applyBorder="1" applyAlignment="1" applyProtection="1">
      <alignment horizontal="center"/>
      <protection/>
    </xf>
    <xf numFmtId="181" fontId="32" fillId="0" borderId="0" xfId="0" applyNumberFormat="1" applyFont="1" applyBorder="1" applyAlignment="1" applyProtection="1" quotePrefix="1">
      <alignment horizontal="center"/>
      <protection/>
    </xf>
    <xf numFmtId="2" fontId="73" fillId="0" borderId="0" xfId="0" applyNumberFormat="1" applyFont="1" applyBorder="1" applyAlignment="1" applyProtection="1">
      <alignment horizontal="center"/>
      <protection/>
    </xf>
    <xf numFmtId="7" fontId="35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94" fillId="25" borderId="2" xfId="0" applyFont="1" applyFill="1" applyBorder="1" applyAlignment="1" applyProtection="1">
      <alignment horizontal="center"/>
      <protection/>
    </xf>
    <xf numFmtId="187" fontId="10" fillId="10" borderId="37" xfId="27" applyNumberFormat="1" applyFont="1" applyFill="1" applyBorder="1" applyAlignment="1" applyProtection="1">
      <alignment horizontal="center"/>
      <protection locked="0"/>
    </xf>
    <xf numFmtId="3" fontId="10" fillId="0" borderId="37" xfId="27" applyNumberFormat="1" applyFont="1" applyFill="1" applyBorder="1" applyAlignment="1">
      <alignment horizontal="center"/>
      <protection/>
    </xf>
    <xf numFmtId="4" fontId="10" fillId="10" borderId="36" xfId="27" applyNumberFormat="1" applyFont="1" applyFill="1" applyBorder="1" applyAlignment="1" applyProtection="1">
      <alignment horizontal="center"/>
      <protection locked="0"/>
    </xf>
    <xf numFmtId="4" fontId="10" fillId="0" borderId="37" xfId="27" applyNumberFormat="1" applyFont="1" applyFill="1" applyBorder="1" applyAlignment="1">
      <alignment horizontal="center"/>
      <protection/>
    </xf>
    <xf numFmtId="4" fontId="10" fillId="0" borderId="38" xfId="27" applyNumberFormat="1" applyFont="1" applyFill="1" applyBorder="1" applyAlignment="1">
      <alignment horizontal="center"/>
      <protection/>
    </xf>
    <xf numFmtId="4" fontId="10" fillId="0" borderId="36" xfId="27" applyNumberFormat="1" applyFont="1" applyFill="1" applyBorder="1" applyAlignment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6" fontId="10" fillId="0" borderId="0" xfId="19" applyFont="1" applyBorder="1" applyAlignment="1">
      <alignment horizontal="center"/>
    </xf>
    <xf numFmtId="172" fontId="10" fillId="0" borderId="0" xfId="0" applyNumberFormat="1" applyFont="1" applyBorder="1" applyAlignment="1" applyProtection="1">
      <alignment horizontal="left"/>
      <protection/>
    </xf>
    <xf numFmtId="0" fontId="118" fillId="0" borderId="0" xfId="0" applyFont="1" applyBorder="1" applyAlignment="1">
      <alignment horizontal="right"/>
    </xf>
    <xf numFmtId="176" fontId="118" fillId="0" borderId="0" xfId="0" applyNumberFormat="1" applyFont="1" applyBorder="1" applyAlignment="1" applyProtection="1">
      <alignment horizontal="center"/>
      <protection/>
    </xf>
    <xf numFmtId="176" fontId="118" fillId="0" borderId="0" xfId="0" applyNumberFormat="1" applyFont="1" applyBorder="1" applyAlignment="1" applyProtection="1">
      <alignment horizontal="left"/>
      <protection/>
    </xf>
    <xf numFmtId="176" fontId="49" fillId="16" borderId="46" xfId="0" applyNumberFormat="1" applyFont="1" applyFill="1" applyBorder="1" applyAlignment="1" applyProtection="1" quotePrefix="1">
      <alignment horizontal="center"/>
      <protection locked="0"/>
    </xf>
    <xf numFmtId="176" fontId="49" fillId="16" borderId="65" xfId="0" applyNumberFormat="1" applyFont="1" applyFill="1" applyBorder="1" applyAlignment="1" applyProtection="1" quotePrefix="1">
      <alignment horizontal="center"/>
      <protection locked="0"/>
    </xf>
    <xf numFmtId="176" fontId="52" fillId="11" borderId="2" xfId="0" applyNumberFormat="1" applyFont="1" applyFill="1" applyBorder="1" applyAlignment="1" applyProtection="1" quotePrefix="1">
      <alignment horizontal="center"/>
      <protection locked="0"/>
    </xf>
    <xf numFmtId="0" fontId="7" fillId="0" borderId="73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37" fillId="2" borderId="90" xfId="0" applyFont="1" applyFill="1" applyBorder="1" applyAlignment="1">
      <alignment horizontal="center"/>
    </xf>
    <xf numFmtId="0" fontId="90" fillId="12" borderId="17" xfId="0" applyFont="1" applyFill="1" applyBorder="1" applyAlignment="1">
      <alignment horizontal="center"/>
    </xf>
    <xf numFmtId="0" fontId="52" fillId="11" borderId="17" xfId="0" applyFont="1" applyFill="1" applyBorder="1" applyAlignment="1">
      <alignment horizontal="center"/>
    </xf>
    <xf numFmtId="7" fontId="29" fillId="0" borderId="17" xfId="0" applyNumberFormat="1" applyFont="1" applyFill="1" applyBorder="1" applyAlignment="1">
      <alignment horizontal="center"/>
    </xf>
    <xf numFmtId="0" fontId="7" fillId="0" borderId="0" xfId="27" applyFont="1" applyAlignment="1">
      <alignment vertical="center" wrapText="1"/>
      <protection/>
    </xf>
    <xf numFmtId="0" fontId="7" fillId="0" borderId="7" xfId="27" applyFont="1" applyBorder="1" applyAlignment="1">
      <alignment vertical="center" wrapText="1"/>
      <protection/>
    </xf>
    <xf numFmtId="0" fontId="7" fillId="0" borderId="0" xfId="27" applyFont="1" applyBorder="1" applyAlignment="1">
      <alignment vertical="center" wrapText="1"/>
      <protection/>
    </xf>
    <xf numFmtId="176" fontId="27" fillId="0" borderId="14" xfId="27" applyNumberFormat="1" applyFont="1" applyBorder="1" applyAlignment="1" applyProtection="1">
      <alignment horizontal="center" vertical="center" wrapText="1"/>
      <protection/>
    </xf>
    <xf numFmtId="176" fontId="91" fillId="18" borderId="14" xfId="27" applyNumberFormat="1" applyFont="1" applyFill="1" applyBorder="1" applyAlignment="1" applyProtection="1">
      <alignment horizontal="center" vertical="center" wrapText="1"/>
      <protection/>
    </xf>
    <xf numFmtId="0" fontId="63" fillId="4" borderId="14" xfId="27" applyFont="1" applyFill="1" applyBorder="1" applyAlignment="1" applyProtection="1">
      <alignment horizontal="center" vertical="center" wrapText="1"/>
      <protection/>
    </xf>
    <xf numFmtId="0" fontId="40" fillId="2" borderId="23" xfId="27" applyFont="1" applyFill="1" applyBorder="1" applyAlignment="1">
      <alignment horizontal="centerContinuous" vertical="center" wrapText="1"/>
      <protection/>
    </xf>
    <xf numFmtId="0" fontId="39" fillId="2" borderId="42" xfId="27" applyFont="1" applyFill="1" applyBorder="1" applyAlignment="1">
      <alignment horizontal="centerContinuous" vertical="center" wrapText="1"/>
      <protection/>
    </xf>
    <xf numFmtId="0" fontId="7" fillId="0" borderId="1" xfId="27" applyFont="1" applyFill="1" applyBorder="1" applyAlignment="1">
      <alignment horizontal="center" vertical="center" wrapText="1"/>
      <protection/>
    </xf>
    <xf numFmtId="0" fontId="16" fillId="0" borderId="0" xfId="23" applyFont="1" applyAlignment="1">
      <alignment horizontal="center"/>
      <protection/>
    </xf>
    <xf numFmtId="0" fontId="7" fillId="9" borderId="91" xfId="27" applyFont="1" applyFill="1" applyBorder="1" applyAlignment="1">
      <alignment horizontal="center" vertical="center" textRotation="90"/>
      <protection/>
    </xf>
    <xf numFmtId="0" fontId="7" fillId="9" borderId="32" xfId="27" applyFont="1" applyFill="1" applyBorder="1" applyAlignment="1">
      <alignment horizontal="center" vertical="center" textRotation="90"/>
      <protection/>
    </xf>
    <xf numFmtId="0" fontId="7" fillId="9" borderId="92" xfId="27" applyFont="1" applyFill="1" applyBorder="1" applyAlignment="1">
      <alignment horizontal="center" vertical="center" textRotation="90"/>
      <protection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3" fontId="7" fillId="0" borderId="67" xfId="0" applyNumberFormat="1" applyFont="1" applyBorder="1" applyAlignment="1" applyProtection="1">
      <alignment horizontal="center"/>
      <protection/>
    </xf>
    <xf numFmtId="173" fontId="7" fillId="0" borderId="40" xfId="0" applyNumberFormat="1" applyFont="1" applyBorder="1" applyAlignment="1" applyProtection="1">
      <alignment horizontal="center"/>
      <protection/>
    </xf>
    <xf numFmtId="172" fontId="7" fillId="0" borderId="87" xfId="0" applyNumberFormat="1" applyFont="1" applyBorder="1" applyAlignment="1" applyProtection="1">
      <alignment horizontal="center"/>
      <protection/>
    </xf>
    <xf numFmtId="172" fontId="7" fillId="0" borderId="88" xfId="0" applyNumberFormat="1" applyFont="1" applyBorder="1" applyAlignment="1" applyProtection="1">
      <alignment horizontal="center"/>
      <protection/>
    </xf>
    <xf numFmtId="172" fontId="7" fillId="0" borderId="67" xfId="0" applyNumberFormat="1" applyFont="1" applyBorder="1" applyAlignment="1" applyProtection="1">
      <alignment horizontal="center"/>
      <protection/>
    </xf>
    <xf numFmtId="172" fontId="7" fillId="0" borderId="40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71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12" fillId="0" borderId="67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67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7" fontId="10" fillId="0" borderId="64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2" fillId="0" borderId="87" xfId="0" applyFont="1" applyBorder="1" applyAlignment="1" applyProtection="1">
      <alignment horizontal="center"/>
      <protection/>
    </xf>
    <xf numFmtId="0" fontId="12" fillId="0" borderId="88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A0101 ANEXO I NEA" xfId="22"/>
    <cellStyle name="Normal_a0112NER Anexo I" xfId="23"/>
    <cellStyle name="Normal_Comahue" xfId="24"/>
    <cellStyle name="Normal_EDENOR9604" xfId="25"/>
    <cellStyle name="Normal_líneas" xfId="26"/>
    <cellStyle name="Normal_TRAN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1</xdr:row>
      <xdr:rowOff>0</xdr:rowOff>
    </xdr:from>
    <xdr:to>
      <xdr:col>1</xdr:col>
      <xdr:colOff>371475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1925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FT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FS24">
            <v>1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FS26">
            <v>2</v>
          </cell>
          <cell r="FX26">
            <v>2</v>
          </cell>
          <cell r="G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FX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FW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FR46" t="str">
            <v>XXXX</v>
          </cell>
          <cell r="FS46" t="str">
            <v>XXXX</v>
          </cell>
          <cell r="FT46" t="str">
            <v>XXXX</v>
          </cell>
          <cell r="FU46" t="str">
            <v>XXXX</v>
          </cell>
          <cell r="FV46" t="str">
            <v>XXXX</v>
          </cell>
          <cell r="FW46" t="str">
            <v>XXXX</v>
          </cell>
          <cell r="FX46" t="str">
            <v>XXXX</v>
          </cell>
          <cell r="FY46" t="str">
            <v>XXXX</v>
          </cell>
          <cell r="FZ46" t="str">
            <v>XXXX</v>
          </cell>
          <cell r="GA46" t="str">
            <v>XXXX</v>
          </cell>
          <cell r="GB46" t="str">
            <v>XXXX</v>
          </cell>
          <cell r="GC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FR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FY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FS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FR53">
            <v>1</v>
          </cell>
          <cell r="FY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FR54" t="str">
            <v>XXXX</v>
          </cell>
          <cell r="FS54" t="str">
            <v>XXXX</v>
          </cell>
          <cell r="FT54" t="str">
            <v>XXXX</v>
          </cell>
          <cell r="FU54" t="str">
            <v>XXXX</v>
          </cell>
          <cell r="FV54" t="str">
            <v>XXXX</v>
          </cell>
          <cell r="FW54" t="str">
            <v>XXXX</v>
          </cell>
          <cell r="FX54" t="str">
            <v>XXXX</v>
          </cell>
          <cell r="FY54" t="str">
            <v>XXXX</v>
          </cell>
          <cell r="FZ54" t="str">
            <v>XXXX</v>
          </cell>
          <cell r="GA54" t="str">
            <v>XXXX</v>
          </cell>
          <cell r="GB54" t="str">
            <v>XXXX</v>
          </cell>
          <cell r="GC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FR57" t="str">
            <v>XXXX</v>
          </cell>
          <cell r="FS57" t="str">
            <v>XXXX</v>
          </cell>
          <cell r="FT57" t="str">
            <v>XXXX</v>
          </cell>
          <cell r="FU57" t="str">
            <v>XXXX</v>
          </cell>
          <cell r="FV57" t="str">
            <v>XXXX</v>
          </cell>
          <cell r="FW57" t="str">
            <v>XXXX</v>
          </cell>
          <cell r="FX57" t="str">
            <v>XXXX</v>
          </cell>
          <cell r="FY57" t="str">
            <v>XXXX</v>
          </cell>
          <cell r="FZ57" t="str">
            <v>XXXX</v>
          </cell>
          <cell r="GA57" t="str">
            <v>XXXX</v>
          </cell>
          <cell r="GB57" t="str">
            <v>XXXX</v>
          </cell>
          <cell r="GC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FT61">
            <v>1</v>
          </cell>
          <cell r="FU61">
            <v>1</v>
          </cell>
          <cell r="FV61">
            <v>1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FT65">
            <v>1</v>
          </cell>
          <cell r="FV65">
            <v>1</v>
          </cell>
          <cell r="FX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FR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FX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FR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FX73">
            <v>2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  <cell r="FX74">
            <v>1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FR87" t="str">
            <v>XXXX</v>
          </cell>
          <cell r="FS87" t="str">
            <v>XXXX</v>
          </cell>
          <cell r="FT87" t="str">
            <v>XXXX</v>
          </cell>
          <cell r="FU87" t="str">
            <v>XXXX</v>
          </cell>
          <cell r="FV87" t="str">
            <v>XXXX</v>
          </cell>
          <cell r="FW87" t="str">
            <v>XXXX</v>
          </cell>
          <cell r="FX87" t="str">
            <v>XXXX</v>
          </cell>
          <cell r="FY87" t="str">
            <v>XXXX</v>
          </cell>
          <cell r="FZ87" t="str">
            <v>XXXX</v>
          </cell>
          <cell r="GA87" t="str">
            <v>XXXX</v>
          </cell>
          <cell r="GB87" t="str">
            <v>XXXX</v>
          </cell>
          <cell r="GC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FR100">
            <v>0.35</v>
          </cell>
          <cell r="FS100">
            <v>0.38</v>
          </cell>
          <cell r="FT100">
            <v>0.37</v>
          </cell>
          <cell r="FU100">
            <v>0.35</v>
          </cell>
          <cell r="FV100">
            <v>0.34</v>
          </cell>
          <cell r="FW100">
            <v>0.36</v>
          </cell>
          <cell r="FX100">
            <v>0.33</v>
          </cell>
          <cell r="FY100">
            <v>0.38</v>
          </cell>
          <cell r="FZ100">
            <v>0.36</v>
          </cell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8.0039062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1131"/>
      <c r="B1" s="19"/>
      <c r="E1" s="54"/>
      <c r="K1" s="146"/>
    </row>
    <row r="2" spans="2:10" s="18" customFormat="1" ht="26.25">
      <c r="B2" s="19" t="s">
        <v>446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89</v>
      </c>
      <c r="C7" s="370"/>
      <c r="D7" s="371"/>
      <c r="E7" s="371"/>
      <c r="F7" s="372"/>
      <c r="G7" s="372"/>
      <c r="H7" s="372"/>
      <c r="I7" s="372"/>
      <c r="J7" s="372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88</v>
      </c>
      <c r="C9" s="370"/>
      <c r="D9" s="371"/>
      <c r="E9" s="371"/>
      <c r="F9" s="371"/>
      <c r="G9" s="371"/>
      <c r="H9" s="371"/>
      <c r="I9" s="372"/>
      <c r="J9" s="372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442</v>
      </c>
      <c r="C11" s="373"/>
      <c r="D11" s="374"/>
      <c r="E11" s="374"/>
      <c r="F11" s="371"/>
      <c r="G11" s="371"/>
      <c r="H11" s="371"/>
      <c r="I11" s="372"/>
      <c r="J11" s="372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1104"/>
      <c r="C13" s="34"/>
      <c r="D13" s="34"/>
      <c r="E13" s="1105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321</v>
      </c>
      <c r="C14" s="38"/>
      <c r="D14" s="39"/>
      <c r="E14" s="1106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364"/>
      <c r="E15" s="368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364" t="s">
        <v>0</v>
      </c>
      <c r="E16" s="368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364">
        <v>11</v>
      </c>
      <c r="E17" s="365" t="s">
        <v>5</v>
      </c>
      <c r="F17" s="46"/>
      <c r="G17" s="46"/>
      <c r="H17" s="46"/>
      <c r="I17" s="49">
        <f>'LI-10 (1)'!AC40</f>
        <v>79502.59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364" t="s">
        <v>431</v>
      </c>
      <c r="E18" s="365" t="s">
        <v>432</v>
      </c>
      <c r="F18" s="46"/>
      <c r="G18" s="46"/>
      <c r="H18" s="46"/>
      <c r="I18" s="49">
        <f>+'Condición Climática 313-01'!AM26</f>
        <v>64928.04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364" t="s">
        <v>428</v>
      </c>
      <c r="E19" s="365" t="s">
        <v>429</v>
      </c>
      <c r="F19" s="46"/>
      <c r="G19" s="46"/>
      <c r="H19" s="46"/>
      <c r="I19" s="49">
        <f>+Incendio!AC28</f>
        <v>5781.41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ht="12.75" customHeight="1">
      <c r="B20" s="50"/>
      <c r="C20" s="51"/>
      <c r="D20" s="364"/>
      <c r="E20" s="1107"/>
      <c r="F20" s="52"/>
      <c r="G20" s="52"/>
      <c r="H20" s="52"/>
      <c r="I20" s="53"/>
      <c r="J20" s="6"/>
      <c r="K20" s="43"/>
      <c r="L20" s="4"/>
      <c r="M20" s="4"/>
      <c r="N20" s="4"/>
      <c r="O20" s="4"/>
      <c r="P20" s="4"/>
      <c r="Q20" s="4"/>
      <c r="R20" s="4"/>
      <c r="S20" s="4"/>
    </row>
    <row r="21" spans="2:19" s="36" customFormat="1" ht="19.5">
      <c r="B21" s="44"/>
      <c r="C21" s="48" t="s">
        <v>6</v>
      </c>
      <c r="D21" s="367" t="s">
        <v>7</v>
      </c>
      <c r="E21" s="368"/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364">
        <v>21</v>
      </c>
      <c r="E22" s="365" t="s">
        <v>8</v>
      </c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364"/>
      <c r="E23" s="366">
        <v>211</v>
      </c>
      <c r="F23" s="54" t="s">
        <v>5</v>
      </c>
      <c r="G23" s="46"/>
      <c r="H23" s="46"/>
      <c r="I23" s="49">
        <f>'TR-10 (2)'!AA43</f>
        <v>39511.34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364"/>
      <c r="E24" s="366" t="s">
        <v>443</v>
      </c>
      <c r="F24" s="367" t="s">
        <v>444</v>
      </c>
      <c r="G24" s="46"/>
      <c r="H24" s="46"/>
      <c r="I24" s="49">
        <f>+'T4CH - Nota SE N° 2492'!AA43</f>
        <v>712008</v>
      </c>
      <c r="J24" s="6" t="s">
        <v>125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364"/>
      <c r="E25" s="366">
        <v>213</v>
      </c>
      <c r="F25" s="54" t="s">
        <v>95</v>
      </c>
      <c r="G25" s="46"/>
      <c r="H25" s="46"/>
      <c r="I25" s="49">
        <f>'TR-TIBA-10 (1)'!AA41</f>
        <v>656.32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364"/>
      <c r="E26" s="366">
        <v>214</v>
      </c>
      <c r="F26" s="54" t="s">
        <v>91</v>
      </c>
      <c r="G26" s="46"/>
      <c r="H26" s="46"/>
      <c r="I26" s="49">
        <f>'TR-ENECOR-10 (1)'!AA41</f>
        <v>4356.26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364">
        <v>22</v>
      </c>
      <c r="E27" s="365" t="s">
        <v>9</v>
      </c>
      <c r="F27" s="46"/>
      <c r="G27" s="46"/>
      <c r="H27" s="46"/>
      <c r="I27" s="49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364"/>
      <c r="E28" s="366">
        <v>221</v>
      </c>
      <c r="F28" s="54" t="s">
        <v>5</v>
      </c>
      <c r="G28" s="46"/>
      <c r="H28" s="46"/>
      <c r="I28" s="49">
        <f>'SA-10 (2)'!T45</f>
        <v>109054.25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364"/>
      <c r="E29" s="366">
        <v>222</v>
      </c>
      <c r="F29" s="54" t="s">
        <v>95</v>
      </c>
      <c r="G29" s="46"/>
      <c r="H29" s="46"/>
      <c r="I29" s="49">
        <f>'SA-TIBA-10 (2)'!T43</f>
        <v>39251.74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s="36" customFormat="1" ht="19.5">
      <c r="B30" s="44"/>
      <c r="C30" s="48"/>
      <c r="D30" s="364"/>
      <c r="E30" s="366"/>
      <c r="F30" s="365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ht="12.75" customHeight="1">
      <c r="B31" s="50"/>
      <c r="C31" s="51"/>
      <c r="D31" s="364"/>
      <c r="E31" s="1107"/>
      <c r="F31" s="52"/>
      <c r="G31" s="52"/>
      <c r="H31" s="52"/>
      <c r="I31" s="53"/>
      <c r="J31" s="6"/>
      <c r="K31" s="43"/>
      <c r="L31" s="4"/>
      <c r="M31" s="4"/>
      <c r="N31" s="4"/>
      <c r="O31" s="4"/>
      <c r="P31" s="4"/>
      <c r="Q31" s="4"/>
      <c r="R31" s="4"/>
      <c r="S31" s="4"/>
    </row>
    <row r="32" spans="2:19" s="36" customFormat="1" ht="19.5">
      <c r="B32" s="44"/>
      <c r="C32" s="48" t="s">
        <v>10</v>
      </c>
      <c r="D32" s="367" t="s">
        <v>92</v>
      </c>
      <c r="E32" s="368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364">
        <v>31</v>
      </c>
      <c r="E33" s="365" t="s">
        <v>5</v>
      </c>
      <c r="F33" s="46"/>
      <c r="G33" s="46"/>
      <c r="H33" s="46"/>
      <c r="I33" s="49">
        <f>+'RE-10 (1)'!X42</f>
        <v>218132.2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364">
        <v>33</v>
      </c>
      <c r="E34" s="365" t="s">
        <v>309</v>
      </c>
      <c r="F34" s="46"/>
      <c r="G34" s="46"/>
      <c r="H34" s="46"/>
      <c r="I34" s="49">
        <f>'RE-LITSA-10 (1)'!V45</f>
        <v>1905.9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/>
      <c r="D35" s="364">
        <v>34</v>
      </c>
      <c r="E35" s="365" t="s">
        <v>256</v>
      </c>
      <c r="F35" s="46"/>
      <c r="G35" s="46"/>
      <c r="H35" s="46"/>
      <c r="I35" s="49">
        <f>'RE-IV-10 (1)'!V43</f>
        <v>7732.56</v>
      </c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2.75" customHeight="1">
      <c r="B36" s="44"/>
      <c r="C36" s="48"/>
      <c r="D36" s="364"/>
      <c r="E36" s="365"/>
      <c r="F36" s="46"/>
      <c r="G36" s="46"/>
      <c r="H36" s="46"/>
      <c r="I36" s="49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 t="s">
        <v>93</v>
      </c>
      <c r="D37" s="367" t="s">
        <v>94</v>
      </c>
      <c r="E37" s="368"/>
      <c r="F37" s="46"/>
      <c r="G37" s="46"/>
      <c r="H37" s="46"/>
      <c r="I37" s="49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364">
        <v>42</v>
      </c>
      <c r="E38" s="365" t="s">
        <v>90</v>
      </c>
      <c r="F38" s="46"/>
      <c r="G38" s="46"/>
      <c r="H38" s="46"/>
      <c r="I38" s="49">
        <f>'SUP-LITSA'!K74</f>
        <v>992.6259200000001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9.5">
      <c r="B39" s="44"/>
      <c r="C39" s="48"/>
      <c r="D39" s="364">
        <v>43</v>
      </c>
      <c r="E39" s="365" t="s">
        <v>95</v>
      </c>
      <c r="F39" s="46"/>
      <c r="G39" s="46"/>
      <c r="H39" s="46"/>
      <c r="I39" s="49">
        <f>'SUP-TIBA'!J91</f>
        <v>9846.55699950099</v>
      </c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9.5">
      <c r="B40" s="44"/>
      <c r="C40" s="48"/>
      <c r="D40" s="364">
        <v>44</v>
      </c>
      <c r="E40" s="365" t="s">
        <v>91</v>
      </c>
      <c r="F40" s="46"/>
      <c r="G40" s="46"/>
      <c r="H40" s="46"/>
      <c r="I40" s="49">
        <f>'SUP-ENECOR'!J63</f>
        <v>1089.066</v>
      </c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9.5">
      <c r="B41" s="44"/>
      <c r="C41" s="48"/>
      <c r="D41" s="364"/>
      <c r="E41" s="365"/>
      <c r="F41" s="46"/>
      <c r="G41" s="46"/>
      <c r="H41" s="46"/>
      <c r="I41" s="49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1.25" customHeight="1">
      <c r="B42" s="44"/>
      <c r="C42" s="48"/>
      <c r="D42" s="364"/>
      <c r="E42" s="365"/>
      <c r="F42" s="46"/>
      <c r="G42" s="46"/>
      <c r="H42" s="1156"/>
      <c r="I42" s="49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20.25" thickBot="1">
      <c r="B43" s="44"/>
      <c r="C43" s="45"/>
      <c r="D43" s="364"/>
      <c r="E43" s="368"/>
      <c r="F43" s="46"/>
      <c r="G43" s="46"/>
      <c r="H43" s="46"/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20.25" thickBot="1" thickTop="1">
      <c r="B44" s="44"/>
      <c r="C44" s="48"/>
      <c r="D44" s="48"/>
      <c r="F44" s="55" t="s">
        <v>11</v>
      </c>
      <c r="G44" s="56">
        <f>SUM(I16:I42)</f>
        <v>1294748.858919501</v>
      </c>
      <c r="H44" s="126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9.75" customHeight="1" thickTop="1">
      <c r="B45" s="44"/>
      <c r="C45" s="48"/>
      <c r="D45" s="48"/>
      <c r="F45" s="363"/>
      <c r="G45" s="126"/>
      <c r="H45" s="126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6" customFormat="1" ht="9.75" customHeight="1">
      <c r="B46" s="44"/>
      <c r="C46" s="48"/>
      <c r="D46" s="48"/>
      <c r="F46" s="363"/>
      <c r="G46" s="126"/>
      <c r="H46" s="126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2:19" s="36" customFormat="1" ht="9.75" customHeight="1">
      <c r="B47" s="44"/>
      <c r="C47" s="48"/>
      <c r="D47" s="48"/>
      <c r="F47" s="363"/>
      <c r="G47" s="126"/>
      <c r="H47" s="126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2:19" s="36" customFormat="1" ht="18.75" customHeight="1">
      <c r="B48" s="44"/>
      <c r="C48" s="369" t="s">
        <v>433</v>
      </c>
      <c r="D48" s="48"/>
      <c r="F48" s="363"/>
      <c r="G48" s="126"/>
      <c r="H48" s="126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36" customFormat="1" ht="9.75" customHeight="1">
      <c r="B49" s="44"/>
      <c r="C49" s="48"/>
      <c r="D49" s="48"/>
      <c r="F49" s="363"/>
      <c r="G49" s="126"/>
      <c r="H49" s="126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2:19" s="36" customFormat="1" ht="18.75">
      <c r="B50" s="44"/>
      <c r="C50" s="369" t="s">
        <v>414</v>
      </c>
      <c r="D50" s="48"/>
      <c r="F50" s="363"/>
      <c r="G50" s="126"/>
      <c r="H50" s="126"/>
      <c r="I50" s="1157"/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2:19" s="32" customFormat="1" ht="10.5" customHeight="1" thickBot="1">
      <c r="B51" s="57"/>
      <c r="C51" s="58"/>
      <c r="D51" s="58"/>
      <c r="E51" s="59"/>
      <c r="F51" s="59"/>
      <c r="G51" s="59"/>
      <c r="H51" s="59"/>
      <c r="I51" s="59"/>
      <c r="J51" s="60"/>
      <c r="K51" s="33"/>
      <c r="L51" s="33"/>
      <c r="M51" s="61"/>
      <c r="N51" s="62"/>
      <c r="O51" s="62"/>
      <c r="P51" s="63"/>
      <c r="Q51" s="64"/>
      <c r="R51" s="33"/>
      <c r="S51" s="33"/>
    </row>
    <row r="52" spans="4:19" ht="13.5" thickTop="1">
      <c r="D52" s="4"/>
      <c r="F52" s="4"/>
      <c r="G52" s="4"/>
      <c r="H52" s="4"/>
      <c r="I52" s="4"/>
      <c r="J52" s="4"/>
      <c r="K52" s="4"/>
      <c r="L52" s="4"/>
      <c r="M52" s="15"/>
      <c r="N52" s="65"/>
      <c r="O52" s="65"/>
      <c r="P52" s="4"/>
      <c r="Q52" s="66"/>
      <c r="R52" s="4"/>
      <c r="S52" s="4"/>
    </row>
    <row r="53" spans="4:19" ht="12.75">
      <c r="D53" s="4"/>
      <c r="F53" s="4"/>
      <c r="G53" s="4"/>
      <c r="H53" s="4"/>
      <c r="I53" s="4"/>
      <c r="J53" s="4"/>
      <c r="K53" s="4"/>
      <c r="L53" s="4"/>
      <c r="M53" s="4"/>
      <c r="N53" s="67"/>
      <c r="O53" s="67"/>
      <c r="P53" s="68"/>
      <c r="Q53" s="66"/>
      <c r="R53" s="4"/>
      <c r="S53" s="4"/>
    </row>
    <row r="54" spans="4:19" ht="12.75">
      <c r="D54" s="4"/>
      <c r="E54" s="4"/>
      <c r="F54" s="4"/>
      <c r="G54" s="4"/>
      <c r="H54" s="4"/>
      <c r="I54" s="4"/>
      <c r="J54" s="4"/>
      <c r="K54" s="4"/>
      <c r="L54" s="4"/>
      <c r="M54" s="4"/>
      <c r="N54" s="67"/>
      <c r="O54" s="67"/>
      <c r="P54" s="68"/>
      <c r="Q54" s="66"/>
      <c r="R54" s="4"/>
      <c r="S54" s="4"/>
    </row>
    <row r="55" spans="4:19" ht="12.75">
      <c r="D55" s="4"/>
      <c r="E55" s="4"/>
      <c r="L55" s="4"/>
      <c r="M55" s="4"/>
      <c r="N55" s="4"/>
      <c r="O55" s="4"/>
      <c r="P55" s="4"/>
      <c r="Q55" s="4"/>
      <c r="R55" s="4"/>
      <c r="S55" s="4"/>
    </row>
    <row r="56" spans="4:19" ht="12.75">
      <c r="D56" s="4"/>
      <c r="E56" s="4"/>
      <c r="P56" s="4"/>
      <c r="Q56" s="4"/>
      <c r="R56" s="4"/>
      <c r="S56" s="4"/>
    </row>
    <row r="57" spans="4:19" ht="12.75">
      <c r="D57" s="4"/>
      <c r="E57" s="4"/>
      <c r="P57" s="4"/>
      <c r="Q57" s="4"/>
      <c r="R57" s="4"/>
      <c r="S57" s="4"/>
    </row>
    <row r="58" spans="4:19" ht="12.75">
      <c r="D58" s="4"/>
      <c r="E58" s="4"/>
      <c r="P58" s="4"/>
      <c r="Q58" s="4"/>
      <c r="R58" s="4"/>
      <c r="S58" s="4"/>
    </row>
    <row r="59" spans="4:19" ht="12.75">
      <c r="D59" s="4"/>
      <c r="E59" s="4"/>
      <c r="P59" s="4"/>
      <c r="Q59" s="4"/>
      <c r="R59" s="4"/>
      <c r="S59" s="4"/>
    </row>
    <row r="60" spans="4:19" ht="12.75">
      <c r="D60" s="4"/>
      <c r="E60" s="4"/>
      <c r="P60" s="4"/>
      <c r="Q60" s="4"/>
      <c r="R60" s="4"/>
      <c r="S60" s="4"/>
    </row>
    <row r="61" spans="16:19" ht="12.75">
      <c r="P61" s="4"/>
      <c r="Q61" s="4"/>
      <c r="R61" s="4"/>
      <c r="S61" s="4"/>
    </row>
    <row r="62" spans="16:19" ht="12.75">
      <c r="P62" s="4"/>
      <c r="Q62" s="4"/>
      <c r="R62" s="4"/>
      <c r="S62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AA156"/>
  <sheetViews>
    <sheetView zoomScale="75" zoomScaleNormal="75" workbookViewId="0" topLeftCell="C16">
      <selection activeCell="F29" sqref="F29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00390625" style="0" customWidth="1"/>
    <col min="7" max="7" width="5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20" width="9.57421875" style="0" hidden="1" customWidth="1"/>
    <col min="21" max="22" width="12.28125" style="0" hidden="1" customWidth="1"/>
    <col min="23" max="23" width="9.7109375" style="0" customWidth="1"/>
    <col min="24" max="25" width="15.7109375" style="0" customWidth="1"/>
  </cols>
  <sheetData>
    <row r="1" s="18" customFormat="1" ht="26.25">
      <c r="Y1" s="146"/>
    </row>
    <row r="2" spans="1:25" s="18" customFormat="1" ht="26.25">
      <c r="A2" s="91"/>
      <c r="B2" s="632" t="str">
        <f>+'TOT-1008'!B2</f>
        <v>ANEXO V al Memorándum D.T.E.E. N°  366 / 2010        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5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2:25" s="29" customFormat="1" ht="20.25">
      <c r="B8" s="79"/>
      <c r="D8" s="375" t="s">
        <v>117</v>
      </c>
      <c r="E8" s="633"/>
      <c r="F8" s="372"/>
      <c r="G8" s="371"/>
      <c r="H8" s="371"/>
      <c r="I8" s="371"/>
      <c r="J8" s="371"/>
      <c r="K8" s="371"/>
      <c r="L8" s="371"/>
      <c r="M8" s="371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634"/>
    </row>
    <row r="9" spans="2:25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s="29" customFormat="1" ht="20.25">
      <c r="B10" s="79"/>
      <c r="D10" s="11" t="s">
        <v>118</v>
      </c>
      <c r="F10" s="635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30"/>
      <c r="X10" s="30"/>
      <c r="Y10" s="80"/>
    </row>
    <row r="11" spans="2:25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2:25" s="29" customFormat="1" ht="20.25">
      <c r="B12" s="79"/>
      <c r="D12" s="11" t="s">
        <v>119</v>
      </c>
      <c r="F12" s="635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30"/>
      <c r="X12" s="30"/>
      <c r="Y12" s="80"/>
    </row>
    <row r="13" spans="2:25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2:25" s="36" customFormat="1" ht="16.5" customHeight="1">
      <c r="B14" s="37" t="str">
        <f>'TOT-1008'!B14</f>
        <v>Desde el 01 al 31 de octubre de 2008</v>
      </c>
      <c r="C14" s="636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6"/>
      <c r="Q14" s="636"/>
      <c r="R14" s="636"/>
      <c r="S14" s="636"/>
      <c r="T14" s="636"/>
      <c r="U14" s="636"/>
      <c r="V14" s="636"/>
      <c r="W14" s="636"/>
      <c r="X14" s="636"/>
      <c r="Y14" s="638"/>
    </row>
    <row r="15" spans="2:25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2:25" s="5" customFormat="1" ht="16.5" customHeight="1" thickBot="1" thickTop="1">
      <c r="B16" s="50"/>
      <c r="C16" s="4"/>
      <c r="D16" s="117" t="s">
        <v>108</v>
      </c>
      <c r="E16" s="639"/>
      <c r="F16" s="1147">
        <v>0.319</v>
      </c>
      <c r="G16" s="574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2:25" s="5" customFormat="1" ht="16.5" customHeight="1" thickBot="1" thickTop="1">
      <c r="B17" s="50"/>
      <c r="C17" s="4"/>
      <c r="D17" s="640" t="s">
        <v>27</v>
      </c>
      <c r="E17" s="641"/>
      <c r="F17" s="1148">
        <v>20</v>
      </c>
      <c r="G17" s="574"/>
      <c r="H17"/>
      <c r="I17" s="411"/>
      <c r="J17" s="412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116"/>
      <c r="Y17" s="6"/>
    </row>
    <row r="18" spans="2:25" s="5" customFormat="1" ht="16.5" customHeight="1" thickBot="1" thickTop="1">
      <c r="B18" s="50"/>
      <c r="C18" s="66"/>
      <c r="D18" s="642"/>
      <c r="E18" s="643"/>
      <c r="F18" s="643"/>
      <c r="G18" s="395"/>
      <c r="H18" s="395"/>
      <c r="I18" s="395"/>
      <c r="J18" s="395"/>
      <c r="K18" s="395"/>
      <c r="L18" s="395"/>
      <c r="M18" s="395"/>
      <c r="N18" s="395"/>
      <c r="O18" s="644"/>
      <c r="P18" s="645"/>
      <c r="Q18" s="646"/>
      <c r="R18" s="646"/>
      <c r="S18" s="646"/>
      <c r="T18" s="646"/>
      <c r="U18" s="646"/>
      <c r="V18" s="646"/>
      <c r="W18" s="647"/>
      <c r="X18" s="648"/>
      <c r="Y18" s="6"/>
    </row>
    <row r="19" spans="2:25" s="5" customFormat="1" ht="33.75" customHeight="1" thickBot="1" thickTop="1">
      <c r="B19" s="50"/>
      <c r="C19" s="84" t="s">
        <v>13</v>
      </c>
      <c r="D19" s="86" t="s">
        <v>28</v>
      </c>
      <c r="E19" s="85" t="s">
        <v>29</v>
      </c>
      <c r="F19" s="649" t="s">
        <v>30</v>
      </c>
      <c r="G19" s="130" t="s">
        <v>16</v>
      </c>
      <c r="H19" s="85" t="s">
        <v>17</v>
      </c>
      <c r="I19" s="85" t="s">
        <v>18</v>
      </c>
      <c r="J19" s="86" t="s">
        <v>37</v>
      </c>
      <c r="K19" s="86" t="s">
        <v>32</v>
      </c>
      <c r="L19" s="88" t="s">
        <v>19</v>
      </c>
      <c r="M19" s="88" t="s">
        <v>65</v>
      </c>
      <c r="N19" s="85" t="s">
        <v>33</v>
      </c>
      <c r="O19" s="130" t="s">
        <v>38</v>
      </c>
      <c r="P19" s="650" t="s">
        <v>97</v>
      </c>
      <c r="Q19" s="651" t="s">
        <v>313</v>
      </c>
      <c r="R19" s="652"/>
      <c r="S19" s="468" t="s">
        <v>314</v>
      </c>
      <c r="T19" s="469"/>
      <c r="U19" s="653" t="s">
        <v>22</v>
      </c>
      <c r="V19" s="467" t="s">
        <v>21</v>
      </c>
      <c r="W19" s="133" t="s">
        <v>106</v>
      </c>
      <c r="X19" s="654" t="s">
        <v>25</v>
      </c>
      <c r="Y19" s="6"/>
    </row>
    <row r="20" spans="2:25" s="5" customFormat="1" ht="16.5" customHeight="1" thickTop="1">
      <c r="B20" s="50"/>
      <c r="C20" s="655"/>
      <c r="D20" s="656"/>
      <c r="E20" s="656"/>
      <c r="F20" s="656"/>
      <c r="G20" s="544"/>
      <c r="H20" s="657"/>
      <c r="I20" s="657"/>
      <c r="J20" s="655"/>
      <c r="K20" s="655"/>
      <c r="L20" s="656"/>
      <c r="M20" s="384"/>
      <c r="N20" s="655"/>
      <c r="O20" s="658"/>
      <c r="P20" s="659"/>
      <c r="Q20" s="660"/>
      <c r="R20" s="661"/>
      <c r="S20" s="481"/>
      <c r="T20" s="482"/>
      <c r="U20" s="662"/>
      <c r="V20" s="662"/>
      <c r="W20" s="663"/>
      <c r="X20" s="664"/>
      <c r="Y20" s="6"/>
    </row>
    <row r="21" spans="2:25" s="5" customFormat="1" ht="16.5" customHeight="1">
      <c r="B21" s="50"/>
      <c r="C21" s="486"/>
      <c r="D21" s="665"/>
      <c r="E21" s="666"/>
      <c r="F21" s="667"/>
      <c r="G21" s="668"/>
      <c r="H21" s="669"/>
      <c r="I21" s="670"/>
      <c r="J21" s="671"/>
      <c r="K21" s="672"/>
      <c r="L21" s="673"/>
      <c r="M21" s="385"/>
      <c r="N21" s="674"/>
      <c r="O21" s="675"/>
      <c r="P21" s="676"/>
      <c r="Q21" s="677"/>
      <c r="R21" s="678"/>
      <c r="S21" s="495"/>
      <c r="T21" s="496"/>
      <c r="U21" s="679"/>
      <c r="V21" s="679"/>
      <c r="W21" s="674"/>
      <c r="X21" s="680"/>
      <c r="Y21" s="6"/>
    </row>
    <row r="22" spans="2:25" s="5" customFormat="1" ht="16.5" customHeight="1">
      <c r="B22" s="50"/>
      <c r="C22" s="354">
        <v>62</v>
      </c>
      <c r="D22" s="681" t="s">
        <v>342</v>
      </c>
      <c r="E22" s="609" t="s">
        <v>381</v>
      </c>
      <c r="F22" s="682">
        <v>245</v>
      </c>
      <c r="G22" s="503">
        <f aca="true" t="shared" si="0" ref="G22:G40">F22*$F$16</f>
        <v>78.155</v>
      </c>
      <c r="H22" s="611">
        <v>39722.00001157408</v>
      </c>
      <c r="I22" s="389">
        <v>39752.99998842592</v>
      </c>
      <c r="J22" s="612">
        <f aca="true" t="shared" si="1" ref="J22:J40">IF(D22="","",(I22-H22)*24)</f>
        <v>743.9994444443146</v>
      </c>
      <c r="K22" s="613">
        <f aca="true" t="shared" si="2" ref="K22:K40">IF(D22="","",ROUND((I22-H22)*24*60,0))</f>
        <v>44640</v>
      </c>
      <c r="L22" s="431" t="s">
        <v>292</v>
      </c>
      <c r="M22" s="432" t="str">
        <f aca="true" t="shared" si="3" ref="M22:M40">IF(D22="","","--")</f>
        <v>--</v>
      </c>
      <c r="N22" s="352" t="str">
        <f aca="true" t="shared" si="4" ref="N22:N40">IF(D22="","",IF(OR(L22="P",L22="RP"),"--","NO"))</f>
        <v>--</v>
      </c>
      <c r="O22" s="683">
        <f aca="true" t="shared" si="5" ref="O22:O40">IF(OR(L22="P",L22="RP"),$F$17/10,$F$17)</f>
        <v>2</v>
      </c>
      <c r="P22" s="684">
        <f aca="true" t="shared" si="6" ref="P22:P40">IF(L22="P",G22*O22*ROUND(K22/60,2),"--")</f>
        <v>116294.64</v>
      </c>
      <c r="Q22" s="685" t="str">
        <f aca="true" t="shared" si="7" ref="Q22:Q40">IF(AND(L22="F",N22="NO"),G22*O22,"--")</f>
        <v>--</v>
      </c>
      <c r="R22" s="686" t="str">
        <f aca="true" t="shared" si="8" ref="R22:R40">IF(L22="F",G22*O22*ROUND(K22/60,2),"--")</f>
        <v>--</v>
      </c>
      <c r="S22" s="510" t="str">
        <f aca="true" t="shared" si="9" ref="S22:S40">IF(AND(L22="R",N22="NO"),G22*O22*M22/100,"--")</f>
        <v>--</v>
      </c>
      <c r="T22" s="1211" t="s">
        <v>289</v>
      </c>
      <c r="U22" s="687" t="str">
        <f aca="true" t="shared" si="10" ref="U22:U40">IF(L22="RF",G22*O22*ROUND(K22/60,2),"--")</f>
        <v>--</v>
      </c>
      <c r="V22" s="507" t="str">
        <f aca="true" t="shared" si="11" ref="V22:V40">IF(L22="RP",G22*O22*M22/100*ROUND(K22/60,2),"--")</f>
        <v>--</v>
      </c>
      <c r="W22" s="352" t="str">
        <f aca="true" t="shared" si="12" ref="W22:W40">IF(D22="","","SI")</f>
        <v>SI</v>
      </c>
      <c r="X22" s="618">
        <f aca="true" t="shared" si="13" ref="X22:X40">IF(D22="","",SUM(P22:V22)*IF(W22="SI",1,2)*IF(AND(M22&lt;&gt;"--",L22="RF"),M22/100,1))</f>
        <v>116294.64</v>
      </c>
      <c r="Y22" s="6"/>
    </row>
    <row r="23" spans="2:25" s="5" customFormat="1" ht="16.5" customHeight="1">
      <c r="B23" s="50"/>
      <c r="C23" s="486">
        <v>63</v>
      </c>
      <c r="D23" s="681" t="s">
        <v>342</v>
      </c>
      <c r="E23" s="609" t="s">
        <v>382</v>
      </c>
      <c r="F23" s="682">
        <v>245</v>
      </c>
      <c r="G23" s="503">
        <f t="shared" si="0"/>
        <v>78.155</v>
      </c>
      <c r="H23" s="611">
        <v>39725.248611111114</v>
      </c>
      <c r="I23" s="389">
        <v>39725.697222222225</v>
      </c>
      <c r="J23" s="612">
        <f t="shared" si="1"/>
        <v>10.766666666662786</v>
      </c>
      <c r="K23" s="613">
        <f t="shared" si="2"/>
        <v>646</v>
      </c>
      <c r="L23" s="431" t="s">
        <v>292</v>
      </c>
      <c r="M23" s="432" t="str">
        <f t="shared" si="3"/>
        <v>--</v>
      </c>
      <c r="N23" s="352" t="str">
        <f t="shared" si="4"/>
        <v>--</v>
      </c>
      <c r="O23" s="683">
        <f t="shared" si="5"/>
        <v>2</v>
      </c>
      <c r="P23" s="684">
        <f t="shared" si="6"/>
        <v>1683.4587</v>
      </c>
      <c r="Q23" s="685" t="str">
        <f t="shared" si="7"/>
        <v>--</v>
      </c>
      <c r="R23" s="686" t="str">
        <f t="shared" si="8"/>
        <v>--</v>
      </c>
      <c r="S23" s="510" t="str">
        <f t="shared" si="9"/>
        <v>--</v>
      </c>
      <c r="T23" s="1211" t="s">
        <v>289</v>
      </c>
      <c r="U23" s="687" t="str">
        <f t="shared" si="10"/>
        <v>--</v>
      </c>
      <c r="V23" s="507" t="str">
        <f t="shared" si="11"/>
        <v>--</v>
      </c>
      <c r="W23" s="352" t="str">
        <f t="shared" si="12"/>
        <v>SI</v>
      </c>
      <c r="X23" s="618">
        <f t="shared" si="13"/>
        <v>1683.4587</v>
      </c>
      <c r="Y23" s="6"/>
    </row>
    <row r="24" spans="2:25" s="5" customFormat="1" ht="16.5" customHeight="1">
      <c r="B24" s="50"/>
      <c r="C24" s="486">
        <v>64</v>
      </c>
      <c r="D24" s="681" t="s">
        <v>342</v>
      </c>
      <c r="E24" s="609" t="s">
        <v>382</v>
      </c>
      <c r="F24" s="682">
        <v>245</v>
      </c>
      <c r="G24" s="503">
        <f t="shared" si="0"/>
        <v>78.155</v>
      </c>
      <c r="H24" s="611">
        <v>39727.36875</v>
      </c>
      <c r="I24" s="389">
        <v>39752.99930555555</v>
      </c>
      <c r="J24" s="612">
        <f t="shared" si="1"/>
        <v>615.1333333332441</v>
      </c>
      <c r="K24" s="613">
        <f t="shared" si="2"/>
        <v>36908</v>
      </c>
      <c r="L24" s="431" t="s">
        <v>292</v>
      </c>
      <c r="M24" s="432" t="str">
        <f t="shared" si="3"/>
        <v>--</v>
      </c>
      <c r="N24" s="352" t="str">
        <f t="shared" si="4"/>
        <v>--</v>
      </c>
      <c r="O24" s="683">
        <f t="shared" si="5"/>
        <v>2</v>
      </c>
      <c r="P24" s="684">
        <f t="shared" si="6"/>
        <v>96150.9703</v>
      </c>
      <c r="Q24" s="685" t="str">
        <f t="shared" si="7"/>
        <v>--</v>
      </c>
      <c r="R24" s="686" t="str">
        <f t="shared" si="8"/>
        <v>--</v>
      </c>
      <c r="S24" s="510" t="str">
        <f t="shared" si="9"/>
        <v>--</v>
      </c>
      <c r="T24" s="1211" t="s">
        <v>289</v>
      </c>
      <c r="U24" s="687" t="str">
        <f t="shared" si="10"/>
        <v>--</v>
      </c>
      <c r="V24" s="507" t="str">
        <f t="shared" si="11"/>
        <v>--</v>
      </c>
      <c r="W24" s="352" t="str">
        <f t="shared" si="12"/>
        <v>SI</v>
      </c>
      <c r="X24" s="618">
        <f t="shared" si="13"/>
        <v>96150.9703</v>
      </c>
      <c r="Y24" s="688"/>
    </row>
    <row r="25" spans="2:25" s="5" customFormat="1" ht="16.5" customHeight="1">
      <c r="B25" s="50"/>
      <c r="C25" s="486">
        <v>65</v>
      </c>
      <c r="D25" s="681" t="s">
        <v>413</v>
      </c>
      <c r="E25" s="609" t="s">
        <v>410</v>
      </c>
      <c r="F25" s="682">
        <v>80</v>
      </c>
      <c r="G25" s="503">
        <f t="shared" si="0"/>
        <v>25.52</v>
      </c>
      <c r="H25" s="611">
        <v>39731.322222222225</v>
      </c>
      <c r="I25" s="389">
        <v>39731.336805555555</v>
      </c>
      <c r="J25" s="612">
        <f t="shared" si="1"/>
        <v>0.3499999999185093</v>
      </c>
      <c r="K25" s="613">
        <f t="shared" si="2"/>
        <v>21</v>
      </c>
      <c r="L25" s="431" t="s">
        <v>292</v>
      </c>
      <c r="M25" s="432" t="str">
        <f t="shared" si="3"/>
        <v>--</v>
      </c>
      <c r="N25" s="352" t="str">
        <f t="shared" si="4"/>
        <v>--</v>
      </c>
      <c r="O25" s="683">
        <f t="shared" si="5"/>
        <v>2</v>
      </c>
      <c r="P25" s="684">
        <f t="shared" si="6"/>
        <v>17.863999999999997</v>
      </c>
      <c r="Q25" s="685" t="str">
        <f t="shared" si="7"/>
        <v>--</v>
      </c>
      <c r="R25" s="686" t="str">
        <f t="shared" si="8"/>
        <v>--</v>
      </c>
      <c r="S25" s="510" t="str">
        <f t="shared" si="9"/>
        <v>--</v>
      </c>
      <c r="T25" s="1211" t="s">
        <v>289</v>
      </c>
      <c r="U25" s="687" t="str">
        <f t="shared" si="10"/>
        <v>--</v>
      </c>
      <c r="V25" s="507" t="str">
        <f t="shared" si="11"/>
        <v>--</v>
      </c>
      <c r="W25" s="352" t="str">
        <f t="shared" si="12"/>
        <v>SI</v>
      </c>
      <c r="X25" s="618">
        <f t="shared" si="13"/>
        <v>17.863999999999997</v>
      </c>
      <c r="Y25" s="688"/>
    </row>
    <row r="26" spans="2:25" s="5" customFormat="1" ht="16.5" customHeight="1">
      <c r="B26" s="50"/>
      <c r="C26" s="486">
        <v>66</v>
      </c>
      <c r="D26" s="681" t="s">
        <v>383</v>
      </c>
      <c r="E26" s="609" t="s">
        <v>384</v>
      </c>
      <c r="F26" s="682">
        <v>150</v>
      </c>
      <c r="G26" s="503">
        <f t="shared" si="0"/>
        <v>47.85</v>
      </c>
      <c r="H26" s="611">
        <v>39736.313888888886</v>
      </c>
      <c r="I26" s="389">
        <v>39737.78958333333</v>
      </c>
      <c r="J26" s="612">
        <f t="shared" si="1"/>
        <v>35.41666666668607</v>
      </c>
      <c r="K26" s="613">
        <f t="shared" si="2"/>
        <v>2125</v>
      </c>
      <c r="L26" s="431" t="s">
        <v>292</v>
      </c>
      <c r="M26" s="432" t="str">
        <f t="shared" si="3"/>
        <v>--</v>
      </c>
      <c r="N26" s="352" t="str">
        <f t="shared" si="4"/>
        <v>--</v>
      </c>
      <c r="O26" s="683">
        <f t="shared" si="5"/>
        <v>2</v>
      </c>
      <c r="P26" s="684">
        <f t="shared" si="6"/>
        <v>3389.6940000000004</v>
      </c>
      <c r="Q26" s="685" t="str">
        <f t="shared" si="7"/>
        <v>--</v>
      </c>
      <c r="R26" s="686" t="str">
        <f t="shared" si="8"/>
        <v>--</v>
      </c>
      <c r="S26" s="510" t="str">
        <f t="shared" si="9"/>
        <v>--</v>
      </c>
      <c r="T26" s="1211" t="s">
        <v>289</v>
      </c>
      <c r="U26" s="687" t="str">
        <f t="shared" si="10"/>
        <v>--</v>
      </c>
      <c r="V26" s="507" t="str">
        <f t="shared" si="11"/>
        <v>--</v>
      </c>
      <c r="W26" s="352" t="str">
        <f t="shared" si="12"/>
        <v>SI</v>
      </c>
      <c r="X26" s="618">
        <f t="shared" si="13"/>
        <v>3389.6940000000004</v>
      </c>
      <c r="Y26" s="688"/>
    </row>
    <row r="27" spans="2:25" s="5" customFormat="1" ht="16.5" customHeight="1">
      <c r="B27" s="50"/>
      <c r="C27" s="486">
        <v>67</v>
      </c>
      <c r="D27" s="681" t="s">
        <v>412</v>
      </c>
      <c r="E27" s="609" t="s">
        <v>385</v>
      </c>
      <c r="F27" s="682">
        <v>150</v>
      </c>
      <c r="G27" s="503">
        <f t="shared" si="0"/>
        <v>47.85</v>
      </c>
      <c r="H27" s="611">
        <v>39744.39513888889</v>
      </c>
      <c r="I27" s="389">
        <v>39744.635416666664</v>
      </c>
      <c r="J27" s="612">
        <f t="shared" si="1"/>
        <v>5.7666666666045785</v>
      </c>
      <c r="K27" s="613">
        <f t="shared" si="2"/>
        <v>346</v>
      </c>
      <c r="L27" s="431" t="s">
        <v>292</v>
      </c>
      <c r="M27" s="432" t="str">
        <f t="shared" si="3"/>
        <v>--</v>
      </c>
      <c r="N27" s="352" t="str">
        <f t="shared" si="4"/>
        <v>--</v>
      </c>
      <c r="O27" s="683">
        <f t="shared" si="5"/>
        <v>2</v>
      </c>
      <c r="P27" s="684">
        <f t="shared" si="6"/>
        <v>552.189</v>
      </c>
      <c r="Q27" s="685" t="str">
        <f t="shared" si="7"/>
        <v>--</v>
      </c>
      <c r="R27" s="686" t="str">
        <f t="shared" si="8"/>
        <v>--</v>
      </c>
      <c r="S27" s="510" t="str">
        <f t="shared" si="9"/>
        <v>--</v>
      </c>
      <c r="T27" s="1211" t="s">
        <v>289</v>
      </c>
      <c r="U27" s="687" t="str">
        <f t="shared" si="10"/>
        <v>--</v>
      </c>
      <c r="V27" s="507" t="str">
        <f t="shared" si="11"/>
        <v>--</v>
      </c>
      <c r="W27" s="352" t="str">
        <f t="shared" si="12"/>
        <v>SI</v>
      </c>
      <c r="X27" s="618">
        <f t="shared" si="13"/>
        <v>552.189</v>
      </c>
      <c r="Y27" s="688"/>
    </row>
    <row r="28" spans="2:25" s="5" customFormat="1" ht="16.5" customHeight="1">
      <c r="B28" s="50"/>
      <c r="C28" s="486">
        <v>68</v>
      </c>
      <c r="D28" s="681" t="s">
        <v>345</v>
      </c>
      <c r="E28" s="609" t="s">
        <v>411</v>
      </c>
      <c r="F28" s="682">
        <v>80</v>
      </c>
      <c r="G28" s="503">
        <f t="shared" si="0"/>
        <v>25.52</v>
      </c>
      <c r="H28" s="611">
        <v>39745.425</v>
      </c>
      <c r="I28" s="389">
        <v>39745.46041666667</v>
      </c>
      <c r="J28" s="612">
        <f t="shared" si="1"/>
        <v>0.8499999999767169</v>
      </c>
      <c r="K28" s="613">
        <f t="shared" si="2"/>
        <v>51</v>
      </c>
      <c r="L28" s="431" t="s">
        <v>292</v>
      </c>
      <c r="M28" s="432" t="str">
        <f t="shared" si="3"/>
        <v>--</v>
      </c>
      <c r="N28" s="352" t="str">
        <f t="shared" si="4"/>
        <v>--</v>
      </c>
      <c r="O28" s="683">
        <f t="shared" si="5"/>
        <v>2</v>
      </c>
      <c r="P28" s="684">
        <f t="shared" si="6"/>
        <v>43.384</v>
      </c>
      <c r="Q28" s="685" t="str">
        <f t="shared" si="7"/>
        <v>--</v>
      </c>
      <c r="R28" s="686" t="str">
        <f t="shared" si="8"/>
        <v>--</v>
      </c>
      <c r="S28" s="510" t="str">
        <f t="shared" si="9"/>
        <v>--</v>
      </c>
      <c r="T28" s="1211" t="s">
        <v>289</v>
      </c>
      <c r="U28" s="687" t="str">
        <f t="shared" si="10"/>
        <v>--</v>
      </c>
      <c r="V28" s="507" t="str">
        <f t="shared" si="11"/>
        <v>--</v>
      </c>
      <c r="W28" s="352" t="str">
        <f t="shared" si="12"/>
        <v>SI</v>
      </c>
      <c r="X28" s="618">
        <f t="shared" si="13"/>
        <v>43.384</v>
      </c>
      <c r="Y28" s="688"/>
    </row>
    <row r="29" spans="2:25" s="5" customFormat="1" ht="16.5" customHeight="1">
      <c r="B29" s="50"/>
      <c r="C29" s="486"/>
      <c r="D29" s="681"/>
      <c r="E29" s="609"/>
      <c r="F29" s="682"/>
      <c r="G29" s="503"/>
      <c r="H29" s="611"/>
      <c r="I29" s="389"/>
      <c r="J29" s="612"/>
      <c r="K29" s="613"/>
      <c r="L29" s="431"/>
      <c r="M29" s="432">
        <f>IF(D29="","","--")</f>
      </c>
      <c r="N29" s="352">
        <f>IF(D29="","",IF(OR(L29="P",L29="RP"),"--","NO"))</f>
      </c>
      <c r="O29" s="683">
        <f>IF(OR(L29="P",L29="RP"),$F$17/10,$F$17)</f>
        <v>20</v>
      </c>
      <c r="P29" s="684" t="str">
        <f>IF(L29="P",G29*O29*ROUND(K29/60,2),"--")</f>
        <v>--</v>
      </c>
      <c r="Q29" s="685" t="str">
        <f>IF(AND(L29="F",N29="NO"),G29*O29,"--")</f>
        <v>--</v>
      </c>
      <c r="R29" s="686" t="str">
        <f>IF(L29="F",G29*O29*ROUND(K29/60,2),"--")</f>
        <v>--</v>
      </c>
      <c r="S29" s="510" t="str">
        <f>IF(AND(L29="R",N29="NO"),G29*O29*M29/100,"--")</f>
        <v>--</v>
      </c>
      <c r="T29" s="511" t="str">
        <f>IF(L29="R",G29*O29*M29/100*ROUND(K29/60,2),"--")</f>
        <v>--</v>
      </c>
      <c r="U29" s="687" t="str">
        <f>IF(L29="RF",G29*O29*ROUND(K29/60,2),"--")</f>
        <v>--</v>
      </c>
      <c r="V29" s="507" t="str">
        <f>IF(L29="RP",G29*O29*M29/100*ROUND(K29/60,2),"--")</f>
        <v>--</v>
      </c>
      <c r="W29" s="352">
        <f>IF(D29="","","SI")</f>
      </c>
      <c r="X29" s="618">
        <f>IF(D29="","",SUM(P29:V29)*IF(W29="SI",1,2)*IF(AND(M29&lt;&gt;"--",L29="RF"),M29/100,1))</f>
      </c>
      <c r="Y29" s="688"/>
    </row>
    <row r="30" spans="2:25" s="5" customFormat="1" ht="16.5" customHeight="1">
      <c r="B30" s="50"/>
      <c r="C30" s="486"/>
      <c r="D30" s="681"/>
      <c r="E30" s="609"/>
      <c r="F30" s="682"/>
      <c r="G30" s="503">
        <f t="shared" si="0"/>
        <v>0</v>
      </c>
      <c r="H30" s="611"/>
      <c r="I30" s="389"/>
      <c r="J30" s="612">
        <f t="shared" si="1"/>
      </c>
      <c r="K30" s="613">
        <f t="shared" si="2"/>
      </c>
      <c r="L30" s="431"/>
      <c r="M30" s="432">
        <f t="shared" si="3"/>
      </c>
      <c r="N30" s="352">
        <f t="shared" si="4"/>
      </c>
      <c r="O30" s="683">
        <f t="shared" si="5"/>
        <v>20</v>
      </c>
      <c r="P30" s="684" t="str">
        <f t="shared" si="6"/>
        <v>--</v>
      </c>
      <c r="Q30" s="685" t="str">
        <f t="shared" si="7"/>
        <v>--</v>
      </c>
      <c r="R30" s="686" t="str">
        <f t="shared" si="8"/>
        <v>--</v>
      </c>
      <c r="S30" s="510" t="str">
        <f t="shared" si="9"/>
        <v>--</v>
      </c>
      <c r="T30" s="511" t="str">
        <f aca="true" t="shared" si="14" ref="T30:T40">IF(L30="R",G30*O30*M30/100*ROUND(K30/60,2),"--")</f>
        <v>--</v>
      </c>
      <c r="U30" s="687" t="str">
        <f t="shared" si="10"/>
        <v>--</v>
      </c>
      <c r="V30" s="507" t="str">
        <f t="shared" si="11"/>
        <v>--</v>
      </c>
      <c r="W30" s="352">
        <f t="shared" si="12"/>
      </c>
      <c r="X30" s="618">
        <f t="shared" si="13"/>
      </c>
      <c r="Y30" s="6"/>
    </row>
    <row r="31" spans="2:25" s="5" customFormat="1" ht="16.5" customHeight="1">
      <c r="B31" s="50"/>
      <c r="C31" s="354"/>
      <c r="D31" s="681"/>
      <c r="E31" s="609"/>
      <c r="F31" s="682"/>
      <c r="G31" s="503">
        <f t="shared" si="0"/>
        <v>0</v>
      </c>
      <c r="H31" s="611"/>
      <c r="I31" s="389"/>
      <c r="J31" s="612">
        <f t="shared" si="1"/>
      </c>
      <c r="K31" s="613">
        <f t="shared" si="2"/>
      </c>
      <c r="L31" s="431"/>
      <c r="M31" s="432">
        <f t="shared" si="3"/>
      </c>
      <c r="N31" s="352">
        <f t="shared" si="4"/>
      </c>
      <c r="O31" s="683">
        <f t="shared" si="5"/>
        <v>20</v>
      </c>
      <c r="P31" s="684" t="str">
        <f t="shared" si="6"/>
        <v>--</v>
      </c>
      <c r="Q31" s="685" t="str">
        <f t="shared" si="7"/>
        <v>--</v>
      </c>
      <c r="R31" s="686" t="str">
        <f t="shared" si="8"/>
        <v>--</v>
      </c>
      <c r="S31" s="510" t="str">
        <f t="shared" si="9"/>
        <v>--</v>
      </c>
      <c r="T31" s="511" t="str">
        <f t="shared" si="14"/>
        <v>--</v>
      </c>
      <c r="U31" s="687" t="str">
        <f t="shared" si="10"/>
        <v>--</v>
      </c>
      <c r="V31" s="507" t="str">
        <f t="shared" si="11"/>
        <v>--</v>
      </c>
      <c r="W31" s="352">
        <f t="shared" si="12"/>
      </c>
      <c r="X31" s="618">
        <f t="shared" si="13"/>
      </c>
      <c r="Y31" s="6"/>
    </row>
    <row r="32" spans="2:25" s="5" customFormat="1" ht="16.5" customHeight="1">
      <c r="B32" s="50"/>
      <c r="C32" s="486"/>
      <c r="D32" s="681"/>
      <c r="E32" s="609"/>
      <c r="F32" s="682"/>
      <c r="G32" s="503">
        <f t="shared" si="0"/>
        <v>0</v>
      </c>
      <c r="H32" s="611"/>
      <c r="I32" s="389"/>
      <c r="J32" s="612">
        <f t="shared" si="1"/>
      </c>
      <c r="K32" s="613">
        <f t="shared" si="2"/>
      </c>
      <c r="L32" s="431"/>
      <c r="M32" s="432">
        <f t="shared" si="3"/>
      </c>
      <c r="N32" s="352">
        <f t="shared" si="4"/>
      </c>
      <c r="O32" s="683">
        <f t="shared" si="5"/>
        <v>20</v>
      </c>
      <c r="P32" s="684" t="str">
        <f t="shared" si="6"/>
        <v>--</v>
      </c>
      <c r="Q32" s="685" t="str">
        <f t="shared" si="7"/>
        <v>--</v>
      </c>
      <c r="R32" s="686" t="str">
        <f t="shared" si="8"/>
        <v>--</v>
      </c>
      <c r="S32" s="510" t="str">
        <f t="shared" si="9"/>
        <v>--</v>
      </c>
      <c r="T32" s="511" t="str">
        <f t="shared" si="14"/>
        <v>--</v>
      </c>
      <c r="U32" s="687" t="str">
        <f t="shared" si="10"/>
        <v>--</v>
      </c>
      <c r="V32" s="507" t="str">
        <f t="shared" si="11"/>
        <v>--</v>
      </c>
      <c r="W32" s="352">
        <f t="shared" si="12"/>
      </c>
      <c r="X32" s="618">
        <f t="shared" si="13"/>
      </c>
      <c r="Y32" s="6"/>
    </row>
    <row r="33" spans="2:25" s="5" customFormat="1" ht="16.5" customHeight="1">
      <c r="B33" s="50"/>
      <c r="C33" s="354"/>
      <c r="D33" s="681"/>
      <c r="E33" s="609"/>
      <c r="F33" s="682"/>
      <c r="G33" s="503">
        <f t="shared" si="0"/>
        <v>0</v>
      </c>
      <c r="H33" s="611"/>
      <c r="I33" s="389"/>
      <c r="J33" s="612">
        <f t="shared" si="1"/>
      </c>
      <c r="K33" s="613">
        <f t="shared" si="2"/>
      </c>
      <c r="L33" s="431"/>
      <c r="M33" s="432">
        <f t="shared" si="3"/>
      </c>
      <c r="N33" s="352">
        <f t="shared" si="4"/>
      </c>
      <c r="O33" s="683">
        <f t="shared" si="5"/>
        <v>20</v>
      </c>
      <c r="P33" s="684" t="str">
        <f t="shared" si="6"/>
        <v>--</v>
      </c>
      <c r="Q33" s="685" t="str">
        <f t="shared" si="7"/>
        <v>--</v>
      </c>
      <c r="R33" s="686" t="str">
        <f t="shared" si="8"/>
        <v>--</v>
      </c>
      <c r="S33" s="510" t="str">
        <f t="shared" si="9"/>
        <v>--</v>
      </c>
      <c r="T33" s="511" t="str">
        <f t="shared" si="14"/>
        <v>--</v>
      </c>
      <c r="U33" s="687" t="str">
        <f t="shared" si="10"/>
        <v>--</v>
      </c>
      <c r="V33" s="507" t="str">
        <f t="shared" si="11"/>
        <v>--</v>
      </c>
      <c r="W33" s="352">
        <f t="shared" si="12"/>
      </c>
      <c r="X33" s="618">
        <f t="shared" si="13"/>
      </c>
      <c r="Y33" s="6"/>
    </row>
    <row r="34" spans="2:25" s="5" customFormat="1" ht="16.5" customHeight="1">
      <c r="B34" s="50"/>
      <c r="C34" s="486"/>
      <c r="D34" s="681"/>
      <c r="E34" s="609"/>
      <c r="F34" s="682"/>
      <c r="G34" s="503">
        <f t="shared" si="0"/>
        <v>0</v>
      </c>
      <c r="H34" s="611"/>
      <c r="I34" s="389"/>
      <c r="J34" s="612">
        <f t="shared" si="1"/>
      </c>
      <c r="K34" s="613">
        <f t="shared" si="2"/>
      </c>
      <c r="L34" s="431"/>
      <c r="M34" s="432">
        <f t="shared" si="3"/>
      </c>
      <c r="N34" s="352">
        <f t="shared" si="4"/>
      </c>
      <c r="O34" s="683">
        <f t="shared" si="5"/>
        <v>20</v>
      </c>
      <c r="P34" s="684" t="str">
        <f t="shared" si="6"/>
        <v>--</v>
      </c>
      <c r="Q34" s="685" t="str">
        <f t="shared" si="7"/>
        <v>--</v>
      </c>
      <c r="R34" s="686" t="str">
        <f t="shared" si="8"/>
        <v>--</v>
      </c>
      <c r="S34" s="510" t="str">
        <f t="shared" si="9"/>
        <v>--</v>
      </c>
      <c r="T34" s="511" t="str">
        <f t="shared" si="14"/>
        <v>--</v>
      </c>
      <c r="U34" s="687" t="str">
        <f t="shared" si="10"/>
        <v>--</v>
      </c>
      <c r="V34" s="507" t="str">
        <f t="shared" si="11"/>
        <v>--</v>
      </c>
      <c r="W34" s="352">
        <f t="shared" si="12"/>
      </c>
      <c r="X34" s="618">
        <f t="shared" si="13"/>
      </c>
      <c r="Y34" s="6"/>
    </row>
    <row r="35" spans="2:25" s="5" customFormat="1" ht="16.5" customHeight="1">
      <c r="B35" s="50"/>
      <c r="C35" s="354"/>
      <c r="D35" s="681"/>
      <c r="E35" s="609"/>
      <c r="F35" s="682"/>
      <c r="G35" s="503">
        <f t="shared" si="0"/>
        <v>0</v>
      </c>
      <c r="H35" s="611"/>
      <c r="I35" s="389"/>
      <c r="J35" s="612">
        <f t="shared" si="1"/>
      </c>
      <c r="K35" s="613">
        <f t="shared" si="2"/>
      </c>
      <c r="L35" s="431"/>
      <c r="M35" s="432">
        <f t="shared" si="3"/>
      </c>
      <c r="N35" s="352">
        <f t="shared" si="4"/>
      </c>
      <c r="O35" s="683">
        <f t="shared" si="5"/>
        <v>20</v>
      </c>
      <c r="P35" s="684" t="str">
        <f t="shared" si="6"/>
        <v>--</v>
      </c>
      <c r="Q35" s="685" t="str">
        <f t="shared" si="7"/>
        <v>--</v>
      </c>
      <c r="R35" s="686" t="str">
        <f t="shared" si="8"/>
        <v>--</v>
      </c>
      <c r="S35" s="510" t="str">
        <f t="shared" si="9"/>
        <v>--</v>
      </c>
      <c r="T35" s="511" t="str">
        <f t="shared" si="14"/>
        <v>--</v>
      </c>
      <c r="U35" s="687" t="str">
        <f t="shared" si="10"/>
        <v>--</v>
      </c>
      <c r="V35" s="507" t="str">
        <f t="shared" si="11"/>
        <v>--</v>
      </c>
      <c r="W35" s="352">
        <f t="shared" si="12"/>
      </c>
      <c r="X35" s="618">
        <f t="shared" si="13"/>
      </c>
      <c r="Y35" s="6"/>
    </row>
    <row r="36" spans="2:25" s="5" customFormat="1" ht="16.5" customHeight="1">
      <c r="B36" s="50"/>
      <c r="C36" s="486"/>
      <c r="D36" s="681"/>
      <c r="E36" s="609"/>
      <c r="F36" s="682"/>
      <c r="G36" s="503">
        <f t="shared" si="0"/>
        <v>0</v>
      </c>
      <c r="H36" s="611"/>
      <c r="I36" s="389"/>
      <c r="J36" s="612">
        <f t="shared" si="1"/>
      </c>
      <c r="K36" s="613">
        <f t="shared" si="2"/>
      </c>
      <c r="L36" s="431"/>
      <c r="M36" s="432">
        <f t="shared" si="3"/>
      </c>
      <c r="N36" s="352">
        <f t="shared" si="4"/>
      </c>
      <c r="O36" s="683">
        <f t="shared" si="5"/>
        <v>20</v>
      </c>
      <c r="P36" s="684" t="str">
        <f t="shared" si="6"/>
        <v>--</v>
      </c>
      <c r="Q36" s="685" t="str">
        <f t="shared" si="7"/>
        <v>--</v>
      </c>
      <c r="R36" s="686" t="str">
        <f t="shared" si="8"/>
        <v>--</v>
      </c>
      <c r="S36" s="510" t="str">
        <f t="shared" si="9"/>
        <v>--</v>
      </c>
      <c r="T36" s="511" t="str">
        <f t="shared" si="14"/>
        <v>--</v>
      </c>
      <c r="U36" s="687" t="str">
        <f t="shared" si="10"/>
        <v>--</v>
      </c>
      <c r="V36" s="507" t="str">
        <f t="shared" si="11"/>
        <v>--</v>
      </c>
      <c r="W36" s="352">
        <f t="shared" si="12"/>
      </c>
      <c r="X36" s="618">
        <f t="shared" si="13"/>
      </c>
      <c r="Y36" s="6"/>
    </row>
    <row r="37" spans="2:25" s="5" customFormat="1" ht="16.5" customHeight="1">
      <c r="B37" s="50"/>
      <c r="C37" s="354"/>
      <c r="D37" s="681"/>
      <c r="E37" s="609"/>
      <c r="F37" s="682"/>
      <c r="G37" s="503">
        <f t="shared" si="0"/>
        <v>0</v>
      </c>
      <c r="H37" s="611"/>
      <c r="I37" s="389"/>
      <c r="J37" s="612">
        <f t="shared" si="1"/>
      </c>
      <c r="K37" s="613">
        <f t="shared" si="2"/>
      </c>
      <c r="L37" s="431"/>
      <c r="M37" s="432">
        <f t="shared" si="3"/>
      </c>
      <c r="N37" s="352">
        <f t="shared" si="4"/>
      </c>
      <c r="O37" s="683">
        <f t="shared" si="5"/>
        <v>20</v>
      </c>
      <c r="P37" s="684" t="str">
        <f t="shared" si="6"/>
        <v>--</v>
      </c>
      <c r="Q37" s="685" t="str">
        <f t="shared" si="7"/>
        <v>--</v>
      </c>
      <c r="R37" s="686" t="str">
        <f t="shared" si="8"/>
        <v>--</v>
      </c>
      <c r="S37" s="510" t="str">
        <f t="shared" si="9"/>
        <v>--</v>
      </c>
      <c r="T37" s="511" t="str">
        <f t="shared" si="14"/>
        <v>--</v>
      </c>
      <c r="U37" s="687" t="str">
        <f t="shared" si="10"/>
        <v>--</v>
      </c>
      <c r="V37" s="507" t="str">
        <f t="shared" si="11"/>
        <v>--</v>
      </c>
      <c r="W37" s="352">
        <f t="shared" si="12"/>
      </c>
      <c r="X37" s="618">
        <f t="shared" si="13"/>
      </c>
      <c r="Y37" s="6"/>
    </row>
    <row r="38" spans="2:25" s="5" customFormat="1" ht="16.5" customHeight="1">
      <c r="B38" s="50"/>
      <c r="C38" s="486"/>
      <c r="D38" s="681"/>
      <c r="E38" s="609"/>
      <c r="F38" s="682"/>
      <c r="G38" s="503">
        <f t="shared" si="0"/>
        <v>0</v>
      </c>
      <c r="H38" s="611"/>
      <c r="I38" s="389"/>
      <c r="J38" s="612">
        <f t="shared" si="1"/>
      </c>
      <c r="K38" s="613">
        <f t="shared" si="2"/>
      </c>
      <c r="L38" s="431"/>
      <c r="M38" s="432">
        <f t="shared" si="3"/>
      </c>
      <c r="N38" s="352">
        <f t="shared" si="4"/>
      </c>
      <c r="O38" s="683">
        <f t="shared" si="5"/>
        <v>20</v>
      </c>
      <c r="P38" s="684" t="str">
        <f t="shared" si="6"/>
        <v>--</v>
      </c>
      <c r="Q38" s="685" t="str">
        <f t="shared" si="7"/>
        <v>--</v>
      </c>
      <c r="R38" s="686" t="str">
        <f t="shared" si="8"/>
        <v>--</v>
      </c>
      <c r="S38" s="510" t="str">
        <f t="shared" si="9"/>
        <v>--</v>
      </c>
      <c r="T38" s="511" t="str">
        <f t="shared" si="14"/>
        <v>--</v>
      </c>
      <c r="U38" s="687" t="str">
        <f t="shared" si="10"/>
        <v>--</v>
      </c>
      <c r="V38" s="507" t="str">
        <f t="shared" si="11"/>
        <v>--</v>
      </c>
      <c r="W38" s="352">
        <f t="shared" si="12"/>
      </c>
      <c r="X38" s="618">
        <f t="shared" si="13"/>
      </c>
      <c r="Y38" s="6"/>
    </row>
    <row r="39" spans="2:25" s="5" customFormat="1" ht="16.5" customHeight="1">
      <c r="B39" s="50"/>
      <c r="C39" s="354"/>
      <c r="D39" s="681"/>
      <c r="E39" s="609"/>
      <c r="F39" s="682"/>
      <c r="G39" s="503">
        <f t="shared" si="0"/>
        <v>0</v>
      </c>
      <c r="H39" s="611"/>
      <c r="I39" s="389"/>
      <c r="J39" s="612">
        <f t="shared" si="1"/>
      </c>
      <c r="K39" s="613">
        <f t="shared" si="2"/>
      </c>
      <c r="L39" s="431"/>
      <c r="M39" s="432">
        <f t="shared" si="3"/>
      </c>
      <c r="N39" s="352">
        <f t="shared" si="4"/>
      </c>
      <c r="O39" s="683">
        <f t="shared" si="5"/>
        <v>20</v>
      </c>
      <c r="P39" s="684" t="str">
        <f t="shared" si="6"/>
        <v>--</v>
      </c>
      <c r="Q39" s="685" t="str">
        <f t="shared" si="7"/>
        <v>--</v>
      </c>
      <c r="R39" s="686" t="str">
        <f t="shared" si="8"/>
        <v>--</v>
      </c>
      <c r="S39" s="510" t="str">
        <f t="shared" si="9"/>
        <v>--</v>
      </c>
      <c r="T39" s="511" t="str">
        <f t="shared" si="14"/>
        <v>--</v>
      </c>
      <c r="U39" s="687" t="str">
        <f t="shared" si="10"/>
        <v>--</v>
      </c>
      <c r="V39" s="507" t="str">
        <f t="shared" si="11"/>
        <v>--</v>
      </c>
      <c r="W39" s="352">
        <f t="shared" si="12"/>
      </c>
      <c r="X39" s="618">
        <f t="shared" si="13"/>
      </c>
      <c r="Y39" s="6"/>
    </row>
    <row r="40" spans="2:25" s="5" customFormat="1" ht="16.5" customHeight="1">
      <c r="B40" s="50"/>
      <c r="C40" s="486"/>
      <c r="D40" s="681"/>
      <c r="E40" s="609"/>
      <c r="F40" s="682"/>
      <c r="G40" s="503">
        <f t="shared" si="0"/>
        <v>0</v>
      </c>
      <c r="H40" s="611"/>
      <c r="I40" s="389"/>
      <c r="J40" s="612">
        <f t="shared" si="1"/>
      </c>
      <c r="K40" s="613">
        <f t="shared" si="2"/>
      </c>
      <c r="L40" s="431"/>
      <c r="M40" s="432">
        <f t="shared" si="3"/>
      </c>
      <c r="N40" s="352">
        <f t="shared" si="4"/>
      </c>
      <c r="O40" s="683">
        <f t="shared" si="5"/>
        <v>20</v>
      </c>
      <c r="P40" s="684" t="str">
        <f t="shared" si="6"/>
        <v>--</v>
      </c>
      <c r="Q40" s="685" t="str">
        <f t="shared" si="7"/>
        <v>--</v>
      </c>
      <c r="R40" s="686" t="str">
        <f t="shared" si="8"/>
        <v>--</v>
      </c>
      <c r="S40" s="510" t="str">
        <f t="shared" si="9"/>
        <v>--</v>
      </c>
      <c r="T40" s="511" t="str">
        <f t="shared" si="14"/>
        <v>--</v>
      </c>
      <c r="U40" s="687" t="str">
        <f t="shared" si="10"/>
        <v>--</v>
      </c>
      <c r="V40" s="507" t="str">
        <f t="shared" si="11"/>
        <v>--</v>
      </c>
      <c r="W40" s="352">
        <f t="shared" si="12"/>
      </c>
      <c r="X40" s="618">
        <f t="shared" si="13"/>
      </c>
      <c r="Y40" s="6"/>
    </row>
    <row r="41" spans="2:25" s="5" customFormat="1" ht="16.5" customHeight="1" thickBot="1">
      <c r="B41" s="50"/>
      <c r="C41" s="354"/>
      <c r="D41" s="689"/>
      <c r="E41" s="346"/>
      <c r="F41" s="690"/>
      <c r="G41" s="132"/>
      <c r="H41" s="619"/>
      <c r="I41" s="619"/>
      <c r="J41" s="620"/>
      <c r="K41" s="620"/>
      <c r="L41" s="619"/>
      <c r="M41" s="394"/>
      <c r="N41" s="351"/>
      <c r="O41" s="691"/>
      <c r="P41" s="692"/>
      <c r="Q41" s="693"/>
      <c r="R41" s="694"/>
      <c r="S41" s="528"/>
      <c r="T41" s="529"/>
      <c r="U41" s="695"/>
      <c r="V41" s="695"/>
      <c r="W41" s="351"/>
      <c r="X41" s="696"/>
      <c r="Y41" s="6"/>
    </row>
    <row r="42" spans="2:25" s="5" customFormat="1" ht="16.5" customHeight="1" thickBot="1" thickTop="1">
      <c r="B42" s="50"/>
      <c r="C42" s="128" t="s">
        <v>26</v>
      </c>
      <c r="D42" s="129" t="s">
        <v>407</v>
      </c>
      <c r="G42" s="4"/>
      <c r="H42" s="4"/>
      <c r="I42" s="4"/>
      <c r="J42" s="4"/>
      <c r="K42" s="4"/>
      <c r="L42" s="4"/>
      <c r="M42" s="4"/>
      <c r="N42" s="4"/>
      <c r="O42" s="4"/>
      <c r="P42" s="697">
        <f aca="true" t="shared" si="15" ref="P42:V42">SUM(P20:P41)</f>
        <v>218132.2</v>
      </c>
      <c r="Q42" s="698">
        <f t="shared" si="15"/>
        <v>0</v>
      </c>
      <c r="R42" s="699">
        <f t="shared" si="15"/>
        <v>0</v>
      </c>
      <c r="S42" s="538">
        <f t="shared" si="15"/>
        <v>0</v>
      </c>
      <c r="T42" s="539">
        <f t="shared" si="15"/>
        <v>0</v>
      </c>
      <c r="U42" s="700">
        <f t="shared" si="15"/>
        <v>0</v>
      </c>
      <c r="V42" s="700">
        <f t="shared" si="15"/>
        <v>0</v>
      </c>
      <c r="X42" s="101">
        <f>ROUND(SUM(X20:X41),2)</f>
        <v>218132.2</v>
      </c>
      <c r="Y42" s="701"/>
    </row>
    <row r="43" spans="2:25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6"/>
    </row>
    <row r="44" spans="4:27" ht="16.5" customHeight="1" thickTop="1">
      <c r="D44" s="378"/>
      <c r="E44" s="378"/>
      <c r="F44" s="378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</row>
    <row r="45" spans="4:27" ht="16.5" customHeight="1">
      <c r="D45" s="378"/>
      <c r="E45" s="378"/>
      <c r="F45" s="378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</row>
    <row r="46" spans="4:27" ht="16.5" customHeight="1">
      <c r="D46" s="378"/>
      <c r="E46" s="378"/>
      <c r="F46" s="378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</row>
    <row r="47" spans="4:27" ht="16.5" customHeight="1">
      <c r="D47" s="378"/>
      <c r="E47" s="378"/>
      <c r="F47" s="378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</row>
    <row r="48" spans="4:27" ht="16.5" customHeight="1">
      <c r="D48" s="378"/>
      <c r="E48" s="378"/>
      <c r="F48" s="378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</row>
    <row r="49" spans="4:27" ht="16.5" customHeight="1">
      <c r="D49" s="378"/>
      <c r="E49" s="378"/>
      <c r="F49" s="378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</row>
    <row r="50" spans="4:27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</row>
    <row r="51" spans="4:27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</row>
    <row r="52" spans="4:27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</row>
    <row r="53" spans="4:27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</row>
    <row r="54" spans="4:27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</row>
    <row r="55" spans="4:27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</row>
    <row r="56" spans="4:27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</row>
    <row r="57" spans="4:27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</row>
    <row r="58" spans="4:27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</row>
    <row r="59" spans="4:27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</row>
    <row r="60" spans="4:27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</row>
    <row r="61" spans="4:27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</row>
    <row r="62" spans="4:27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</row>
    <row r="63" spans="4:27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</row>
    <row r="64" spans="4:27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</row>
    <row r="65" spans="4:27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</row>
    <row r="66" spans="4:27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</row>
    <row r="67" spans="4:27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</row>
    <row r="68" spans="4:27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</row>
    <row r="69" spans="4:27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</row>
    <row r="70" spans="4:27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</row>
    <row r="71" spans="4:27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</row>
    <row r="72" spans="4:27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</row>
    <row r="73" spans="4:27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</row>
    <row r="74" spans="4:27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</row>
    <row r="75" spans="4:27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</row>
    <row r="76" spans="4:27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</row>
    <row r="77" spans="4:27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</row>
    <row r="78" spans="4:27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</row>
    <row r="79" spans="4:27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</row>
    <row r="80" spans="4:27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</row>
    <row r="81" spans="4:27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</row>
    <row r="82" spans="4:27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</row>
    <row r="83" spans="4:27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</row>
    <row r="84" spans="4:27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</row>
    <row r="85" spans="4:27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</row>
    <row r="86" spans="4:27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</row>
    <row r="87" spans="4:27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</row>
    <row r="88" spans="4:27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</row>
    <row r="89" spans="4:27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</row>
    <row r="90" spans="4:27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</row>
    <row r="91" spans="4:27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</row>
    <row r="92" spans="4:27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</row>
    <row r="93" spans="4:27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</row>
    <row r="94" spans="4:27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</row>
    <row r="95" spans="4:27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</row>
    <row r="96" spans="4:27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</row>
    <row r="97" spans="4:27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</row>
    <row r="98" spans="4:27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</row>
    <row r="99" spans="4:27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</row>
    <row r="100" spans="4:27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</row>
    <row r="101" spans="4:27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</row>
    <row r="102" spans="4:27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</row>
    <row r="103" spans="4:27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</row>
    <row r="104" spans="4:27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</row>
    <row r="105" spans="4:27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</row>
    <row r="106" spans="4:27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</row>
    <row r="107" spans="4:27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</row>
    <row r="108" spans="4:27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</row>
    <row r="109" spans="4:27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</row>
    <row r="110" spans="4:27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</row>
    <row r="111" spans="4:27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</row>
    <row r="112" spans="4:27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</row>
    <row r="113" spans="4:27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</row>
    <row r="114" spans="4:27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</row>
    <row r="115" spans="4:27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</row>
    <row r="116" spans="4:27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</row>
    <row r="117" spans="4:27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</row>
    <row r="118" spans="4:27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</row>
    <row r="119" spans="4:27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</row>
    <row r="120" spans="4:27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</row>
    <row r="121" spans="4:27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</row>
    <row r="122" spans="4:27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</row>
    <row r="123" spans="4:27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</row>
    <row r="124" spans="4:27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</row>
    <row r="125" spans="4:27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</row>
    <row r="126" spans="4:27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</row>
    <row r="127" spans="4:27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</row>
    <row r="128" spans="4:27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</row>
    <row r="129" spans="4:27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</row>
    <row r="130" spans="4:27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</row>
    <row r="131" spans="4:27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</row>
    <row r="132" spans="4:27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</row>
    <row r="133" spans="4:27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</row>
    <row r="134" spans="4:27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</row>
    <row r="135" spans="4:27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</row>
    <row r="136" spans="4:27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</row>
    <row r="137" spans="4:27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</row>
    <row r="138" spans="4:27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</row>
    <row r="139" spans="4:27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</row>
    <row r="140" spans="4:27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</row>
    <row r="141" spans="4:27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</row>
    <row r="142" spans="4:27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</row>
    <row r="143" spans="4:27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</row>
    <row r="144" spans="4:27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</row>
    <row r="145" spans="4:27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</row>
    <row r="146" spans="4:27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</row>
    <row r="147" spans="4:27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</row>
    <row r="148" spans="4:27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</row>
    <row r="149" spans="4:27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</row>
    <row r="150" spans="4:27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</row>
    <row r="151" spans="4:27" ht="16.5" customHeight="1">
      <c r="D151" s="376"/>
      <c r="E151" s="376"/>
      <c r="F151" s="376"/>
      <c r="Z151" s="376"/>
      <c r="AA151" s="376"/>
    </row>
    <row r="152" spans="4:6" ht="16.5" customHeight="1">
      <c r="D152" s="376"/>
      <c r="E152" s="376"/>
      <c r="F152" s="376"/>
    </row>
    <row r="153" spans="4:6" ht="16.5" customHeight="1">
      <c r="D153" s="376"/>
      <c r="E153" s="376"/>
      <c r="F153" s="376"/>
    </row>
    <row r="154" spans="4:6" ht="16.5" customHeight="1">
      <c r="D154" s="376"/>
      <c r="E154" s="376"/>
      <c r="F154" s="376"/>
    </row>
    <row r="155" spans="4:6" ht="16.5" customHeight="1">
      <c r="D155" s="376"/>
      <c r="E155" s="376"/>
      <c r="F155" s="376"/>
    </row>
    <row r="156" spans="4:6" ht="16.5" customHeight="1">
      <c r="D156" s="376"/>
      <c r="E156" s="376"/>
      <c r="F156" s="376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Y157"/>
  <sheetViews>
    <sheetView zoomScale="75" zoomScaleNormal="75" workbookViewId="0" topLeftCell="C13">
      <selection activeCell="F28" sqref="F28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18" width="5.7109375" style="0" hidden="1" customWidth="1"/>
    <col min="19" max="20" width="12.28125" style="0" hidden="1" customWidth="1"/>
    <col min="21" max="21" width="9.7109375" style="0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632" t="str">
        <f>'TOT-1008'!B2</f>
        <v>ANEXO V al Memorándum D.T.E.E. N°  366 / 2010        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375" t="s">
        <v>117</v>
      </c>
      <c r="E8" s="633"/>
      <c r="F8" s="372"/>
      <c r="G8" s="371"/>
      <c r="H8" s="371"/>
      <c r="I8" s="371"/>
      <c r="J8" s="371"/>
      <c r="K8" s="371"/>
      <c r="L8" s="371"/>
      <c r="M8" s="371"/>
      <c r="N8" s="372"/>
      <c r="O8" s="372"/>
      <c r="P8" s="372"/>
      <c r="Q8" s="372"/>
      <c r="R8" s="372"/>
      <c r="S8" s="372"/>
      <c r="T8" s="372"/>
      <c r="U8" s="372"/>
      <c r="V8" s="372"/>
      <c r="W8" s="634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118</v>
      </c>
      <c r="F10" s="635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 s="3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D12" s="11" t="s">
        <v>288</v>
      </c>
      <c r="F12" s="635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'TOT-1008'!B14</f>
        <v>Desde el 01 al 31 de octubre de 2008</v>
      </c>
      <c r="C14" s="636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6"/>
      <c r="Q14" s="636"/>
      <c r="R14" s="636"/>
      <c r="S14" s="636"/>
      <c r="T14" s="636"/>
      <c r="U14" s="636"/>
      <c r="V14" s="636"/>
      <c r="W14" s="638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117" t="s">
        <v>108</v>
      </c>
      <c r="E16" s="639"/>
      <c r="F16" s="1147">
        <v>0.319</v>
      </c>
      <c r="G16" s="574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640" t="s">
        <v>27</v>
      </c>
      <c r="E17" s="641"/>
      <c r="F17" s="1148">
        <v>20</v>
      </c>
      <c r="G17" s="574"/>
      <c r="H17"/>
      <c r="I17" s="411"/>
      <c r="J17" s="412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6"/>
    </row>
    <row r="18" spans="2:23" s="5" customFormat="1" ht="16.5" customHeight="1" thickBot="1" thickTop="1">
      <c r="B18" s="50"/>
      <c r="C18" s="66"/>
      <c r="D18" s="642"/>
      <c r="E18" s="643"/>
      <c r="F18" s="643"/>
      <c r="G18" s="395"/>
      <c r="H18" s="395"/>
      <c r="I18" s="395"/>
      <c r="J18" s="395"/>
      <c r="K18" s="395"/>
      <c r="L18" s="395"/>
      <c r="M18" s="395"/>
      <c r="N18" s="395"/>
      <c r="O18" s="644"/>
      <c r="P18" s="645"/>
      <c r="Q18" s="646"/>
      <c r="R18" s="646"/>
      <c r="S18" s="646"/>
      <c r="T18" s="646"/>
      <c r="U18" s="647"/>
      <c r="V18" s="648"/>
      <c r="W18" s="6"/>
    </row>
    <row r="19" spans="2:23" s="5" customFormat="1" ht="33.75" customHeight="1" thickBot="1" thickTop="1">
      <c r="B19" s="50"/>
      <c r="C19" s="84" t="s">
        <v>13</v>
      </c>
      <c r="D19" s="86" t="s">
        <v>28</v>
      </c>
      <c r="E19" s="85" t="s">
        <v>29</v>
      </c>
      <c r="F19" s="649" t="s">
        <v>30</v>
      </c>
      <c r="G19" s="130" t="s">
        <v>16</v>
      </c>
      <c r="H19" s="85" t="s">
        <v>17</v>
      </c>
      <c r="I19" s="85" t="s">
        <v>18</v>
      </c>
      <c r="J19" s="86" t="s">
        <v>37</v>
      </c>
      <c r="K19" s="86" t="s">
        <v>32</v>
      </c>
      <c r="L19" s="88" t="s">
        <v>19</v>
      </c>
      <c r="M19" s="88" t="s">
        <v>65</v>
      </c>
      <c r="N19" s="85" t="s">
        <v>33</v>
      </c>
      <c r="O19" s="130" t="s">
        <v>38</v>
      </c>
      <c r="P19" s="650" t="s">
        <v>97</v>
      </c>
      <c r="Q19" s="651" t="s">
        <v>120</v>
      </c>
      <c r="R19" s="652"/>
      <c r="S19" s="653" t="s">
        <v>22</v>
      </c>
      <c r="T19" s="467" t="s">
        <v>21</v>
      </c>
      <c r="U19" s="133" t="s">
        <v>106</v>
      </c>
      <c r="V19" s="654" t="s">
        <v>25</v>
      </c>
      <c r="W19" s="6"/>
    </row>
    <row r="20" spans="2:23" s="5" customFormat="1" ht="16.5" customHeight="1" thickTop="1">
      <c r="B20" s="50"/>
      <c r="C20" s="383"/>
      <c r="D20" s="1303"/>
      <c r="E20" s="1303"/>
      <c r="F20" s="1303"/>
      <c r="G20" s="134"/>
      <c r="H20" s="1304"/>
      <c r="I20" s="1304"/>
      <c r="J20" s="383"/>
      <c r="K20" s="383"/>
      <c r="L20" s="1303"/>
      <c r="M20" s="382"/>
      <c r="N20" s="383"/>
      <c r="O20" s="1305"/>
      <c r="P20" s="1306"/>
      <c r="Q20" s="660"/>
      <c r="R20" s="661"/>
      <c r="S20" s="1307"/>
      <c r="T20" s="1307"/>
      <c r="U20" s="383"/>
      <c r="V20" s="1308"/>
      <c r="W20" s="6"/>
    </row>
    <row r="21" spans="2:23" s="5" customFormat="1" ht="16.5" customHeight="1">
      <c r="B21" s="50"/>
      <c r="C21" s="10">
        <v>69</v>
      </c>
      <c r="D21" s="681" t="s">
        <v>386</v>
      </c>
      <c r="E21" s="609" t="s">
        <v>387</v>
      </c>
      <c r="F21" s="682">
        <v>150</v>
      </c>
      <c r="G21" s="503">
        <f aca="true" t="shared" si="0" ref="G21:G41">F21*$F$16</f>
        <v>47.85</v>
      </c>
      <c r="H21" s="611">
        <v>39743.441666666666</v>
      </c>
      <c r="I21" s="389">
        <v>39743.736805555556</v>
      </c>
      <c r="J21" s="612">
        <f aca="true" t="shared" si="1" ref="J21:J41">IF(D21="","",(I21-H21)*24)</f>
        <v>7.083333333372138</v>
      </c>
      <c r="K21" s="613">
        <f aca="true" t="shared" si="2" ref="K21:K41">IF(D21="","",ROUND((I21-H21)*24*60,0))</f>
        <v>425</v>
      </c>
      <c r="L21" s="431" t="s">
        <v>325</v>
      </c>
      <c r="M21" s="432" t="str">
        <f aca="true" t="shared" si="3" ref="M21:M41">IF(D21="","","--")</f>
        <v>--</v>
      </c>
      <c r="N21" s="352" t="str">
        <f aca="true" t="shared" si="4" ref="N21:N41">IF(D21="","",IF(OR(L21="P",L21="RP"),"--","NO"))</f>
        <v>NO</v>
      </c>
      <c r="O21" s="683">
        <f aca="true" t="shared" si="5" ref="O21:O41">IF(OR(L21="P",L21="RP"),$F$17/10,$F$17)</f>
        <v>20</v>
      </c>
      <c r="P21" s="684" t="str">
        <f aca="true" t="shared" si="6" ref="P21:P41">IF(L21="P",G21*O21*ROUND(K21/60,2),"--")</f>
        <v>--</v>
      </c>
      <c r="Q21" s="1300">
        <f aca="true" t="shared" si="7" ref="Q21:Q41">IF(AND(L21="F",N21="NO"),G21*O21,"--")</f>
        <v>957</v>
      </c>
      <c r="R21" s="1301">
        <f aca="true" t="shared" si="8" ref="R21:R41">IF(L21="F",G21*O21*ROUND(K21/60,2),"--")</f>
        <v>6775.56</v>
      </c>
      <c r="S21" s="1302" t="str">
        <f aca="true" t="shared" si="9" ref="S21:S41">IF(L21="RF",G21*O21*ROUND(K21/60,2),"--")</f>
        <v>--</v>
      </c>
      <c r="T21" s="507" t="s">
        <v>289</v>
      </c>
      <c r="U21" s="352" t="str">
        <f aca="true" t="shared" si="10" ref="U21:U41">IF(D21="","","SI")</f>
        <v>SI</v>
      </c>
      <c r="V21" s="618">
        <f aca="true" t="shared" si="11" ref="V21:V41">IF(D21="","",SUM(P21:T21)*IF(U21="SI",1,2)*IF(AND(M21&lt;&gt;"--",L21="RF"),M21/100,1))</f>
        <v>7732.56</v>
      </c>
      <c r="W21" s="6"/>
    </row>
    <row r="22" spans="2:23" s="5" customFormat="1" ht="16.5" customHeight="1">
      <c r="B22" s="50"/>
      <c r="C22" s="486"/>
      <c r="D22" s="681"/>
      <c r="E22" s="609"/>
      <c r="F22" s="682"/>
      <c r="G22" s="503">
        <f t="shared" si="0"/>
        <v>0</v>
      </c>
      <c r="H22" s="611"/>
      <c r="I22" s="389"/>
      <c r="J22" s="612">
        <f t="shared" si="1"/>
      </c>
      <c r="K22" s="613">
        <f t="shared" si="2"/>
      </c>
      <c r="L22" s="431"/>
      <c r="M22" s="432">
        <f t="shared" si="3"/>
      </c>
      <c r="N22" s="352">
        <f t="shared" si="4"/>
      </c>
      <c r="O22" s="683">
        <f t="shared" si="5"/>
        <v>20</v>
      </c>
      <c r="P22" s="684" t="str">
        <f t="shared" si="6"/>
        <v>--</v>
      </c>
      <c r="Q22" s="685" t="str">
        <f t="shared" si="7"/>
        <v>--</v>
      </c>
      <c r="R22" s="686" t="str">
        <f t="shared" si="8"/>
        <v>--</v>
      </c>
      <c r="S22" s="687" t="str">
        <f t="shared" si="9"/>
        <v>--</v>
      </c>
      <c r="T22" s="507" t="str">
        <f aca="true" t="shared" si="12" ref="T22:T41">IF(L22="RP",G22*O22*M22/100*ROUND(K22/60,2),"--")</f>
        <v>--</v>
      </c>
      <c r="U22" s="352">
        <f t="shared" si="10"/>
      </c>
      <c r="V22" s="618">
        <f t="shared" si="11"/>
      </c>
      <c r="W22" s="688"/>
    </row>
    <row r="23" spans="2:23" s="5" customFormat="1" ht="16.5" customHeight="1">
      <c r="B23" s="50"/>
      <c r="C23" s="354"/>
      <c r="D23" s="681"/>
      <c r="E23" s="609"/>
      <c r="F23" s="682"/>
      <c r="G23" s="503">
        <f t="shared" si="0"/>
        <v>0</v>
      </c>
      <c r="H23" s="611"/>
      <c r="I23" s="389"/>
      <c r="J23" s="612">
        <f t="shared" si="1"/>
      </c>
      <c r="K23" s="613">
        <f t="shared" si="2"/>
      </c>
      <c r="L23" s="431"/>
      <c r="M23" s="432">
        <f t="shared" si="3"/>
      </c>
      <c r="N23" s="352">
        <f t="shared" si="4"/>
      </c>
      <c r="O23" s="683">
        <f t="shared" si="5"/>
        <v>20</v>
      </c>
      <c r="P23" s="684" t="str">
        <f t="shared" si="6"/>
        <v>--</v>
      </c>
      <c r="Q23" s="685" t="str">
        <f t="shared" si="7"/>
        <v>--</v>
      </c>
      <c r="R23" s="686" t="str">
        <f t="shared" si="8"/>
        <v>--</v>
      </c>
      <c r="S23" s="687" t="str">
        <f t="shared" si="9"/>
        <v>--</v>
      </c>
      <c r="T23" s="507" t="str">
        <f t="shared" si="12"/>
        <v>--</v>
      </c>
      <c r="U23" s="352">
        <f t="shared" si="10"/>
      </c>
      <c r="V23" s="618">
        <f t="shared" si="11"/>
      </c>
      <c r="W23" s="688"/>
    </row>
    <row r="24" spans="2:23" s="5" customFormat="1" ht="16.5" customHeight="1">
      <c r="B24" s="50"/>
      <c r="C24" s="486"/>
      <c r="D24" s="681"/>
      <c r="E24" s="609"/>
      <c r="F24" s="682"/>
      <c r="G24" s="503">
        <f t="shared" si="0"/>
        <v>0</v>
      </c>
      <c r="H24" s="611"/>
      <c r="I24" s="389"/>
      <c r="J24" s="612">
        <f t="shared" si="1"/>
      </c>
      <c r="K24" s="613">
        <f t="shared" si="2"/>
      </c>
      <c r="L24" s="431"/>
      <c r="M24" s="432">
        <f t="shared" si="3"/>
      </c>
      <c r="N24" s="352">
        <f t="shared" si="4"/>
      </c>
      <c r="O24" s="683">
        <f t="shared" si="5"/>
        <v>20</v>
      </c>
      <c r="P24" s="684" t="str">
        <f t="shared" si="6"/>
        <v>--</v>
      </c>
      <c r="Q24" s="685" t="str">
        <f t="shared" si="7"/>
        <v>--</v>
      </c>
      <c r="R24" s="686" t="str">
        <f t="shared" si="8"/>
        <v>--</v>
      </c>
      <c r="S24" s="687" t="str">
        <f t="shared" si="9"/>
        <v>--</v>
      </c>
      <c r="T24" s="507" t="str">
        <f t="shared" si="12"/>
        <v>--</v>
      </c>
      <c r="U24" s="352">
        <f t="shared" si="10"/>
      </c>
      <c r="V24" s="618">
        <f t="shared" si="11"/>
      </c>
      <c r="W24" s="688"/>
    </row>
    <row r="25" spans="2:23" s="5" customFormat="1" ht="16.5" customHeight="1">
      <c r="B25" s="50"/>
      <c r="C25" s="354"/>
      <c r="D25" s="681"/>
      <c r="E25" s="609"/>
      <c r="F25" s="682"/>
      <c r="G25" s="503">
        <f t="shared" si="0"/>
        <v>0</v>
      </c>
      <c r="H25" s="611"/>
      <c r="I25" s="389"/>
      <c r="J25" s="612">
        <f t="shared" si="1"/>
      </c>
      <c r="K25" s="613">
        <f t="shared" si="2"/>
      </c>
      <c r="L25" s="431"/>
      <c r="M25" s="432">
        <f t="shared" si="3"/>
      </c>
      <c r="N25" s="352">
        <f t="shared" si="4"/>
      </c>
      <c r="O25" s="683">
        <f t="shared" si="5"/>
        <v>20</v>
      </c>
      <c r="P25" s="684" t="str">
        <f t="shared" si="6"/>
        <v>--</v>
      </c>
      <c r="Q25" s="685" t="str">
        <f t="shared" si="7"/>
        <v>--</v>
      </c>
      <c r="R25" s="686" t="str">
        <f t="shared" si="8"/>
        <v>--</v>
      </c>
      <c r="S25" s="687" t="str">
        <f t="shared" si="9"/>
        <v>--</v>
      </c>
      <c r="T25" s="507" t="str">
        <f t="shared" si="12"/>
        <v>--</v>
      </c>
      <c r="U25" s="352">
        <f t="shared" si="10"/>
      </c>
      <c r="V25" s="618">
        <f t="shared" si="11"/>
      </c>
      <c r="W25" s="688"/>
    </row>
    <row r="26" spans="2:23" s="5" customFormat="1" ht="16.5" customHeight="1">
      <c r="B26" s="50"/>
      <c r="C26" s="486"/>
      <c r="D26" s="681"/>
      <c r="E26" s="609"/>
      <c r="F26" s="682"/>
      <c r="G26" s="503">
        <f t="shared" si="0"/>
        <v>0</v>
      </c>
      <c r="H26" s="611"/>
      <c r="I26" s="389"/>
      <c r="J26" s="612">
        <f t="shared" si="1"/>
      </c>
      <c r="K26" s="613">
        <f t="shared" si="2"/>
      </c>
      <c r="L26" s="431"/>
      <c r="M26" s="432">
        <f t="shared" si="3"/>
      </c>
      <c r="N26" s="352">
        <f t="shared" si="4"/>
      </c>
      <c r="O26" s="683">
        <f t="shared" si="5"/>
        <v>20</v>
      </c>
      <c r="P26" s="684" t="str">
        <f t="shared" si="6"/>
        <v>--</v>
      </c>
      <c r="Q26" s="685" t="str">
        <f t="shared" si="7"/>
        <v>--</v>
      </c>
      <c r="R26" s="686" t="str">
        <f t="shared" si="8"/>
        <v>--</v>
      </c>
      <c r="S26" s="687" t="str">
        <f t="shared" si="9"/>
        <v>--</v>
      </c>
      <c r="T26" s="507" t="str">
        <f t="shared" si="12"/>
        <v>--</v>
      </c>
      <c r="U26" s="352">
        <f t="shared" si="10"/>
      </c>
      <c r="V26" s="618">
        <f t="shared" si="11"/>
      </c>
      <c r="W26" s="688"/>
    </row>
    <row r="27" spans="2:23" s="5" customFormat="1" ht="16.5" customHeight="1">
      <c r="B27" s="50"/>
      <c r="C27" s="10"/>
      <c r="D27" s="681"/>
      <c r="E27" s="609"/>
      <c r="F27" s="682"/>
      <c r="G27" s="503"/>
      <c r="H27" s="611"/>
      <c r="I27" s="389"/>
      <c r="J27" s="612"/>
      <c r="K27" s="613"/>
      <c r="L27" s="431"/>
      <c r="M27" s="432">
        <f>IF(D27="","","--")</f>
      </c>
      <c r="N27" s="352">
        <f>IF(D27="","",IF(OR(L27="P",L27="RP"),"--","NO"))</f>
      </c>
      <c r="O27" s="683">
        <f>IF(OR(L27="P",L27="RP"),$F$17/10,$F$17)</f>
        <v>20</v>
      </c>
      <c r="P27" s="684" t="str">
        <f>IF(L27="P",G27*O27*ROUND(K27/60,2),"--")</f>
        <v>--</v>
      </c>
      <c r="Q27" s="685" t="str">
        <f>IF(AND(L27="F",N27="NO"),G27*O27,"--")</f>
        <v>--</v>
      </c>
      <c r="R27" s="686" t="str">
        <f>IF(L27="F",G27*O27*ROUND(K27/60,2),"--")</f>
        <v>--</v>
      </c>
      <c r="S27" s="687" t="str">
        <f>IF(L27="RF",G27*O27*ROUND(K27/60,2),"--")</f>
        <v>--</v>
      </c>
      <c r="T27" s="507" t="str">
        <f>IF(L27="RP",G27*O27*M27/100*ROUND(K27/60,2),"--")</f>
        <v>--</v>
      </c>
      <c r="U27" s="352">
        <f>IF(D27="","","SI")</f>
      </c>
      <c r="V27" s="618">
        <f>IF(D27="","",SUM(P27:T27)*IF(U27="SI",1,2)*IF(AND(M27&lt;&gt;"--",L27="RF"),M27/100,1))</f>
      </c>
      <c r="W27" s="688"/>
    </row>
    <row r="28" spans="2:23" s="5" customFormat="1" ht="16.5" customHeight="1">
      <c r="B28" s="50"/>
      <c r="C28" s="10"/>
      <c r="D28" s="681"/>
      <c r="E28" s="609"/>
      <c r="F28" s="682"/>
      <c r="G28" s="503"/>
      <c r="H28" s="611"/>
      <c r="I28" s="389"/>
      <c r="J28" s="612"/>
      <c r="K28" s="613"/>
      <c r="L28" s="431"/>
      <c r="M28" s="432">
        <f>IF(D28="","","--")</f>
      </c>
      <c r="N28" s="352">
        <f>IF(D28="","",IF(OR(L28="P",L28="RP"),"--","NO"))</f>
      </c>
      <c r="O28" s="683">
        <f>IF(OR(L28="P",L28="RP"),$F$17/10,$F$17)</f>
        <v>20</v>
      </c>
      <c r="P28" s="684" t="str">
        <f>IF(L28="P",G28*O28*ROUND(K28/60,2),"--")</f>
        <v>--</v>
      </c>
      <c r="Q28" s="685" t="str">
        <f>IF(AND(L28="F",N28="NO"),G28*O28,"--")</f>
        <v>--</v>
      </c>
      <c r="R28" s="686" t="str">
        <f>IF(L28="F",G28*O28*ROUND(K28/60,2),"--")</f>
        <v>--</v>
      </c>
      <c r="S28" s="687" t="str">
        <f>IF(L28="RF",G28*O28*ROUND(K28/60,2),"--")</f>
        <v>--</v>
      </c>
      <c r="T28" s="507" t="str">
        <f>IF(L28="RP",G28*O28*M28/100*ROUND(K28/60,2),"--")</f>
        <v>--</v>
      </c>
      <c r="U28" s="352">
        <f>IF(D28="","","SI")</f>
      </c>
      <c r="V28" s="618">
        <f>IF(D28="","",SUM(P28:T28)*IF(U28="SI",1,2)*IF(AND(M28&lt;&gt;"--",L28="RF"),M28/100,1))</f>
      </c>
      <c r="W28" s="688"/>
    </row>
    <row r="29" spans="2:23" s="5" customFormat="1" ht="16.5" customHeight="1">
      <c r="B29" s="50"/>
      <c r="C29" s="10"/>
      <c r="D29" s="681"/>
      <c r="E29" s="609"/>
      <c r="F29" s="682"/>
      <c r="G29" s="503"/>
      <c r="H29" s="611"/>
      <c r="I29" s="389"/>
      <c r="J29" s="612"/>
      <c r="K29" s="613"/>
      <c r="L29" s="431"/>
      <c r="M29" s="432">
        <f>IF(D29="","","--")</f>
      </c>
      <c r="N29" s="352">
        <f>IF(D29="","",IF(OR(L29="P",L29="RP"),"--","NO"))</f>
      </c>
      <c r="O29" s="683">
        <f>IF(OR(L29="P",L29="RP"),$F$17/10,$F$17)</f>
        <v>20</v>
      </c>
      <c r="P29" s="684" t="str">
        <f>IF(L29="P",G29*O29*ROUND(K29/60,2),"--")</f>
        <v>--</v>
      </c>
      <c r="Q29" s="685" t="str">
        <f>IF(AND(L29="F",N29="NO"),G29*O29,"--")</f>
        <v>--</v>
      </c>
      <c r="R29" s="686" t="str">
        <f>IF(L29="F",G29*O29*ROUND(K29/60,2),"--")</f>
        <v>--</v>
      </c>
      <c r="S29" s="687" t="str">
        <f>IF(L29="RF",G29*O29*ROUND(K29/60,2),"--")</f>
        <v>--</v>
      </c>
      <c r="T29" s="507" t="str">
        <f>IF(L29="RP",G29*O29*M29/100*ROUND(K29/60,2),"--")</f>
        <v>--</v>
      </c>
      <c r="U29" s="352">
        <f>IF(D29="","","SI")</f>
      </c>
      <c r="V29" s="618">
        <f>IF(D29="","",SUM(P29:T29)*IF(U29="SI",1,2)*IF(AND(M29&lt;&gt;"--",L29="RF"),M29/100,1))</f>
      </c>
      <c r="W29" s="688"/>
    </row>
    <row r="30" spans="2:23" s="5" customFormat="1" ht="16.5" customHeight="1">
      <c r="B30" s="50"/>
      <c r="C30" s="10"/>
      <c r="D30" s="681"/>
      <c r="E30" s="609"/>
      <c r="F30" s="682"/>
      <c r="G30" s="503"/>
      <c r="H30" s="611"/>
      <c r="I30" s="389"/>
      <c r="J30" s="612"/>
      <c r="K30" s="613"/>
      <c r="L30" s="431"/>
      <c r="M30" s="432">
        <f>IF(D30="","","--")</f>
      </c>
      <c r="N30" s="352">
        <f>IF(D30="","",IF(OR(L30="P",L30="RP"),"--","NO"))</f>
      </c>
      <c r="O30" s="683">
        <f>IF(OR(L30="P",L30="RP"),$F$17/10,$F$17)</f>
        <v>20</v>
      </c>
      <c r="P30" s="684" t="str">
        <f>IF(L30="P",G30*O30*ROUND(K30/60,2),"--")</f>
        <v>--</v>
      </c>
      <c r="Q30" s="685" t="str">
        <f>IF(AND(L30="F",N30="NO"),G30*O30,"--")</f>
        <v>--</v>
      </c>
      <c r="R30" s="686" t="str">
        <f>IF(L30="F",G30*O30*ROUND(K30/60,2),"--")</f>
        <v>--</v>
      </c>
      <c r="S30" s="687" t="str">
        <f>IF(L30="RF",G30*O30*ROUND(K30/60,2),"--")</f>
        <v>--</v>
      </c>
      <c r="T30" s="507" t="str">
        <f>IF(L30="RP",G30*O30*M30/100*ROUND(K30/60,2),"--")</f>
        <v>--</v>
      </c>
      <c r="U30" s="352">
        <f>IF(D30="","","SI")</f>
      </c>
      <c r="V30" s="618">
        <f>IF(D30="","",SUM(P30:T30)*IF(U30="SI",1,2)*IF(AND(M30&lt;&gt;"--",L30="RF"),M30/100,1))</f>
      </c>
      <c r="W30" s="688"/>
    </row>
    <row r="31" spans="2:23" s="5" customFormat="1" ht="16.5" customHeight="1">
      <c r="B31" s="50"/>
      <c r="C31" s="354"/>
      <c r="D31" s="681"/>
      <c r="E31" s="609"/>
      <c r="F31" s="682"/>
      <c r="G31" s="503">
        <f t="shared" si="0"/>
        <v>0</v>
      </c>
      <c r="H31" s="611"/>
      <c r="I31" s="389"/>
      <c r="J31" s="612">
        <f t="shared" si="1"/>
      </c>
      <c r="K31" s="613">
        <f t="shared" si="2"/>
      </c>
      <c r="L31" s="431"/>
      <c r="M31" s="432">
        <f t="shared" si="3"/>
      </c>
      <c r="N31" s="352">
        <f t="shared" si="4"/>
      </c>
      <c r="O31" s="683">
        <f t="shared" si="5"/>
        <v>20</v>
      </c>
      <c r="P31" s="684" t="str">
        <f t="shared" si="6"/>
        <v>--</v>
      </c>
      <c r="Q31" s="685" t="str">
        <f t="shared" si="7"/>
        <v>--</v>
      </c>
      <c r="R31" s="686" t="str">
        <f t="shared" si="8"/>
        <v>--</v>
      </c>
      <c r="S31" s="687" t="str">
        <f t="shared" si="9"/>
        <v>--</v>
      </c>
      <c r="T31" s="507" t="str">
        <f t="shared" si="12"/>
        <v>--</v>
      </c>
      <c r="U31" s="352">
        <f t="shared" si="10"/>
      </c>
      <c r="V31" s="618">
        <f t="shared" si="11"/>
      </c>
      <c r="W31" s="688"/>
    </row>
    <row r="32" spans="2:23" s="5" customFormat="1" ht="16.5" customHeight="1">
      <c r="B32" s="50"/>
      <c r="C32" s="486"/>
      <c r="D32" s="681"/>
      <c r="E32" s="609"/>
      <c r="F32" s="682"/>
      <c r="G32" s="503">
        <f t="shared" si="0"/>
        <v>0</v>
      </c>
      <c r="H32" s="611"/>
      <c r="I32" s="389"/>
      <c r="J32" s="612">
        <f t="shared" si="1"/>
      </c>
      <c r="K32" s="613">
        <f t="shared" si="2"/>
      </c>
      <c r="L32" s="431"/>
      <c r="M32" s="432">
        <f t="shared" si="3"/>
      </c>
      <c r="N32" s="352">
        <f t="shared" si="4"/>
      </c>
      <c r="O32" s="683">
        <f t="shared" si="5"/>
        <v>20</v>
      </c>
      <c r="P32" s="684" t="str">
        <f t="shared" si="6"/>
        <v>--</v>
      </c>
      <c r="Q32" s="685" t="str">
        <f t="shared" si="7"/>
        <v>--</v>
      </c>
      <c r="R32" s="686" t="str">
        <f t="shared" si="8"/>
        <v>--</v>
      </c>
      <c r="S32" s="687" t="str">
        <f t="shared" si="9"/>
        <v>--</v>
      </c>
      <c r="T32" s="507" t="str">
        <f t="shared" si="12"/>
        <v>--</v>
      </c>
      <c r="U32" s="352">
        <f t="shared" si="10"/>
      </c>
      <c r="V32" s="618">
        <f t="shared" si="11"/>
      </c>
      <c r="W32" s="6"/>
    </row>
    <row r="33" spans="2:23" s="5" customFormat="1" ht="16.5" customHeight="1">
      <c r="B33" s="50"/>
      <c r="C33" s="354"/>
      <c r="D33" s="681"/>
      <c r="E33" s="609"/>
      <c r="F33" s="682"/>
      <c r="G33" s="503">
        <f t="shared" si="0"/>
        <v>0</v>
      </c>
      <c r="H33" s="611"/>
      <c r="I33" s="389"/>
      <c r="J33" s="612">
        <f t="shared" si="1"/>
      </c>
      <c r="K33" s="613">
        <f t="shared" si="2"/>
      </c>
      <c r="L33" s="431"/>
      <c r="M33" s="432">
        <f t="shared" si="3"/>
      </c>
      <c r="N33" s="352">
        <f t="shared" si="4"/>
      </c>
      <c r="O33" s="683">
        <f t="shared" si="5"/>
        <v>20</v>
      </c>
      <c r="P33" s="684" t="str">
        <f t="shared" si="6"/>
        <v>--</v>
      </c>
      <c r="Q33" s="685" t="str">
        <f t="shared" si="7"/>
        <v>--</v>
      </c>
      <c r="R33" s="686" t="str">
        <f t="shared" si="8"/>
        <v>--</v>
      </c>
      <c r="S33" s="687" t="str">
        <f t="shared" si="9"/>
        <v>--</v>
      </c>
      <c r="T33" s="507" t="str">
        <f t="shared" si="12"/>
        <v>--</v>
      </c>
      <c r="U33" s="352">
        <f t="shared" si="10"/>
      </c>
      <c r="V33" s="618">
        <f t="shared" si="11"/>
      </c>
      <c r="W33" s="6"/>
    </row>
    <row r="34" spans="2:23" s="5" customFormat="1" ht="16.5" customHeight="1">
      <c r="B34" s="50"/>
      <c r="C34" s="486"/>
      <c r="D34" s="681"/>
      <c r="E34" s="609"/>
      <c r="F34" s="682"/>
      <c r="G34" s="503">
        <f t="shared" si="0"/>
        <v>0</v>
      </c>
      <c r="H34" s="611"/>
      <c r="I34" s="389"/>
      <c r="J34" s="612">
        <f t="shared" si="1"/>
      </c>
      <c r="K34" s="613">
        <f t="shared" si="2"/>
      </c>
      <c r="L34" s="431"/>
      <c r="M34" s="432">
        <f t="shared" si="3"/>
      </c>
      <c r="N34" s="352">
        <f t="shared" si="4"/>
      </c>
      <c r="O34" s="683">
        <f t="shared" si="5"/>
        <v>20</v>
      </c>
      <c r="P34" s="684" t="str">
        <f t="shared" si="6"/>
        <v>--</v>
      </c>
      <c r="Q34" s="685" t="str">
        <f t="shared" si="7"/>
        <v>--</v>
      </c>
      <c r="R34" s="686" t="str">
        <f t="shared" si="8"/>
        <v>--</v>
      </c>
      <c r="S34" s="687" t="str">
        <f t="shared" si="9"/>
        <v>--</v>
      </c>
      <c r="T34" s="507" t="str">
        <f t="shared" si="12"/>
        <v>--</v>
      </c>
      <c r="U34" s="352">
        <f t="shared" si="10"/>
      </c>
      <c r="V34" s="618">
        <f t="shared" si="11"/>
      </c>
      <c r="W34" s="6"/>
    </row>
    <row r="35" spans="2:23" s="5" customFormat="1" ht="16.5" customHeight="1">
      <c r="B35" s="50"/>
      <c r="C35" s="354"/>
      <c r="D35" s="681"/>
      <c r="E35" s="609"/>
      <c r="F35" s="682"/>
      <c r="G35" s="503">
        <f t="shared" si="0"/>
        <v>0</v>
      </c>
      <c r="H35" s="611"/>
      <c r="I35" s="389"/>
      <c r="J35" s="612">
        <f t="shared" si="1"/>
      </c>
      <c r="K35" s="613">
        <f t="shared" si="2"/>
      </c>
      <c r="L35" s="431"/>
      <c r="M35" s="432">
        <f t="shared" si="3"/>
      </c>
      <c r="N35" s="352">
        <f t="shared" si="4"/>
      </c>
      <c r="O35" s="683">
        <f t="shared" si="5"/>
        <v>20</v>
      </c>
      <c r="P35" s="684" t="str">
        <f t="shared" si="6"/>
        <v>--</v>
      </c>
      <c r="Q35" s="685" t="str">
        <f t="shared" si="7"/>
        <v>--</v>
      </c>
      <c r="R35" s="686" t="str">
        <f t="shared" si="8"/>
        <v>--</v>
      </c>
      <c r="S35" s="687" t="str">
        <f t="shared" si="9"/>
        <v>--</v>
      </c>
      <c r="T35" s="507" t="str">
        <f t="shared" si="12"/>
        <v>--</v>
      </c>
      <c r="U35" s="352">
        <f t="shared" si="10"/>
      </c>
      <c r="V35" s="618">
        <f t="shared" si="11"/>
      </c>
      <c r="W35" s="6"/>
    </row>
    <row r="36" spans="2:23" s="5" customFormat="1" ht="16.5" customHeight="1">
      <c r="B36" s="50"/>
      <c r="C36" s="486"/>
      <c r="D36" s="681"/>
      <c r="E36" s="609"/>
      <c r="F36" s="682"/>
      <c r="G36" s="503">
        <f t="shared" si="0"/>
        <v>0</v>
      </c>
      <c r="H36" s="611"/>
      <c r="I36" s="389"/>
      <c r="J36" s="612">
        <f t="shared" si="1"/>
      </c>
      <c r="K36" s="613">
        <f t="shared" si="2"/>
      </c>
      <c r="L36" s="431"/>
      <c r="M36" s="432">
        <f t="shared" si="3"/>
      </c>
      <c r="N36" s="352">
        <f t="shared" si="4"/>
      </c>
      <c r="O36" s="683">
        <f t="shared" si="5"/>
        <v>20</v>
      </c>
      <c r="P36" s="684" t="str">
        <f t="shared" si="6"/>
        <v>--</v>
      </c>
      <c r="Q36" s="685" t="str">
        <f t="shared" si="7"/>
        <v>--</v>
      </c>
      <c r="R36" s="686" t="str">
        <f t="shared" si="8"/>
        <v>--</v>
      </c>
      <c r="S36" s="687" t="str">
        <f t="shared" si="9"/>
        <v>--</v>
      </c>
      <c r="T36" s="507" t="str">
        <f t="shared" si="12"/>
        <v>--</v>
      </c>
      <c r="U36" s="352">
        <f t="shared" si="10"/>
      </c>
      <c r="V36" s="618">
        <f t="shared" si="11"/>
      </c>
      <c r="W36" s="6"/>
    </row>
    <row r="37" spans="2:23" s="5" customFormat="1" ht="16.5" customHeight="1">
      <c r="B37" s="50"/>
      <c r="C37" s="354"/>
      <c r="D37" s="681"/>
      <c r="E37" s="609"/>
      <c r="F37" s="682"/>
      <c r="G37" s="503">
        <f t="shared" si="0"/>
        <v>0</v>
      </c>
      <c r="H37" s="611"/>
      <c r="I37" s="389"/>
      <c r="J37" s="612">
        <f t="shared" si="1"/>
      </c>
      <c r="K37" s="613">
        <f t="shared" si="2"/>
      </c>
      <c r="L37" s="431"/>
      <c r="M37" s="432">
        <f t="shared" si="3"/>
      </c>
      <c r="N37" s="352">
        <f t="shared" si="4"/>
      </c>
      <c r="O37" s="683">
        <f t="shared" si="5"/>
        <v>20</v>
      </c>
      <c r="P37" s="684" t="str">
        <f t="shared" si="6"/>
        <v>--</v>
      </c>
      <c r="Q37" s="685" t="str">
        <f t="shared" si="7"/>
        <v>--</v>
      </c>
      <c r="R37" s="686" t="str">
        <f t="shared" si="8"/>
        <v>--</v>
      </c>
      <c r="S37" s="687" t="str">
        <f t="shared" si="9"/>
        <v>--</v>
      </c>
      <c r="T37" s="507" t="str">
        <f t="shared" si="12"/>
        <v>--</v>
      </c>
      <c r="U37" s="352">
        <f t="shared" si="10"/>
      </c>
      <c r="V37" s="618">
        <f t="shared" si="11"/>
      </c>
      <c r="W37" s="6"/>
    </row>
    <row r="38" spans="2:23" s="5" customFormat="1" ht="16.5" customHeight="1">
      <c r="B38" s="50"/>
      <c r="C38" s="486"/>
      <c r="D38" s="681"/>
      <c r="E38" s="609"/>
      <c r="F38" s="682"/>
      <c r="G38" s="503">
        <f t="shared" si="0"/>
        <v>0</v>
      </c>
      <c r="H38" s="611"/>
      <c r="I38" s="389"/>
      <c r="J38" s="612">
        <f t="shared" si="1"/>
      </c>
      <c r="K38" s="613">
        <f t="shared" si="2"/>
      </c>
      <c r="L38" s="431"/>
      <c r="M38" s="432">
        <f t="shared" si="3"/>
      </c>
      <c r="N38" s="352">
        <f t="shared" si="4"/>
      </c>
      <c r="O38" s="683">
        <f t="shared" si="5"/>
        <v>20</v>
      </c>
      <c r="P38" s="684" t="str">
        <f t="shared" si="6"/>
        <v>--</v>
      </c>
      <c r="Q38" s="685" t="str">
        <f t="shared" si="7"/>
        <v>--</v>
      </c>
      <c r="R38" s="686" t="str">
        <f t="shared" si="8"/>
        <v>--</v>
      </c>
      <c r="S38" s="687" t="str">
        <f t="shared" si="9"/>
        <v>--</v>
      </c>
      <c r="T38" s="507" t="str">
        <f t="shared" si="12"/>
        <v>--</v>
      </c>
      <c r="U38" s="352">
        <f t="shared" si="10"/>
      </c>
      <c r="V38" s="618">
        <f t="shared" si="11"/>
      </c>
      <c r="W38" s="6"/>
    </row>
    <row r="39" spans="2:23" s="5" customFormat="1" ht="16.5" customHeight="1">
      <c r="B39" s="50"/>
      <c r="C39" s="354"/>
      <c r="D39" s="681"/>
      <c r="E39" s="609"/>
      <c r="F39" s="682"/>
      <c r="G39" s="503">
        <f t="shared" si="0"/>
        <v>0</v>
      </c>
      <c r="H39" s="611"/>
      <c r="I39" s="389"/>
      <c r="J39" s="612">
        <f t="shared" si="1"/>
      </c>
      <c r="K39" s="613">
        <f t="shared" si="2"/>
      </c>
      <c r="L39" s="431"/>
      <c r="M39" s="432">
        <f t="shared" si="3"/>
      </c>
      <c r="N39" s="352">
        <f t="shared" si="4"/>
      </c>
      <c r="O39" s="683">
        <f t="shared" si="5"/>
        <v>20</v>
      </c>
      <c r="P39" s="684" t="str">
        <f t="shared" si="6"/>
        <v>--</v>
      </c>
      <c r="Q39" s="685" t="str">
        <f t="shared" si="7"/>
        <v>--</v>
      </c>
      <c r="R39" s="686" t="str">
        <f t="shared" si="8"/>
        <v>--</v>
      </c>
      <c r="S39" s="687" t="str">
        <f t="shared" si="9"/>
        <v>--</v>
      </c>
      <c r="T39" s="507" t="str">
        <f t="shared" si="12"/>
        <v>--</v>
      </c>
      <c r="U39" s="352">
        <f t="shared" si="10"/>
      </c>
      <c r="V39" s="618">
        <f t="shared" si="11"/>
      </c>
      <c r="W39" s="6"/>
    </row>
    <row r="40" spans="2:23" s="5" customFormat="1" ht="16.5" customHeight="1">
      <c r="B40" s="50"/>
      <c r="C40" s="486"/>
      <c r="D40" s="681"/>
      <c r="E40" s="609"/>
      <c r="F40" s="682"/>
      <c r="G40" s="503">
        <f t="shared" si="0"/>
        <v>0</v>
      </c>
      <c r="H40" s="611"/>
      <c r="I40" s="389"/>
      <c r="J40" s="612">
        <f t="shared" si="1"/>
      </c>
      <c r="K40" s="613">
        <f t="shared" si="2"/>
      </c>
      <c r="L40" s="431"/>
      <c r="M40" s="432">
        <f t="shared" si="3"/>
      </c>
      <c r="N40" s="352">
        <f t="shared" si="4"/>
      </c>
      <c r="O40" s="683">
        <f t="shared" si="5"/>
        <v>20</v>
      </c>
      <c r="P40" s="684" t="str">
        <f t="shared" si="6"/>
        <v>--</v>
      </c>
      <c r="Q40" s="685" t="str">
        <f t="shared" si="7"/>
        <v>--</v>
      </c>
      <c r="R40" s="686" t="str">
        <f t="shared" si="8"/>
        <v>--</v>
      </c>
      <c r="S40" s="687" t="str">
        <f t="shared" si="9"/>
        <v>--</v>
      </c>
      <c r="T40" s="507" t="str">
        <f t="shared" si="12"/>
        <v>--</v>
      </c>
      <c r="U40" s="352">
        <f t="shared" si="10"/>
      </c>
      <c r="V40" s="618">
        <f t="shared" si="11"/>
      </c>
      <c r="W40" s="6"/>
    </row>
    <row r="41" spans="2:23" s="5" customFormat="1" ht="16.5" customHeight="1">
      <c r="B41" s="50"/>
      <c r="C41" s="354"/>
      <c r="D41" s="681"/>
      <c r="E41" s="609"/>
      <c r="F41" s="682"/>
      <c r="G41" s="503">
        <f t="shared" si="0"/>
        <v>0</v>
      </c>
      <c r="H41" s="611"/>
      <c r="I41" s="389"/>
      <c r="J41" s="612">
        <f t="shared" si="1"/>
      </c>
      <c r="K41" s="613">
        <f t="shared" si="2"/>
      </c>
      <c r="L41" s="431"/>
      <c r="M41" s="432">
        <f t="shared" si="3"/>
      </c>
      <c r="N41" s="352">
        <f t="shared" si="4"/>
      </c>
      <c r="O41" s="683">
        <f t="shared" si="5"/>
        <v>20</v>
      </c>
      <c r="P41" s="684" t="str">
        <f t="shared" si="6"/>
        <v>--</v>
      </c>
      <c r="Q41" s="685" t="str">
        <f t="shared" si="7"/>
        <v>--</v>
      </c>
      <c r="R41" s="686" t="str">
        <f t="shared" si="8"/>
        <v>--</v>
      </c>
      <c r="S41" s="687" t="str">
        <f t="shared" si="9"/>
        <v>--</v>
      </c>
      <c r="T41" s="507" t="str">
        <f t="shared" si="12"/>
        <v>--</v>
      </c>
      <c r="U41" s="352">
        <f t="shared" si="10"/>
      </c>
      <c r="V41" s="618">
        <f t="shared" si="11"/>
      </c>
      <c r="W41" s="6"/>
    </row>
    <row r="42" spans="2:23" s="5" customFormat="1" ht="16.5" customHeight="1" thickBot="1">
      <c r="B42" s="50"/>
      <c r="C42" s="354"/>
      <c r="D42" s="689"/>
      <c r="E42" s="346"/>
      <c r="F42" s="690"/>
      <c r="G42" s="132"/>
      <c r="H42" s="619"/>
      <c r="I42" s="619"/>
      <c r="J42" s="620"/>
      <c r="K42" s="620"/>
      <c r="L42" s="619"/>
      <c r="M42" s="394"/>
      <c r="N42" s="351"/>
      <c r="O42" s="691"/>
      <c r="P42" s="692"/>
      <c r="Q42" s="693"/>
      <c r="R42" s="694"/>
      <c r="S42" s="695"/>
      <c r="T42" s="695"/>
      <c r="U42" s="351"/>
      <c r="V42" s="696"/>
      <c r="W42" s="6"/>
    </row>
    <row r="43" spans="2:23" s="5" customFormat="1" ht="16.5" customHeight="1" thickBot="1" thickTop="1">
      <c r="B43" s="50"/>
      <c r="C43" s="128" t="s">
        <v>26</v>
      </c>
      <c r="D43" s="129" t="s">
        <v>406</v>
      </c>
      <c r="G43" s="4"/>
      <c r="H43" s="4"/>
      <c r="I43" s="4"/>
      <c r="J43" s="4"/>
      <c r="K43" s="4"/>
      <c r="L43" s="4"/>
      <c r="M43" s="4"/>
      <c r="N43" s="4"/>
      <c r="O43" s="4"/>
      <c r="P43" s="697">
        <f>SUM(P20:P42)</f>
        <v>0</v>
      </c>
      <c r="Q43" s="698">
        <f>SUM(Q20:Q42)</f>
        <v>957</v>
      </c>
      <c r="R43" s="699">
        <f>SUM(R20:R42)</f>
        <v>6775.56</v>
      </c>
      <c r="S43" s="700">
        <f>SUM(S20:S42)</f>
        <v>0</v>
      </c>
      <c r="T43" s="700">
        <f>SUM(T20:T42)</f>
        <v>0</v>
      </c>
      <c r="V43" s="101">
        <f>ROUND(SUM(V20:V42),2)</f>
        <v>7732.56</v>
      </c>
      <c r="W43" s="701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4:25" ht="16.5" customHeight="1" thickTop="1">
      <c r="D45" s="378"/>
      <c r="E45" s="378"/>
      <c r="F45" s="378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</row>
    <row r="46" spans="4:25" ht="16.5" customHeight="1">
      <c r="D46" s="378"/>
      <c r="E46" s="378"/>
      <c r="F46" s="378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</row>
    <row r="47" spans="4:25" ht="16.5" customHeight="1">
      <c r="D47" s="378"/>
      <c r="E47" s="378"/>
      <c r="F47" s="378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</row>
    <row r="48" spans="4:25" ht="16.5" customHeight="1">
      <c r="D48" s="378"/>
      <c r="E48" s="378"/>
      <c r="F48" s="378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</row>
    <row r="49" spans="4:25" ht="16.5" customHeight="1">
      <c r="D49" s="378"/>
      <c r="E49" s="378"/>
      <c r="F49" s="378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</row>
    <row r="50" spans="4:25" ht="16.5" customHeight="1">
      <c r="D50" s="378"/>
      <c r="E50" s="378"/>
      <c r="F50" s="378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</row>
    <row r="51" spans="4:25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</row>
    <row r="52" spans="4:25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</row>
    <row r="53" spans="4:25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</row>
    <row r="54" spans="4:25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</row>
    <row r="55" spans="4:25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</row>
    <row r="56" spans="4:25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</row>
    <row r="57" spans="4:25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</row>
    <row r="58" spans="4:25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</row>
    <row r="59" spans="4:25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</row>
    <row r="60" spans="4:25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</row>
    <row r="61" spans="4:25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</row>
    <row r="62" spans="4:25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</row>
    <row r="63" spans="4:25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</row>
    <row r="64" spans="4:25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</row>
    <row r="65" spans="4:25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</row>
    <row r="66" spans="4:25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</row>
    <row r="67" spans="4:25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</row>
    <row r="68" spans="4:25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</row>
    <row r="69" spans="4:25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</row>
    <row r="70" spans="4:25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</row>
    <row r="71" spans="4:25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</row>
    <row r="72" spans="4:25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</row>
    <row r="73" spans="4:25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</row>
    <row r="74" spans="4:25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</row>
    <row r="75" spans="4:25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</row>
    <row r="76" spans="4:25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</row>
    <row r="77" spans="4:25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</row>
    <row r="78" spans="4:25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</row>
    <row r="79" spans="4:25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</row>
    <row r="80" spans="4:25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</row>
    <row r="81" spans="4:25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4:25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4:25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</row>
    <row r="84" spans="4:25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</row>
    <row r="85" spans="4:25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</row>
    <row r="86" spans="4:25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</row>
    <row r="87" spans="4:25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</row>
    <row r="88" spans="4:25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</row>
    <row r="89" spans="4:25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</row>
    <row r="90" spans="4:25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</row>
    <row r="91" spans="4:25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</row>
    <row r="92" spans="4:25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</row>
    <row r="93" spans="4:25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</row>
    <row r="94" spans="4:25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</row>
    <row r="95" spans="4:25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</row>
    <row r="96" spans="4:25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</row>
    <row r="97" spans="4:25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</row>
    <row r="98" spans="4:25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</row>
    <row r="99" spans="4:25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</row>
    <row r="100" spans="4:25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</row>
    <row r="101" spans="4:25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</row>
    <row r="102" spans="4:25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</row>
    <row r="103" spans="4:25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</row>
    <row r="104" spans="4:25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</row>
    <row r="105" spans="4:25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</row>
    <row r="106" spans="4:25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</row>
    <row r="107" spans="4:25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</row>
    <row r="108" spans="4:25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</row>
    <row r="109" spans="4:25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</row>
    <row r="110" spans="4:25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</row>
    <row r="111" spans="4:25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</row>
    <row r="112" spans="4:25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</row>
    <row r="113" spans="4:25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</row>
    <row r="114" spans="4:25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</row>
    <row r="115" spans="4:25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</row>
    <row r="116" spans="4:25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</row>
    <row r="117" spans="4:25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</row>
    <row r="118" spans="4:25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</row>
    <row r="119" spans="4:25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</row>
    <row r="120" spans="4:25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</row>
    <row r="121" spans="4:25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</row>
    <row r="122" spans="4:25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</row>
    <row r="123" spans="4:25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</row>
    <row r="124" spans="4:25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</row>
    <row r="125" spans="4:25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</row>
    <row r="126" spans="4:25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</row>
    <row r="127" spans="4:25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</row>
    <row r="128" spans="4:25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</row>
    <row r="129" spans="4:25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</row>
    <row r="130" spans="4:25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</row>
    <row r="131" spans="4:25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</row>
    <row r="132" spans="4:25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</row>
    <row r="133" spans="4:25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</row>
    <row r="134" spans="4:25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</row>
    <row r="135" spans="4:25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</row>
    <row r="136" spans="4:25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</row>
    <row r="137" spans="4:25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</row>
    <row r="138" spans="4:25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</row>
    <row r="139" spans="4:25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</row>
    <row r="140" spans="4:25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</row>
    <row r="141" spans="4:25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</row>
    <row r="142" spans="4:25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</row>
    <row r="143" spans="4:25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</row>
    <row r="144" spans="4:25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</row>
    <row r="145" spans="4:25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</row>
    <row r="146" spans="4:25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</row>
    <row r="147" spans="4:25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</row>
    <row r="148" spans="4:25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</row>
    <row r="149" spans="4:25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</row>
    <row r="150" spans="4:25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</row>
    <row r="151" spans="4:25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</row>
    <row r="152" spans="4:25" ht="16.5" customHeight="1">
      <c r="D152" s="376"/>
      <c r="E152" s="376"/>
      <c r="F152" s="376"/>
      <c r="X152" s="376"/>
      <c r="Y152" s="376"/>
    </row>
    <row r="153" spans="4:6" ht="16.5" customHeight="1">
      <c r="D153" s="376"/>
      <c r="E153" s="376"/>
      <c r="F153" s="376"/>
    </row>
    <row r="154" spans="4:6" ht="16.5" customHeight="1">
      <c r="D154" s="376"/>
      <c r="E154" s="376"/>
      <c r="F154" s="376"/>
    </row>
    <row r="155" spans="4:6" ht="16.5" customHeight="1">
      <c r="D155" s="376"/>
      <c r="E155" s="376"/>
      <c r="F155" s="376"/>
    </row>
    <row r="156" spans="4:6" ht="16.5" customHeight="1">
      <c r="D156" s="376"/>
      <c r="E156" s="376"/>
      <c r="F156" s="376"/>
    </row>
    <row r="157" spans="4:6" ht="16.5" customHeight="1">
      <c r="D157" s="376"/>
      <c r="E157" s="376"/>
      <c r="F157" s="376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Y159"/>
  <sheetViews>
    <sheetView zoomScale="75" zoomScaleNormal="75" workbookViewId="0" topLeftCell="A1">
      <selection activeCell="D31" sqref="D3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28125" style="0" bestFit="1" customWidth="1"/>
    <col min="15" max="15" width="12.7109375" style="0" hidden="1" customWidth="1"/>
    <col min="16" max="16" width="13.140625" style="0" hidden="1" customWidth="1"/>
    <col min="17" max="17" width="12.28125" style="0" hidden="1" customWidth="1"/>
    <col min="18" max="18" width="5.7109375" style="0" hidden="1" customWidth="1"/>
    <col min="19" max="19" width="12.2812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="18" customFormat="1" ht="26.25">
      <c r="W1" s="146"/>
    </row>
    <row r="2" spans="1:23" s="18" customFormat="1" ht="26.25">
      <c r="A2" s="91"/>
      <c r="B2" s="632" t="str">
        <f>+'TOT-1008'!B2</f>
        <v>ANEXO V al Memorándum D.T.E.E. N°  366 / 2010        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D8" s="375" t="s">
        <v>117</v>
      </c>
      <c r="E8" s="633"/>
      <c r="F8" s="372"/>
      <c r="G8" s="371"/>
      <c r="H8" s="371"/>
      <c r="I8" s="371"/>
      <c r="J8" s="371"/>
      <c r="K8" s="371"/>
      <c r="L8" s="371"/>
      <c r="M8" s="371"/>
      <c r="N8" s="372"/>
      <c r="O8" s="372"/>
      <c r="P8" s="372"/>
      <c r="Q8" s="372"/>
      <c r="R8" s="372"/>
      <c r="S8" s="372"/>
      <c r="T8" s="372"/>
      <c r="U8" s="372"/>
      <c r="V8" s="372"/>
      <c r="W8" s="634"/>
    </row>
    <row r="9" spans="2:23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D10" s="11" t="s">
        <v>118</v>
      </c>
      <c r="F10" s="635"/>
      <c r="G10" s="81"/>
      <c r="H10" s="81"/>
      <c r="I10" s="81"/>
      <c r="J10" s="81"/>
      <c r="K10" s="81"/>
      <c r="L10" s="81"/>
      <c r="M10" s="81"/>
      <c r="N10" s="81"/>
      <c r="O10" s="81"/>
      <c r="P10" s="30"/>
      <c r="Q10" s="30"/>
      <c r="R10" s="30"/>
      <c r="S10" s="30"/>
      <c r="T10" s="30"/>
      <c r="U10" s="30"/>
      <c r="V10"/>
      <c r="W10" s="80"/>
    </row>
    <row r="11" spans="2:23" s="5" customFormat="1" ht="16.5" customHeight="1">
      <c r="B11" s="50"/>
      <c r="C11" s="4"/>
      <c r="D11" s="78"/>
      <c r="F11" s="31"/>
      <c r="G11" s="72"/>
      <c r="H11" s="72"/>
      <c r="I11" s="72"/>
      <c r="J11" s="72"/>
      <c r="K11" s="72"/>
      <c r="L11" s="72"/>
      <c r="M11" s="72"/>
      <c r="N11" s="72"/>
      <c r="O11" s="72"/>
      <c r="P11" s="4"/>
      <c r="Q11" s="4"/>
      <c r="R11" s="4"/>
      <c r="S11" s="4"/>
      <c r="T11" s="4"/>
      <c r="U11" s="4"/>
      <c r="V11"/>
      <c r="W11" s="6"/>
    </row>
    <row r="12" spans="2:23" s="29" customFormat="1" ht="20.25">
      <c r="B12" s="79"/>
      <c r="D12" s="11" t="s">
        <v>121</v>
      </c>
      <c r="F12" s="635"/>
      <c r="G12" s="81"/>
      <c r="H12" s="81"/>
      <c r="I12" s="81"/>
      <c r="J12" s="81"/>
      <c r="K12" s="81"/>
      <c r="L12" s="81"/>
      <c r="M12" s="81"/>
      <c r="N12" s="81"/>
      <c r="O12" s="81"/>
      <c r="P12" s="30"/>
      <c r="Q12" s="30"/>
      <c r="R12" s="30"/>
      <c r="S12" s="30"/>
      <c r="T12" s="30"/>
      <c r="U12" s="30"/>
      <c r="V12" s="30"/>
      <c r="W12" s="80"/>
    </row>
    <row r="13" spans="2:23" s="5" customFormat="1" ht="16.5" customHeight="1">
      <c r="B13" s="50"/>
      <c r="C13" s="4"/>
      <c r="D13" s="78"/>
      <c r="F13" s="31"/>
      <c r="G13" s="72"/>
      <c r="H13" s="72"/>
      <c r="I13" s="72"/>
      <c r="J13" s="72"/>
      <c r="K13" s="72"/>
      <c r="L13" s="72"/>
      <c r="M13" s="72"/>
      <c r="N13" s="72"/>
      <c r="O13" s="72"/>
      <c r="P13" s="4"/>
      <c r="Q13" s="4"/>
      <c r="R13" s="4"/>
      <c r="S13" s="4"/>
      <c r="T13" s="4"/>
      <c r="U13" s="4"/>
      <c r="V13" s="4"/>
      <c r="W13" s="6"/>
    </row>
    <row r="14" spans="2:23" s="36" customFormat="1" ht="16.5" customHeight="1">
      <c r="B14" s="37" t="str">
        <f>'TOT-1008'!B14</f>
        <v>Desde el 01 al 31 de octubre de 2008</v>
      </c>
      <c r="C14" s="636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6"/>
      <c r="Q14" s="636"/>
      <c r="R14" s="636"/>
      <c r="S14" s="636"/>
      <c r="T14" s="636"/>
      <c r="U14" s="636"/>
      <c r="V14" s="636"/>
      <c r="W14" s="638"/>
    </row>
    <row r="15" spans="2:23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6"/>
    </row>
    <row r="16" spans="2:23" s="5" customFormat="1" ht="16.5" customHeight="1" thickBot="1" thickTop="1">
      <c r="B16" s="50"/>
      <c r="C16" s="4"/>
      <c r="D16" s="4"/>
      <c r="E16" s="4"/>
      <c r="F16" s="4"/>
      <c r="G16" s="4"/>
      <c r="H16" s="4"/>
      <c r="I16" s="4"/>
      <c r="J16" s="1322" t="s">
        <v>98</v>
      </c>
      <c r="K16" s="1323"/>
      <c r="L16" s="1323"/>
      <c r="M16" s="1323"/>
      <c r="N16" s="1324"/>
      <c r="O16" s="403" t="b">
        <f>AND(N17&lt;=0.82,N18&lt;=1.17)</f>
        <v>1</v>
      </c>
      <c r="P16" s="403" t="b">
        <f>AND(N17&gt;=1.17,N18&gt;=1.7)</f>
        <v>0</v>
      </c>
      <c r="Q16" s="404">
        <f>((N18/1.17)+(N17/0.82))*0.852446393-1.454892785</f>
        <v>-0.43113967470752534</v>
      </c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117" t="s">
        <v>108</v>
      </c>
      <c r="E17" s="639"/>
      <c r="F17" s="1147">
        <v>0.245</v>
      </c>
      <c r="G17" s="574"/>
      <c r="H17"/>
      <c r="I17" s="4"/>
      <c r="J17" s="406" t="s">
        <v>99</v>
      </c>
      <c r="K17" s="407"/>
      <c r="L17" s="407"/>
      <c r="M17" s="407"/>
      <c r="N17" s="408">
        <v>0.34</v>
      </c>
      <c r="O17" s="409"/>
      <c r="P17" s="403"/>
      <c r="Q17" s="40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4"/>
      <c r="D18" s="640" t="s">
        <v>27</v>
      </c>
      <c r="E18" s="641"/>
      <c r="F18" s="1148">
        <v>20</v>
      </c>
      <c r="G18" s="574"/>
      <c r="H18" s="142" t="s">
        <v>100</v>
      </c>
      <c r="I18" s="410">
        <f>4*N19</f>
        <v>1</v>
      </c>
      <c r="J18" s="406" t="s">
        <v>101</v>
      </c>
      <c r="K18" s="407"/>
      <c r="L18" s="407"/>
      <c r="M18" s="407"/>
      <c r="N18" s="408">
        <v>0.92</v>
      </c>
      <c r="O18" s="409"/>
      <c r="P18" s="403"/>
      <c r="Q18" s="404"/>
      <c r="R18" s="116"/>
      <c r="S18" s="116"/>
      <c r="T18" s="116"/>
      <c r="U18" s="116"/>
      <c r="V18" s="116"/>
      <c r="W18" s="6"/>
    </row>
    <row r="19" spans="2:23" s="5" customFormat="1" ht="16.5" customHeight="1" thickBot="1" thickTop="1">
      <c r="B19" s="50"/>
      <c r="C19" s="4"/>
      <c r="D19" s="702"/>
      <c r="E19" s="411"/>
      <c r="F19" s="703"/>
      <c r="G19" s="574"/>
      <c r="H19" s="142"/>
      <c r="I19" s="410"/>
      <c r="J19" s="406" t="s">
        <v>102</v>
      </c>
      <c r="K19" s="407"/>
      <c r="L19" s="407"/>
      <c r="M19" s="407"/>
      <c r="N19" s="408">
        <f>IF(O16=TRUE,0.25,IF(P16=TRUE,1,Q16))</f>
        <v>0.25</v>
      </c>
      <c r="O19" s="413"/>
      <c r="P19" s="413"/>
      <c r="Q19" s="413"/>
      <c r="R19" s="116"/>
      <c r="S19" s="116"/>
      <c r="T19" s="116"/>
      <c r="U19" s="116"/>
      <c r="V19" s="116"/>
      <c r="W19" s="6"/>
    </row>
    <row r="20" spans="2:23" s="5" customFormat="1" ht="16.5" customHeight="1" thickBot="1" thickTop="1">
      <c r="B20" s="50"/>
      <c r="C20" s="66"/>
      <c r="D20" s="642"/>
      <c r="E20" s="643"/>
      <c r="F20" s="643"/>
      <c r="G20" s="395"/>
      <c r="H20" s="395"/>
      <c r="I20" s="395"/>
      <c r="J20" s="395"/>
      <c r="K20" s="395"/>
      <c r="L20" s="395"/>
      <c r="M20" s="395"/>
      <c r="N20" s="395"/>
      <c r="O20" s="644"/>
      <c r="P20" s="645"/>
      <c r="Q20" s="646"/>
      <c r="R20" s="646"/>
      <c r="S20" s="646"/>
      <c r="T20" s="647"/>
      <c r="U20" s="647"/>
      <c r="V20" s="648"/>
      <c r="W20" s="6"/>
    </row>
    <row r="21" spans="2:23" s="5" customFormat="1" ht="33.75" customHeight="1" thickBot="1" thickTop="1">
      <c r="B21" s="50"/>
      <c r="C21" s="84" t="s">
        <v>13</v>
      </c>
      <c r="D21" s="86" t="s">
        <v>28</v>
      </c>
      <c r="E21" s="85" t="s">
        <v>29</v>
      </c>
      <c r="F21" s="649" t="s">
        <v>30</v>
      </c>
      <c r="G21" s="130" t="s">
        <v>16</v>
      </c>
      <c r="H21" s="85" t="s">
        <v>17</v>
      </c>
      <c r="I21" s="85" t="s">
        <v>18</v>
      </c>
      <c r="J21" s="86" t="s">
        <v>37</v>
      </c>
      <c r="K21" s="86" t="s">
        <v>32</v>
      </c>
      <c r="L21" s="88" t="s">
        <v>19</v>
      </c>
      <c r="M21" s="88" t="s">
        <v>65</v>
      </c>
      <c r="N21" s="85" t="s">
        <v>33</v>
      </c>
      <c r="O21" s="130" t="s">
        <v>122</v>
      </c>
      <c r="P21" s="704" t="s">
        <v>97</v>
      </c>
      <c r="Q21" s="705" t="s">
        <v>120</v>
      </c>
      <c r="R21" s="706"/>
      <c r="S21" s="707" t="s">
        <v>22</v>
      </c>
      <c r="T21" s="133" t="s">
        <v>106</v>
      </c>
      <c r="U21" s="543" t="s">
        <v>25</v>
      </c>
      <c r="V21" s="654" t="s">
        <v>25</v>
      </c>
      <c r="W21" s="6"/>
    </row>
    <row r="22" spans="2:23" s="5" customFormat="1" ht="16.5" customHeight="1" thickTop="1">
      <c r="B22" s="50"/>
      <c r="C22" s="655"/>
      <c r="D22" s="655"/>
      <c r="E22" s="655"/>
      <c r="F22" s="655"/>
      <c r="G22" s="544"/>
      <c r="H22" s="657"/>
      <c r="I22" s="657"/>
      <c r="J22" s="655"/>
      <c r="K22" s="655"/>
      <c r="L22" s="656"/>
      <c r="M22" s="384"/>
      <c r="N22" s="655"/>
      <c r="O22" s="474"/>
      <c r="P22" s="708"/>
      <c r="Q22" s="709"/>
      <c r="R22" s="710"/>
      <c r="S22" s="711"/>
      <c r="T22" s="712"/>
      <c r="U22" s="545"/>
      <c r="V22" s="664"/>
      <c r="W22" s="6"/>
    </row>
    <row r="23" spans="2:23" s="5" customFormat="1" ht="16.5" customHeight="1">
      <c r="B23" s="50"/>
      <c r="C23" s="486"/>
      <c r="D23" s="667"/>
      <c r="E23" s="667"/>
      <c r="F23" s="667"/>
      <c r="G23" s="668"/>
      <c r="H23" s="669"/>
      <c r="I23" s="670"/>
      <c r="J23" s="671"/>
      <c r="K23" s="672"/>
      <c r="L23" s="673"/>
      <c r="M23" s="385"/>
      <c r="N23" s="674"/>
      <c r="O23" s="713"/>
      <c r="P23" s="714"/>
      <c r="Q23" s="715"/>
      <c r="R23" s="716"/>
      <c r="S23" s="717"/>
      <c r="T23" s="718"/>
      <c r="U23" s="719"/>
      <c r="V23" s="680"/>
      <c r="W23" s="6"/>
    </row>
    <row r="24" spans="2:23" s="5" customFormat="1" ht="16.5" customHeight="1">
      <c r="B24" s="50"/>
      <c r="C24" s="354">
        <v>71</v>
      </c>
      <c r="D24" s="682" t="s">
        <v>388</v>
      </c>
      <c r="E24" s="682" t="s">
        <v>389</v>
      </c>
      <c r="F24" s="682">
        <v>80</v>
      </c>
      <c r="G24" s="503">
        <f aca="true" t="shared" si="0" ref="G24:G43">F24*$F$17</f>
        <v>19.6</v>
      </c>
      <c r="H24" s="611">
        <v>39746.1625</v>
      </c>
      <c r="I24" s="389">
        <v>39746.29375</v>
      </c>
      <c r="J24" s="612">
        <f aca="true" t="shared" si="1" ref="J24:J43">IF(D24="","",(I24-H24)*24)</f>
        <v>3.1499999999650754</v>
      </c>
      <c r="K24" s="613">
        <f aca="true" t="shared" si="2" ref="K24:K43">IF(D24="","",ROUND((I24-H24)*24*60,0))</f>
        <v>189</v>
      </c>
      <c r="L24" s="431" t="s">
        <v>325</v>
      </c>
      <c r="M24" s="432" t="str">
        <f aca="true" t="shared" si="3" ref="M24:M43">IF(D24="","","--")</f>
        <v>--</v>
      </c>
      <c r="N24" s="352" t="str">
        <f>IF(D24="","",IF(OR(L24="P",L24="RP"),"--","NO"))</f>
        <v>NO</v>
      </c>
      <c r="O24" s="720">
        <f aca="true" t="shared" si="4" ref="O24:O43">IF(L24="P",$F$18*0.1,$F$18)</f>
        <v>20</v>
      </c>
      <c r="P24" s="721" t="str">
        <f aca="true" t="shared" si="5" ref="P24:P43">IF(L24="P",G24*O24*ROUND(K24/60,2),"--")</f>
        <v>--</v>
      </c>
      <c r="Q24" s="722">
        <f aca="true" t="shared" si="6" ref="Q24:Q43">IF(AND(L24="F",N24="NO"),G24*O24,"--")</f>
        <v>392</v>
      </c>
      <c r="R24" s="723">
        <f aca="true" t="shared" si="7" ref="R24:R43">IF(L24="F",G24*O24*ROUND(K24/60,2),"--")</f>
        <v>1234.8</v>
      </c>
      <c r="S24" s="724" t="str">
        <f aca="true" t="shared" si="8" ref="S24:S43">IF(L24="RF",G24*O24*ROUND(K24/60,2),"--")</f>
        <v>--</v>
      </c>
      <c r="T24" s="725" t="s">
        <v>289</v>
      </c>
      <c r="U24" s="726">
        <f aca="true" t="shared" si="9" ref="U24:U43">SUM(P24:S24)*IF(T24="SI",1,2)</f>
        <v>1626.8</v>
      </c>
      <c r="V24" s="618">
        <f aca="true" t="shared" si="10" ref="V24:V43">IF(D24="","",U24*$I$18*IF(AND(M22&lt;&gt;"--",L22="RF"),M22/100,1))</f>
        <v>1626.8</v>
      </c>
      <c r="W24" s="6"/>
    </row>
    <row r="25" spans="2:23" s="5" customFormat="1" ht="16.5" customHeight="1">
      <c r="B25" s="50"/>
      <c r="C25" s="486">
        <v>72</v>
      </c>
      <c r="D25" s="682" t="s">
        <v>388</v>
      </c>
      <c r="E25" s="682" t="s">
        <v>389</v>
      </c>
      <c r="F25" s="682">
        <v>80</v>
      </c>
      <c r="G25" s="503">
        <f t="shared" si="0"/>
        <v>19.6</v>
      </c>
      <c r="H25" s="611">
        <v>39748.35138888889</v>
      </c>
      <c r="I25" s="389">
        <v>39748.64791666667</v>
      </c>
      <c r="J25" s="612">
        <f t="shared" si="1"/>
        <v>7.116666666639503</v>
      </c>
      <c r="K25" s="613">
        <f t="shared" si="2"/>
        <v>427</v>
      </c>
      <c r="L25" s="431" t="s">
        <v>292</v>
      </c>
      <c r="M25" s="432" t="str">
        <f t="shared" si="3"/>
        <v>--</v>
      </c>
      <c r="N25" s="352" t="str">
        <f aca="true" t="shared" si="11" ref="N25:N43">IF(D25="","",IF(L25="P","--","NO"))</f>
        <v>--</v>
      </c>
      <c r="O25" s="720">
        <f t="shared" si="4"/>
        <v>2</v>
      </c>
      <c r="P25" s="721">
        <f t="shared" si="5"/>
        <v>279.10400000000004</v>
      </c>
      <c r="Q25" s="722" t="str">
        <f t="shared" si="6"/>
        <v>--</v>
      </c>
      <c r="R25" s="723" t="str">
        <f t="shared" si="7"/>
        <v>--</v>
      </c>
      <c r="S25" s="724" t="str">
        <f t="shared" si="8"/>
        <v>--</v>
      </c>
      <c r="T25" s="725" t="s">
        <v>289</v>
      </c>
      <c r="U25" s="726">
        <f t="shared" si="9"/>
        <v>279.10400000000004</v>
      </c>
      <c r="V25" s="618">
        <f t="shared" si="10"/>
        <v>279.10400000000004</v>
      </c>
      <c r="W25" s="6"/>
    </row>
    <row r="26" spans="2:23" s="5" customFormat="1" ht="16.5" customHeight="1">
      <c r="B26" s="50"/>
      <c r="C26" s="354"/>
      <c r="D26" s="682"/>
      <c r="E26" s="682"/>
      <c r="F26" s="682"/>
      <c r="G26" s="503">
        <f t="shared" si="0"/>
        <v>0</v>
      </c>
      <c r="H26" s="611"/>
      <c r="I26" s="389"/>
      <c r="J26" s="612">
        <f t="shared" si="1"/>
      </c>
      <c r="K26" s="613">
        <f t="shared" si="2"/>
      </c>
      <c r="L26" s="431"/>
      <c r="M26" s="432">
        <f t="shared" si="3"/>
      </c>
      <c r="N26" s="352">
        <f t="shared" si="11"/>
      </c>
      <c r="O26" s="720">
        <f t="shared" si="4"/>
        <v>20</v>
      </c>
      <c r="P26" s="721" t="str">
        <f t="shared" si="5"/>
        <v>--</v>
      </c>
      <c r="Q26" s="722" t="str">
        <f t="shared" si="6"/>
        <v>--</v>
      </c>
      <c r="R26" s="723" t="str">
        <f t="shared" si="7"/>
        <v>--</v>
      </c>
      <c r="S26" s="724" t="str">
        <f t="shared" si="8"/>
        <v>--</v>
      </c>
      <c r="T26" s="725">
        <f aca="true" t="shared" si="12" ref="T26:T43">IF(D26="","","SI")</f>
      </c>
      <c r="U26" s="726">
        <f t="shared" si="9"/>
        <v>0</v>
      </c>
      <c r="V26" s="618">
        <f t="shared" si="10"/>
      </c>
      <c r="W26" s="6"/>
    </row>
    <row r="27" spans="2:23" s="5" customFormat="1" ht="16.5" customHeight="1">
      <c r="B27" s="50"/>
      <c r="C27" s="486"/>
      <c r="D27" s="682"/>
      <c r="E27" s="682"/>
      <c r="F27" s="682"/>
      <c r="G27" s="503">
        <f t="shared" si="0"/>
        <v>0</v>
      </c>
      <c r="H27" s="611"/>
      <c r="I27" s="389"/>
      <c r="J27" s="612">
        <f t="shared" si="1"/>
      </c>
      <c r="K27" s="613">
        <f t="shared" si="2"/>
      </c>
      <c r="L27" s="431"/>
      <c r="M27" s="432">
        <f t="shared" si="3"/>
      </c>
      <c r="N27" s="352">
        <f t="shared" si="11"/>
      </c>
      <c r="O27" s="720">
        <f t="shared" si="4"/>
        <v>20</v>
      </c>
      <c r="P27" s="721" t="str">
        <f t="shared" si="5"/>
        <v>--</v>
      </c>
      <c r="Q27" s="722" t="str">
        <f t="shared" si="6"/>
        <v>--</v>
      </c>
      <c r="R27" s="723" t="str">
        <f t="shared" si="7"/>
        <v>--</v>
      </c>
      <c r="S27" s="724" t="str">
        <f t="shared" si="8"/>
        <v>--</v>
      </c>
      <c r="T27" s="725">
        <f t="shared" si="12"/>
      </c>
      <c r="U27" s="726">
        <f t="shared" si="9"/>
        <v>0</v>
      </c>
      <c r="V27" s="618">
        <f t="shared" si="10"/>
      </c>
      <c r="W27" s="688"/>
    </row>
    <row r="28" spans="2:23" s="5" customFormat="1" ht="16.5" customHeight="1">
      <c r="B28" s="50"/>
      <c r="C28" s="354"/>
      <c r="D28" s="682"/>
      <c r="E28" s="682"/>
      <c r="F28" s="682"/>
      <c r="G28" s="503">
        <f t="shared" si="0"/>
        <v>0</v>
      </c>
      <c r="H28" s="611"/>
      <c r="I28" s="389"/>
      <c r="J28" s="612">
        <f t="shared" si="1"/>
      </c>
      <c r="K28" s="613">
        <f t="shared" si="2"/>
      </c>
      <c r="L28" s="431"/>
      <c r="M28" s="432">
        <f t="shared" si="3"/>
      </c>
      <c r="N28" s="352">
        <f t="shared" si="11"/>
      </c>
      <c r="O28" s="720">
        <f t="shared" si="4"/>
        <v>20</v>
      </c>
      <c r="P28" s="721" t="str">
        <f t="shared" si="5"/>
        <v>--</v>
      </c>
      <c r="Q28" s="722" t="str">
        <f t="shared" si="6"/>
        <v>--</v>
      </c>
      <c r="R28" s="723" t="str">
        <f t="shared" si="7"/>
        <v>--</v>
      </c>
      <c r="S28" s="724" t="str">
        <f t="shared" si="8"/>
        <v>--</v>
      </c>
      <c r="T28" s="725">
        <f t="shared" si="12"/>
      </c>
      <c r="U28" s="726">
        <f t="shared" si="9"/>
        <v>0</v>
      </c>
      <c r="V28" s="618">
        <f t="shared" si="10"/>
      </c>
      <c r="W28" s="688"/>
    </row>
    <row r="29" spans="2:23" s="5" customFormat="1" ht="16.5" customHeight="1">
      <c r="B29" s="50"/>
      <c r="C29" s="486"/>
      <c r="D29" s="682"/>
      <c r="E29" s="682"/>
      <c r="F29" s="682"/>
      <c r="G29" s="503">
        <f t="shared" si="0"/>
        <v>0</v>
      </c>
      <c r="H29" s="611"/>
      <c r="I29" s="389"/>
      <c r="J29" s="612">
        <f t="shared" si="1"/>
      </c>
      <c r="K29" s="613">
        <f t="shared" si="2"/>
      </c>
      <c r="L29" s="431"/>
      <c r="M29" s="432">
        <f t="shared" si="3"/>
      </c>
      <c r="N29" s="352">
        <f t="shared" si="11"/>
      </c>
      <c r="O29" s="720">
        <f t="shared" si="4"/>
        <v>20</v>
      </c>
      <c r="P29" s="721" t="str">
        <f t="shared" si="5"/>
        <v>--</v>
      </c>
      <c r="Q29" s="722" t="str">
        <f t="shared" si="6"/>
        <v>--</v>
      </c>
      <c r="R29" s="723" t="str">
        <f t="shared" si="7"/>
        <v>--</v>
      </c>
      <c r="S29" s="724" t="str">
        <f t="shared" si="8"/>
        <v>--</v>
      </c>
      <c r="T29" s="725">
        <f t="shared" si="12"/>
      </c>
      <c r="U29" s="726">
        <f t="shared" si="9"/>
        <v>0</v>
      </c>
      <c r="V29" s="618">
        <f t="shared" si="10"/>
      </c>
      <c r="W29" s="688"/>
    </row>
    <row r="30" spans="2:23" s="5" customFormat="1" ht="16.5" customHeight="1">
      <c r="B30" s="50"/>
      <c r="C30" s="354"/>
      <c r="D30" s="682"/>
      <c r="E30" s="682"/>
      <c r="F30" s="682"/>
      <c r="G30" s="503">
        <f t="shared" si="0"/>
        <v>0</v>
      </c>
      <c r="H30" s="611"/>
      <c r="I30" s="389"/>
      <c r="J30" s="612">
        <f t="shared" si="1"/>
      </c>
      <c r="K30" s="613">
        <f t="shared" si="2"/>
      </c>
      <c r="L30" s="431"/>
      <c r="M30" s="432">
        <f t="shared" si="3"/>
      </c>
      <c r="N30" s="352">
        <f t="shared" si="11"/>
      </c>
      <c r="O30" s="720">
        <f t="shared" si="4"/>
        <v>20</v>
      </c>
      <c r="P30" s="721" t="str">
        <f t="shared" si="5"/>
        <v>--</v>
      </c>
      <c r="Q30" s="722" t="str">
        <f t="shared" si="6"/>
        <v>--</v>
      </c>
      <c r="R30" s="723" t="str">
        <f t="shared" si="7"/>
        <v>--</v>
      </c>
      <c r="S30" s="724" t="str">
        <f t="shared" si="8"/>
        <v>--</v>
      </c>
      <c r="T30" s="725">
        <f t="shared" si="12"/>
      </c>
      <c r="U30" s="726">
        <f t="shared" si="9"/>
        <v>0</v>
      </c>
      <c r="V30" s="618">
        <f t="shared" si="10"/>
      </c>
      <c r="W30" s="688"/>
    </row>
    <row r="31" spans="2:23" s="5" customFormat="1" ht="16.5" customHeight="1">
      <c r="B31" s="50"/>
      <c r="C31" s="486"/>
      <c r="D31" s="682"/>
      <c r="E31" s="682"/>
      <c r="F31" s="682"/>
      <c r="G31" s="503">
        <f t="shared" si="0"/>
        <v>0</v>
      </c>
      <c r="H31" s="611"/>
      <c r="I31" s="389"/>
      <c r="J31" s="612">
        <f t="shared" si="1"/>
      </c>
      <c r="K31" s="613">
        <f t="shared" si="2"/>
      </c>
      <c r="L31" s="431"/>
      <c r="M31" s="432">
        <f t="shared" si="3"/>
      </c>
      <c r="N31" s="352">
        <f t="shared" si="11"/>
      </c>
      <c r="O31" s="720">
        <f t="shared" si="4"/>
        <v>20</v>
      </c>
      <c r="P31" s="721" t="str">
        <f t="shared" si="5"/>
        <v>--</v>
      </c>
      <c r="Q31" s="722" t="str">
        <f t="shared" si="6"/>
        <v>--</v>
      </c>
      <c r="R31" s="723" t="str">
        <f t="shared" si="7"/>
        <v>--</v>
      </c>
      <c r="S31" s="724" t="str">
        <f t="shared" si="8"/>
        <v>--</v>
      </c>
      <c r="T31" s="725">
        <f t="shared" si="12"/>
      </c>
      <c r="U31" s="726">
        <f t="shared" si="9"/>
        <v>0</v>
      </c>
      <c r="V31" s="618">
        <f t="shared" si="10"/>
      </c>
      <c r="W31" s="688"/>
    </row>
    <row r="32" spans="2:23" s="5" customFormat="1" ht="16.5" customHeight="1">
      <c r="B32" s="50"/>
      <c r="C32" s="354"/>
      <c r="D32" s="682"/>
      <c r="E32" s="682"/>
      <c r="F32" s="682"/>
      <c r="G32" s="503">
        <f t="shared" si="0"/>
        <v>0</v>
      </c>
      <c r="H32" s="611"/>
      <c r="I32" s="389"/>
      <c r="J32" s="612">
        <f t="shared" si="1"/>
      </c>
      <c r="K32" s="613">
        <f t="shared" si="2"/>
      </c>
      <c r="L32" s="431"/>
      <c r="M32" s="432">
        <f t="shared" si="3"/>
      </c>
      <c r="N32" s="352">
        <f t="shared" si="11"/>
      </c>
      <c r="O32" s="720">
        <f t="shared" si="4"/>
        <v>20</v>
      </c>
      <c r="P32" s="721" t="str">
        <f t="shared" si="5"/>
        <v>--</v>
      </c>
      <c r="Q32" s="722" t="str">
        <f t="shared" si="6"/>
        <v>--</v>
      </c>
      <c r="R32" s="723" t="str">
        <f t="shared" si="7"/>
        <v>--</v>
      </c>
      <c r="S32" s="724" t="str">
        <f t="shared" si="8"/>
        <v>--</v>
      </c>
      <c r="T32" s="725">
        <f t="shared" si="12"/>
      </c>
      <c r="U32" s="726">
        <f t="shared" si="9"/>
        <v>0</v>
      </c>
      <c r="V32" s="618">
        <f t="shared" si="10"/>
      </c>
      <c r="W32" s="688"/>
    </row>
    <row r="33" spans="2:23" s="5" customFormat="1" ht="16.5" customHeight="1">
      <c r="B33" s="50"/>
      <c r="C33" s="486"/>
      <c r="D33" s="682"/>
      <c r="E33" s="682"/>
      <c r="F33" s="682"/>
      <c r="G33" s="503">
        <f t="shared" si="0"/>
        <v>0</v>
      </c>
      <c r="H33" s="611"/>
      <c r="I33" s="389"/>
      <c r="J33" s="612">
        <f t="shared" si="1"/>
      </c>
      <c r="K33" s="613">
        <f t="shared" si="2"/>
      </c>
      <c r="L33" s="431"/>
      <c r="M33" s="432">
        <f t="shared" si="3"/>
      </c>
      <c r="N33" s="352">
        <f t="shared" si="11"/>
      </c>
      <c r="O33" s="720">
        <f t="shared" si="4"/>
        <v>20</v>
      </c>
      <c r="P33" s="721" t="str">
        <f t="shared" si="5"/>
        <v>--</v>
      </c>
      <c r="Q33" s="722" t="str">
        <f t="shared" si="6"/>
        <v>--</v>
      </c>
      <c r="R33" s="723" t="str">
        <f t="shared" si="7"/>
        <v>--</v>
      </c>
      <c r="S33" s="724" t="str">
        <f t="shared" si="8"/>
        <v>--</v>
      </c>
      <c r="T33" s="725">
        <f t="shared" si="12"/>
      </c>
      <c r="U33" s="726">
        <f t="shared" si="9"/>
        <v>0</v>
      </c>
      <c r="V33" s="618">
        <f t="shared" si="10"/>
      </c>
      <c r="W33" s="6"/>
    </row>
    <row r="34" spans="2:23" s="5" customFormat="1" ht="16.5" customHeight="1">
      <c r="B34" s="50"/>
      <c r="C34" s="354"/>
      <c r="D34" s="682"/>
      <c r="E34" s="682"/>
      <c r="F34" s="682"/>
      <c r="G34" s="503">
        <f t="shared" si="0"/>
        <v>0</v>
      </c>
      <c r="H34" s="611"/>
      <c r="I34" s="389"/>
      <c r="J34" s="612">
        <f t="shared" si="1"/>
      </c>
      <c r="K34" s="613">
        <f t="shared" si="2"/>
      </c>
      <c r="L34" s="431"/>
      <c r="M34" s="432">
        <f t="shared" si="3"/>
      </c>
      <c r="N34" s="352">
        <f t="shared" si="11"/>
      </c>
      <c r="O34" s="720">
        <f t="shared" si="4"/>
        <v>20</v>
      </c>
      <c r="P34" s="721" t="str">
        <f t="shared" si="5"/>
        <v>--</v>
      </c>
      <c r="Q34" s="722" t="str">
        <f t="shared" si="6"/>
        <v>--</v>
      </c>
      <c r="R34" s="723" t="str">
        <f t="shared" si="7"/>
        <v>--</v>
      </c>
      <c r="S34" s="724" t="str">
        <f t="shared" si="8"/>
        <v>--</v>
      </c>
      <c r="T34" s="725">
        <f t="shared" si="12"/>
      </c>
      <c r="U34" s="726">
        <f t="shared" si="9"/>
        <v>0</v>
      </c>
      <c r="V34" s="618">
        <f t="shared" si="10"/>
      </c>
      <c r="W34" s="6"/>
    </row>
    <row r="35" spans="2:23" s="5" customFormat="1" ht="16.5" customHeight="1">
      <c r="B35" s="50"/>
      <c r="C35" s="486"/>
      <c r="D35" s="682"/>
      <c r="E35" s="682"/>
      <c r="F35" s="682"/>
      <c r="G35" s="503">
        <f t="shared" si="0"/>
        <v>0</v>
      </c>
      <c r="H35" s="611"/>
      <c r="I35" s="389"/>
      <c r="J35" s="612">
        <f t="shared" si="1"/>
      </c>
      <c r="K35" s="613">
        <f t="shared" si="2"/>
      </c>
      <c r="L35" s="431"/>
      <c r="M35" s="432">
        <f t="shared" si="3"/>
      </c>
      <c r="N35" s="352">
        <f t="shared" si="11"/>
      </c>
      <c r="O35" s="720">
        <f t="shared" si="4"/>
        <v>20</v>
      </c>
      <c r="P35" s="721" t="str">
        <f t="shared" si="5"/>
        <v>--</v>
      </c>
      <c r="Q35" s="722" t="str">
        <f t="shared" si="6"/>
        <v>--</v>
      </c>
      <c r="R35" s="723" t="str">
        <f t="shared" si="7"/>
        <v>--</v>
      </c>
      <c r="S35" s="724" t="str">
        <f t="shared" si="8"/>
        <v>--</v>
      </c>
      <c r="T35" s="725">
        <f t="shared" si="12"/>
      </c>
      <c r="U35" s="726">
        <f t="shared" si="9"/>
        <v>0</v>
      </c>
      <c r="V35" s="618">
        <f t="shared" si="10"/>
      </c>
      <c r="W35" s="6"/>
    </row>
    <row r="36" spans="2:23" s="5" customFormat="1" ht="16.5" customHeight="1">
      <c r="B36" s="50"/>
      <c r="C36" s="354"/>
      <c r="D36" s="682"/>
      <c r="E36" s="682"/>
      <c r="F36" s="682"/>
      <c r="G36" s="503">
        <f t="shared" si="0"/>
        <v>0</v>
      </c>
      <c r="H36" s="611"/>
      <c r="I36" s="389"/>
      <c r="J36" s="612">
        <f t="shared" si="1"/>
      </c>
      <c r="K36" s="613">
        <f t="shared" si="2"/>
      </c>
      <c r="L36" s="431"/>
      <c r="M36" s="432">
        <f t="shared" si="3"/>
      </c>
      <c r="N36" s="352">
        <f t="shared" si="11"/>
      </c>
      <c r="O36" s="720">
        <f t="shared" si="4"/>
        <v>20</v>
      </c>
      <c r="P36" s="721" t="str">
        <f t="shared" si="5"/>
        <v>--</v>
      </c>
      <c r="Q36" s="722" t="str">
        <f t="shared" si="6"/>
        <v>--</v>
      </c>
      <c r="R36" s="723" t="str">
        <f t="shared" si="7"/>
        <v>--</v>
      </c>
      <c r="S36" s="724" t="str">
        <f t="shared" si="8"/>
        <v>--</v>
      </c>
      <c r="T36" s="725">
        <f t="shared" si="12"/>
      </c>
      <c r="U36" s="726">
        <f t="shared" si="9"/>
        <v>0</v>
      </c>
      <c r="V36" s="618">
        <f t="shared" si="10"/>
      </c>
      <c r="W36" s="6"/>
    </row>
    <row r="37" spans="2:23" s="5" customFormat="1" ht="16.5" customHeight="1">
      <c r="B37" s="50"/>
      <c r="C37" s="486"/>
      <c r="D37" s="682"/>
      <c r="E37" s="682"/>
      <c r="F37" s="682"/>
      <c r="G37" s="503">
        <f t="shared" si="0"/>
        <v>0</v>
      </c>
      <c r="H37" s="611"/>
      <c r="I37" s="389"/>
      <c r="J37" s="612">
        <f t="shared" si="1"/>
      </c>
      <c r="K37" s="613">
        <f t="shared" si="2"/>
      </c>
      <c r="L37" s="431"/>
      <c r="M37" s="432">
        <f t="shared" si="3"/>
      </c>
      <c r="N37" s="352">
        <f t="shared" si="11"/>
      </c>
      <c r="O37" s="720">
        <f t="shared" si="4"/>
        <v>20</v>
      </c>
      <c r="P37" s="721" t="str">
        <f t="shared" si="5"/>
        <v>--</v>
      </c>
      <c r="Q37" s="722" t="str">
        <f t="shared" si="6"/>
        <v>--</v>
      </c>
      <c r="R37" s="723" t="str">
        <f t="shared" si="7"/>
        <v>--</v>
      </c>
      <c r="S37" s="724" t="str">
        <f t="shared" si="8"/>
        <v>--</v>
      </c>
      <c r="T37" s="725">
        <f t="shared" si="12"/>
      </c>
      <c r="U37" s="726">
        <f t="shared" si="9"/>
        <v>0</v>
      </c>
      <c r="V37" s="618">
        <f t="shared" si="10"/>
      </c>
      <c r="W37" s="6"/>
    </row>
    <row r="38" spans="2:23" s="5" customFormat="1" ht="16.5" customHeight="1">
      <c r="B38" s="50"/>
      <c r="C38" s="354"/>
      <c r="D38" s="682"/>
      <c r="E38" s="682"/>
      <c r="F38" s="682"/>
      <c r="G38" s="503">
        <f t="shared" si="0"/>
        <v>0</v>
      </c>
      <c r="H38" s="611"/>
      <c r="I38" s="389"/>
      <c r="J38" s="612">
        <f t="shared" si="1"/>
      </c>
      <c r="K38" s="613">
        <f t="shared" si="2"/>
      </c>
      <c r="L38" s="431"/>
      <c r="M38" s="432">
        <f t="shared" si="3"/>
      </c>
      <c r="N38" s="352">
        <f t="shared" si="11"/>
      </c>
      <c r="O38" s="720">
        <f t="shared" si="4"/>
        <v>20</v>
      </c>
      <c r="P38" s="721" t="str">
        <f t="shared" si="5"/>
        <v>--</v>
      </c>
      <c r="Q38" s="722" t="str">
        <f t="shared" si="6"/>
        <v>--</v>
      </c>
      <c r="R38" s="723" t="str">
        <f t="shared" si="7"/>
        <v>--</v>
      </c>
      <c r="S38" s="724" t="str">
        <f t="shared" si="8"/>
        <v>--</v>
      </c>
      <c r="T38" s="725">
        <f t="shared" si="12"/>
      </c>
      <c r="U38" s="726">
        <f t="shared" si="9"/>
        <v>0</v>
      </c>
      <c r="V38" s="618">
        <f t="shared" si="10"/>
      </c>
      <c r="W38" s="6"/>
    </row>
    <row r="39" spans="2:23" s="5" customFormat="1" ht="16.5" customHeight="1">
      <c r="B39" s="50"/>
      <c r="C39" s="486"/>
      <c r="D39" s="682"/>
      <c r="E39" s="682"/>
      <c r="F39" s="682"/>
      <c r="G39" s="503">
        <f t="shared" si="0"/>
        <v>0</v>
      </c>
      <c r="H39" s="611"/>
      <c r="I39" s="389"/>
      <c r="J39" s="612">
        <f t="shared" si="1"/>
      </c>
      <c r="K39" s="613">
        <f t="shared" si="2"/>
      </c>
      <c r="L39" s="431"/>
      <c r="M39" s="432">
        <f t="shared" si="3"/>
      </c>
      <c r="N39" s="352">
        <f t="shared" si="11"/>
      </c>
      <c r="O39" s="720">
        <f t="shared" si="4"/>
        <v>20</v>
      </c>
      <c r="P39" s="721" t="str">
        <f t="shared" si="5"/>
        <v>--</v>
      </c>
      <c r="Q39" s="722" t="str">
        <f t="shared" si="6"/>
        <v>--</v>
      </c>
      <c r="R39" s="723" t="str">
        <f t="shared" si="7"/>
        <v>--</v>
      </c>
      <c r="S39" s="724" t="str">
        <f t="shared" si="8"/>
        <v>--</v>
      </c>
      <c r="T39" s="725">
        <f t="shared" si="12"/>
      </c>
      <c r="U39" s="726">
        <f t="shared" si="9"/>
        <v>0</v>
      </c>
      <c r="V39" s="618">
        <f t="shared" si="10"/>
      </c>
      <c r="W39" s="6"/>
    </row>
    <row r="40" spans="2:23" s="5" customFormat="1" ht="16.5" customHeight="1">
      <c r="B40" s="50"/>
      <c r="C40" s="354"/>
      <c r="D40" s="682"/>
      <c r="E40" s="682"/>
      <c r="F40" s="682"/>
      <c r="G40" s="503">
        <f t="shared" si="0"/>
        <v>0</v>
      </c>
      <c r="H40" s="611"/>
      <c r="I40" s="389"/>
      <c r="J40" s="612">
        <f t="shared" si="1"/>
      </c>
      <c r="K40" s="613">
        <f t="shared" si="2"/>
      </c>
      <c r="L40" s="431"/>
      <c r="M40" s="432">
        <f t="shared" si="3"/>
      </c>
      <c r="N40" s="352">
        <f t="shared" si="11"/>
      </c>
      <c r="O40" s="720">
        <f t="shared" si="4"/>
        <v>20</v>
      </c>
      <c r="P40" s="721" t="str">
        <f t="shared" si="5"/>
        <v>--</v>
      </c>
      <c r="Q40" s="722" t="str">
        <f t="shared" si="6"/>
        <v>--</v>
      </c>
      <c r="R40" s="723" t="str">
        <f t="shared" si="7"/>
        <v>--</v>
      </c>
      <c r="S40" s="724" t="str">
        <f t="shared" si="8"/>
        <v>--</v>
      </c>
      <c r="T40" s="725">
        <f t="shared" si="12"/>
      </c>
      <c r="U40" s="726">
        <f t="shared" si="9"/>
        <v>0</v>
      </c>
      <c r="V40" s="618">
        <f t="shared" si="10"/>
      </c>
      <c r="W40" s="6"/>
    </row>
    <row r="41" spans="2:23" s="5" customFormat="1" ht="16.5" customHeight="1">
      <c r="B41" s="50"/>
      <c r="C41" s="486"/>
      <c r="D41" s="682"/>
      <c r="E41" s="682"/>
      <c r="F41" s="682"/>
      <c r="G41" s="503">
        <f t="shared" si="0"/>
        <v>0</v>
      </c>
      <c r="H41" s="611"/>
      <c r="I41" s="389"/>
      <c r="J41" s="612">
        <f t="shared" si="1"/>
      </c>
      <c r="K41" s="613">
        <f t="shared" si="2"/>
      </c>
      <c r="L41" s="431"/>
      <c r="M41" s="432">
        <f t="shared" si="3"/>
      </c>
      <c r="N41" s="352">
        <f t="shared" si="11"/>
      </c>
      <c r="O41" s="720">
        <f t="shared" si="4"/>
        <v>20</v>
      </c>
      <c r="P41" s="721" t="str">
        <f t="shared" si="5"/>
        <v>--</v>
      </c>
      <c r="Q41" s="722" t="str">
        <f t="shared" si="6"/>
        <v>--</v>
      </c>
      <c r="R41" s="723" t="str">
        <f t="shared" si="7"/>
        <v>--</v>
      </c>
      <c r="S41" s="724" t="str">
        <f t="shared" si="8"/>
        <v>--</v>
      </c>
      <c r="T41" s="725">
        <f t="shared" si="12"/>
      </c>
      <c r="U41" s="726">
        <f t="shared" si="9"/>
        <v>0</v>
      </c>
      <c r="V41" s="618">
        <f t="shared" si="10"/>
      </c>
      <c r="W41" s="6"/>
    </row>
    <row r="42" spans="2:23" s="5" customFormat="1" ht="16.5" customHeight="1">
      <c r="B42" s="50"/>
      <c r="C42" s="354"/>
      <c r="D42" s="682"/>
      <c r="E42" s="682"/>
      <c r="F42" s="682"/>
      <c r="G42" s="503">
        <f t="shared" si="0"/>
        <v>0</v>
      </c>
      <c r="H42" s="611"/>
      <c r="I42" s="389"/>
      <c r="J42" s="612">
        <f t="shared" si="1"/>
      </c>
      <c r="K42" s="613">
        <f t="shared" si="2"/>
      </c>
      <c r="L42" s="431"/>
      <c r="M42" s="432">
        <f t="shared" si="3"/>
      </c>
      <c r="N42" s="352">
        <f t="shared" si="11"/>
      </c>
      <c r="O42" s="720">
        <f t="shared" si="4"/>
        <v>20</v>
      </c>
      <c r="P42" s="721" t="str">
        <f t="shared" si="5"/>
        <v>--</v>
      </c>
      <c r="Q42" s="722" t="str">
        <f t="shared" si="6"/>
        <v>--</v>
      </c>
      <c r="R42" s="723" t="str">
        <f t="shared" si="7"/>
        <v>--</v>
      </c>
      <c r="S42" s="724" t="str">
        <f t="shared" si="8"/>
        <v>--</v>
      </c>
      <c r="T42" s="725">
        <f t="shared" si="12"/>
      </c>
      <c r="U42" s="726">
        <f t="shared" si="9"/>
        <v>0</v>
      </c>
      <c r="V42" s="618">
        <f t="shared" si="10"/>
      </c>
      <c r="W42" s="6"/>
    </row>
    <row r="43" spans="2:23" s="5" customFormat="1" ht="16.5" customHeight="1">
      <c r="B43" s="50"/>
      <c r="C43" s="486"/>
      <c r="D43" s="682"/>
      <c r="E43" s="682"/>
      <c r="F43" s="682"/>
      <c r="G43" s="503">
        <f t="shared" si="0"/>
        <v>0</v>
      </c>
      <c r="H43" s="611"/>
      <c r="I43" s="389"/>
      <c r="J43" s="612">
        <f t="shared" si="1"/>
      </c>
      <c r="K43" s="613">
        <f t="shared" si="2"/>
      </c>
      <c r="L43" s="431"/>
      <c r="M43" s="432">
        <f t="shared" si="3"/>
      </c>
      <c r="N43" s="352">
        <f t="shared" si="11"/>
      </c>
      <c r="O43" s="720">
        <f t="shared" si="4"/>
        <v>20</v>
      </c>
      <c r="P43" s="721" t="str">
        <f t="shared" si="5"/>
        <v>--</v>
      </c>
      <c r="Q43" s="722" t="str">
        <f t="shared" si="6"/>
        <v>--</v>
      </c>
      <c r="R43" s="723" t="str">
        <f t="shared" si="7"/>
        <v>--</v>
      </c>
      <c r="S43" s="724" t="str">
        <f t="shared" si="8"/>
        <v>--</v>
      </c>
      <c r="T43" s="725">
        <f t="shared" si="12"/>
      </c>
      <c r="U43" s="726">
        <f t="shared" si="9"/>
        <v>0</v>
      </c>
      <c r="V43" s="618">
        <f t="shared" si="10"/>
      </c>
      <c r="W43" s="6"/>
    </row>
    <row r="44" spans="2:23" s="5" customFormat="1" ht="16.5" customHeight="1" thickBot="1">
      <c r="B44" s="50"/>
      <c r="C44" s="354"/>
      <c r="D44" s="690"/>
      <c r="E44" s="690"/>
      <c r="F44" s="690"/>
      <c r="G44" s="132"/>
      <c r="H44" s="619"/>
      <c r="I44" s="619"/>
      <c r="J44" s="620"/>
      <c r="K44" s="620"/>
      <c r="L44" s="619"/>
      <c r="M44" s="394"/>
      <c r="N44" s="351"/>
      <c r="O44" s="727"/>
      <c r="P44" s="728"/>
      <c r="Q44" s="729"/>
      <c r="R44" s="730"/>
      <c r="S44" s="731"/>
      <c r="T44" s="732"/>
      <c r="U44" s="563"/>
      <c r="V44" s="696"/>
      <c r="W44" s="6"/>
    </row>
    <row r="45" spans="2:23" s="5" customFormat="1" ht="16.5" customHeight="1" thickBot="1" thickTop="1">
      <c r="B45" s="50"/>
      <c r="C45" s="128" t="s">
        <v>26</v>
      </c>
      <c r="D45" s="129" t="s">
        <v>318</v>
      </c>
      <c r="G45" s="4"/>
      <c r="H45" s="4"/>
      <c r="I45" s="4"/>
      <c r="J45" s="4"/>
      <c r="K45" s="4"/>
      <c r="L45" s="4"/>
      <c r="M45" s="4"/>
      <c r="N45" s="4"/>
      <c r="O45" s="4"/>
      <c r="P45" s="733">
        <f>SUM(P22:P44)</f>
        <v>279.10400000000004</v>
      </c>
      <c r="Q45" s="734">
        <f>SUM(Q22:Q44)</f>
        <v>392</v>
      </c>
      <c r="R45" s="735">
        <f>SUM(R22:R44)</f>
        <v>1234.8</v>
      </c>
      <c r="S45" s="736">
        <f>SUM(S22:S44)</f>
        <v>0</v>
      </c>
      <c r="U45" s="737">
        <f>ROUND(SUM(U22:U44),2)</f>
        <v>1905.9</v>
      </c>
      <c r="V45" s="101">
        <f>ROUND(SUM(V22:V44),2)</f>
        <v>1905.9</v>
      </c>
      <c r="W45" s="701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4:25" ht="16.5" customHeight="1" thickTop="1">
      <c r="D47" s="378"/>
      <c r="E47" s="378"/>
      <c r="F47" s="378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</row>
    <row r="48" spans="4:25" ht="16.5" customHeight="1">
      <c r="D48" s="378"/>
      <c r="E48" s="378"/>
      <c r="F48" s="378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</row>
    <row r="49" spans="4:25" ht="16.5" customHeight="1">
      <c r="D49" s="378"/>
      <c r="E49" s="378"/>
      <c r="F49" s="378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</row>
    <row r="50" spans="4:25" ht="16.5" customHeight="1">
      <c r="D50" s="378"/>
      <c r="E50" s="378"/>
      <c r="F50" s="378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</row>
    <row r="51" spans="4:25" ht="16.5" customHeight="1">
      <c r="D51" s="378"/>
      <c r="E51" s="378"/>
      <c r="F51" s="378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</row>
    <row r="52" spans="4:25" ht="16.5" customHeight="1">
      <c r="D52" s="378"/>
      <c r="E52" s="378"/>
      <c r="F52" s="378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</row>
    <row r="53" spans="4:25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</row>
    <row r="54" spans="4:25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</row>
    <row r="55" spans="4:25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</row>
    <row r="56" spans="4:25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</row>
    <row r="57" spans="4:25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</row>
    <row r="58" spans="4:25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</row>
    <row r="59" spans="4:25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</row>
    <row r="60" spans="4:25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</row>
    <row r="61" spans="4:25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</row>
    <row r="62" spans="4:25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</row>
    <row r="63" spans="4:25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</row>
    <row r="64" spans="4:25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</row>
    <row r="65" spans="4:25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</row>
    <row r="66" spans="4:25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</row>
    <row r="67" spans="4:25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</row>
    <row r="68" spans="4:25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</row>
    <row r="69" spans="4:25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</row>
    <row r="70" spans="4:25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</row>
    <row r="71" spans="4:25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</row>
    <row r="72" spans="4:25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</row>
    <row r="73" spans="4:25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</row>
    <row r="74" spans="4:25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</row>
    <row r="75" spans="4:25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</row>
    <row r="76" spans="4:25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</row>
    <row r="77" spans="4:25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</row>
    <row r="78" spans="4:25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</row>
    <row r="79" spans="4:25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</row>
    <row r="80" spans="4:25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</row>
    <row r="81" spans="4:25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4:25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4:25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</row>
    <row r="84" spans="4:25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</row>
    <row r="85" spans="4:25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</row>
    <row r="86" spans="4:25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</row>
    <row r="87" spans="4:25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</row>
    <row r="88" spans="4:25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</row>
    <row r="89" spans="4:25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</row>
    <row r="90" spans="4:25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</row>
    <row r="91" spans="4:25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</row>
    <row r="92" spans="4:25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</row>
    <row r="93" spans="4:25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</row>
    <row r="94" spans="4:25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</row>
    <row r="95" spans="4:25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</row>
    <row r="96" spans="4:25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</row>
    <row r="97" spans="4:25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</row>
    <row r="98" spans="4:25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</row>
    <row r="99" spans="4:25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</row>
    <row r="100" spans="4:25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</row>
    <row r="101" spans="4:25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</row>
    <row r="102" spans="4:25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</row>
    <row r="103" spans="4:25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</row>
    <row r="104" spans="4:25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</row>
    <row r="105" spans="4:25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</row>
    <row r="106" spans="4:25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</row>
    <row r="107" spans="4:25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</row>
    <row r="108" spans="4:25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</row>
    <row r="109" spans="4:25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</row>
    <row r="110" spans="4:25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</row>
    <row r="111" spans="4:25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</row>
    <row r="112" spans="4:25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</row>
    <row r="113" spans="4:25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</row>
    <row r="114" spans="4:25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</row>
    <row r="115" spans="4:25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</row>
    <row r="116" spans="4:25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</row>
    <row r="117" spans="4:25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</row>
    <row r="118" spans="4:25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</row>
    <row r="119" spans="4:25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</row>
    <row r="120" spans="4:25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</row>
    <row r="121" spans="4:25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</row>
    <row r="122" spans="4:25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</row>
    <row r="123" spans="4:25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</row>
    <row r="124" spans="4:25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</row>
    <row r="125" spans="4:25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</row>
    <row r="126" spans="4:25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</row>
    <row r="127" spans="4:25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</row>
    <row r="128" spans="4:25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</row>
    <row r="129" spans="4:25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</row>
    <row r="130" spans="4:25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</row>
    <row r="131" spans="4:25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</row>
    <row r="132" spans="4:25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</row>
    <row r="133" spans="4:25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</row>
    <row r="134" spans="4:25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</row>
    <row r="135" spans="4:25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</row>
    <row r="136" spans="4:25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</row>
    <row r="137" spans="4:25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</row>
    <row r="138" spans="4:25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</row>
    <row r="139" spans="4:25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</row>
    <row r="140" spans="4:25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</row>
    <row r="141" spans="4:25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</row>
    <row r="142" spans="4:25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</row>
    <row r="143" spans="4:25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</row>
    <row r="144" spans="4:25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</row>
    <row r="145" spans="4:25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</row>
    <row r="146" spans="4:25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</row>
    <row r="147" spans="4:25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</row>
    <row r="148" spans="4:25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</row>
    <row r="149" spans="4:25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</row>
    <row r="150" spans="4:25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</row>
    <row r="151" spans="4:25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</row>
    <row r="152" spans="4:25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</row>
    <row r="153" spans="4:25" ht="16.5" customHeight="1"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</row>
    <row r="154" spans="4:25" ht="16.5" customHeight="1">
      <c r="D154" s="376"/>
      <c r="E154" s="376"/>
      <c r="F154" s="376"/>
      <c r="X154" s="376"/>
      <c r="Y154" s="376"/>
    </row>
    <row r="155" spans="4:6" ht="16.5" customHeight="1">
      <c r="D155" s="376"/>
      <c r="E155" s="376"/>
      <c r="F155" s="376"/>
    </row>
    <row r="156" spans="4:6" ht="16.5" customHeight="1">
      <c r="D156" s="376"/>
      <c r="E156" s="376"/>
      <c r="F156" s="376"/>
    </row>
    <row r="157" spans="4:6" ht="16.5" customHeight="1">
      <c r="D157" s="376"/>
      <c r="E157" s="376"/>
      <c r="F157" s="376"/>
    </row>
    <row r="158" spans="4:6" ht="16.5" customHeight="1">
      <c r="D158" s="376"/>
      <c r="E158" s="376"/>
      <c r="F158" s="376"/>
    </row>
    <row r="159" spans="4:6" ht="16.5" customHeight="1">
      <c r="D159" s="376"/>
      <c r="E159" s="376"/>
      <c r="F159" s="376"/>
    </row>
    <row r="160" ht="16.5" customHeight="1"/>
    <row r="161" ht="16.5" customHeight="1"/>
    <row r="162" ht="16.5" customHeight="1"/>
    <row r="163" ht="16.5" customHeight="1"/>
  </sheetData>
  <mergeCells count="1">
    <mergeCell ref="J16:N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154"/>
  <sheetViews>
    <sheetView zoomScale="75" zoomScaleNormal="75" workbookViewId="0" topLeftCell="B1">
      <selection activeCell="C20" sqref="C2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455" t="str">
        <f>+'TOT-1008'!B2</f>
        <v>ANEXO V al Memorándum D.T.E.E. N°  366 / 2010        </v>
      </c>
      <c r="C2" s="455"/>
      <c r="D2" s="455"/>
      <c r="E2" s="19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456" t="s">
        <v>107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456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457" t="s">
        <v>96</v>
      </c>
      <c r="E8" s="106"/>
      <c r="F8" s="106"/>
      <c r="G8" s="45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459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159" customFormat="1" ht="33" customHeight="1">
      <c r="A10" s="1182"/>
      <c r="B10" s="1190"/>
      <c r="C10" s="1182"/>
      <c r="D10" s="1191" t="s">
        <v>306</v>
      </c>
      <c r="E10" s="1182"/>
      <c r="F10" s="1192"/>
      <c r="G10" s="1193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93"/>
      <c r="S10" s="1193"/>
      <c r="T10" s="1193"/>
      <c r="U10" s="1193"/>
      <c r="V10" s="1193"/>
      <c r="W10" s="1193"/>
      <c r="X10" s="1193"/>
      <c r="Y10" s="1193"/>
      <c r="Z10" s="1193"/>
      <c r="AA10" s="1193"/>
      <c r="AB10" s="1161"/>
    </row>
    <row r="11" spans="1:28" s="1162" customFormat="1" ht="33" customHeight="1">
      <c r="A11" s="1186"/>
      <c r="B11" s="1194"/>
      <c r="C11" s="1186"/>
      <c r="D11" s="1195" t="s">
        <v>312</v>
      </c>
      <c r="E11" s="1196"/>
      <c r="F11" s="1196"/>
      <c r="G11" s="1197"/>
      <c r="H11" s="1196"/>
      <c r="I11" s="1196"/>
      <c r="J11" s="1196"/>
      <c r="K11" s="1196"/>
      <c r="L11" s="1196"/>
      <c r="M11" s="1186"/>
      <c r="N11" s="1186"/>
      <c r="O11" s="1186"/>
      <c r="P11" s="1186"/>
      <c r="Q11" s="1186"/>
      <c r="R11" s="1196"/>
      <c r="S11" s="1196"/>
      <c r="T11" s="1196"/>
      <c r="U11" s="1196"/>
      <c r="V11" s="1196"/>
      <c r="W11" s="1196"/>
      <c r="X11" s="1196"/>
      <c r="Y11" s="1196"/>
      <c r="Z11" s="1196"/>
      <c r="AA11" s="1196"/>
      <c r="AB11" s="1165"/>
    </row>
    <row r="12" spans="1:28" s="36" customFormat="1" ht="19.5">
      <c r="A12" s="110"/>
      <c r="B12" s="37" t="str">
        <f>'TOT-1008'!B14</f>
        <v>Desde el 01 al 31 de octubre de 2008</v>
      </c>
      <c r="C12" s="460"/>
      <c r="D12" s="113"/>
      <c r="E12" s="113"/>
      <c r="F12" s="113"/>
      <c r="G12" s="113"/>
      <c r="H12" s="113"/>
      <c r="I12" s="113"/>
      <c r="J12" s="113"/>
      <c r="K12" s="113"/>
      <c r="L12" s="113"/>
      <c r="M12" s="460"/>
      <c r="N12" s="460"/>
      <c r="O12" s="460"/>
      <c r="P12" s="460"/>
      <c r="Q12" s="460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461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462" t="s">
        <v>108</v>
      </c>
      <c r="E14" s="463"/>
      <c r="F14" s="464">
        <v>0.118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27</v>
      </c>
      <c r="E15" s="112"/>
      <c r="F15" s="1146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28</v>
      </c>
      <c r="E17" s="119" t="s">
        <v>29</v>
      </c>
      <c r="F17" s="121" t="s">
        <v>30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31</v>
      </c>
      <c r="L17" s="120" t="s">
        <v>32</v>
      </c>
      <c r="M17" s="88" t="s">
        <v>19</v>
      </c>
      <c r="N17" s="88" t="s">
        <v>65</v>
      </c>
      <c r="O17" s="123" t="s">
        <v>33</v>
      </c>
      <c r="P17" s="119" t="s">
        <v>34</v>
      </c>
      <c r="Q17" s="465" t="s">
        <v>38</v>
      </c>
      <c r="R17" s="466" t="s">
        <v>20</v>
      </c>
      <c r="S17" s="467" t="s">
        <v>21</v>
      </c>
      <c r="T17" s="419" t="s">
        <v>109</v>
      </c>
      <c r="U17" s="421"/>
      <c r="V17" s="468" t="s">
        <v>110</v>
      </c>
      <c r="W17" s="469"/>
      <c r="X17" s="470" t="s">
        <v>22</v>
      </c>
      <c r="Y17" s="471" t="s">
        <v>105</v>
      </c>
      <c r="Z17" s="133" t="s">
        <v>106</v>
      </c>
      <c r="AA17" s="122" t="s">
        <v>25</v>
      </c>
      <c r="AB17" s="17"/>
    </row>
    <row r="18" spans="1:28" s="5" customFormat="1" ht="16.5" customHeight="1" thickTop="1">
      <c r="A18" s="90"/>
      <c r="B18" s="95"/>
      <c r="C18" s="472"/>
      <c r="D18" s="472"/>
      <c r="E18" s="472"/>
      <c r="F18" s="472"/>
      <c r="G18" s="473"/>
      <c r="H18" s="474"/>
      <c r="I18" s="472"/>
      <c r="J18" s="472"/>
      <c r="K18" s="472"/>
      <c r="L18" s="472"/>
      <c r="M18" s="472"/>
      <c r="N18" s="382"/>
      <c r="O18" s="475"/>
      <c r="P18" s="472"/>
      <c r="Q18" s="476"/>
      <c r="R18" s="477"/>
      <c r="S18" s="478"/>
      <c r="T18" s="479"/>
      <c r="U18" s="480"/>
      <c r="V18" s="481"/>
      <c r="W18" s="482"/>
      <c r="X18" s="483"/>
      <c r="Y18" s="484"/>
      <c r="Z18" s="475"/>
      <c r="AA18" s="485"/>
      <c r="AB18" s="17"/>
    </row>
    <row r="19" spans="1:28" s="5" customFormat="1" ht="16.5" customHeight="1">
      <c r="A19" s="90"/>
      <c r="B19" s="95"/>
      <c r="C19" s="486"/>
      <c r="D19" s="486"/>
      <c r="E19" s="486"/>
      <c r="F19" s="486"/>
      <c r="G19" s="487"/>
      <c r="H19" s="488"/>
      <c r="I19" s="486"/>
      <c r="J19" s="486"/>
      <c r="K19" s="486"/>
      <c r="L19" s="486"/>
      <c r="M19" s="486"/>
      <c r="N19" s="385"/>
      <c r="O19" s="489"/>
      <c r="P19" s="486"/>
      <c r="Q19" s="490"/>
      <c r="R19" s="491"/>
      <c r="S19" s="492"/>
      <c r="T19" s="493"/>
      <c r="U19" s="494"/>
      <c r="V19" s="495"/>
      <c r="W19" s="496"/>
      <c r="X19" s="497"/>
      <c r="Y19" s="498"/>
      <c r="Z19" s="489"/>
      <c r="AA19" s="499"/>
      <c r="AB19" s="17"/>
    </row>
    <row r="20" spans="1:28" s="5" customFormat="1" ht="16.5" customHeight="1">
      <c r="A20" s="90"/>
      <c r="B20" s="95"/>
      <c r="C20" s="354">
        <v>73</v>
      </c>
      <c r="D20" s="348" t="s">
        <v>386</v>
      </c>
      <c r="E20" s="500" t="s">
        <v>390</v>
      </c>
      <c r="F20" s="501">
        <v>300</v>
      </c>
      <c r="G20" s="502" t="s">
        <v>339</v>
      </c>
      <c r="H20" s="503">
        <f aca="true" t="shared" si="0" ref="H20:H39">F20*$F$14</f>
        <v>35.4</v>
      </c>
      <c r="I20" s="355">
        <v>39726.36666666667</v>
      </c>
      <c r="J20" s="355">
        <v>39726.75277777778</v>
      </c>
      <c r="K20" s="504">
        <f aca="true" t="shared" si="1" ref="K20:K39">IF(D20="","",(J20-I20)*24)</f>
        <v>9.266666666662786</v>
      </c>
      <c r="L20" s="14">
        <f aca="true" t="shared" si="2" ref="L20:L39">IF(D20="","",ROUND((J20-I20)*24*60,0))</f>
        <v>556</v>
      </c>
      <c r="M20" s="356" t="s">
        <v>292</v>
      </c>
      <c r="N20" s="432" t="str">
        <f aca="true" t="shared" si="3" ref="N20:N39">IF(D20="","","--")</f>
        <v>--</v>
      </c>
      <c r="O20" s="353" t="str">
        <f>IF(D20="","",IF(OR(M20="P",M20="RP"),"--","NO"))</f>
        <v>--</v>
      </c>
      <c r="P20" s="352" t="str">
        <f aca="true" t="shared" si="4" ref="P20:P39">IF(D20="","","NO")</f>
        <v>NO</v>
      </c>
      <c r="Q20" s="564">
        <f aca="true" t="shared" si="5" ref="Q20:Q39">$F$15*IF(OR(M20="P",M20="RP"),0.1,1)*IF(P20="SI",1,0.1)</f>
        <v>2</v>
      </c>
      <c r="R20" s="546">
        <f aca="true" t="shared" si="6" ref="R20:R39">IF(M20="P",H20*Q20*ROUND(L20/60,2),"--")</f>
        <v>656.3159999999999</v>
      </c>
      <c r="S20" s="547" t="str">
        <f aca="true" t="shared" si="7" ref="S20:S39">IF(M20="RP",H20*Q20*N20/100*ROUND(L20/60,2),"--")</f>
        <v>--</v>
      </c>
      <c r="T20" s="548" t="str">
        <f aca="true" t="shared" si="8" ref="T20:T39">IF(AND(M20="F",O20="NO"),H20*Q20,"--")</f>
        <v>--</v>
      </c>
      <c r="U20" s="549" t="str">
        <f aca="true" t="shared" si="9" ref="U20:U39">IF(M20="F",H20*Q20*ROUND(L20/60,2),"--")</f>
        <v>--</v>
      </c>
      <c r="V20" s="550" t="str">
        <f aca="true" t="shared" si="10" ref="V20:V39">IF(AND(M20="R",O20="NO"),H20*Q20*N20/100,"--")</f>
        <v>--</v>
      </c>
      <c r="W20" s="551" t="str">
        <f aca="true" t="shared" si="11" ref="W20:W39">IF(M20="R",H20*Q20*N20/100*ROUND(L20/60,2),"--")</f>
        <v>--</v>
      </c>
      <c r="X20" s="552" t="str">
        <f aca="true" t="shared" si="12" ref="X20:X39">IF(M20="RF",H20*Q20*ROUND(L20/60,2),"--")</f>
        <v>--</v>
      </c>
      <c r="Y20" s="553" t="str">
        <f aca="true" t="shared" si="13" ref="Y20:Y39">IF(M20="RR",H20*Q20*N20/100*ROUND(L20/60,2),"--")</f>
        <v>--</v>
      </c>
      <c r="Z20" s="358" t="s">
        <v>289</v>
      </c>
      <c r="AA20" s="515">
        <f aca="true" t="shared" si="14" ref="AA20:AA39">IF(D20="","",SUM(R20:Y20)*IF(Z20="SI",1,2)*IF(AND(N22&lt;&gt;"--",M22="RF"),N22/100,1))</f>
        <v>656.3159999999999</v>
      </c>
      <c r="AB20" s="17"/>
    </row>
    <row r="21" spans="1:28" s="5" customFormat="1" ht="16.5" customHeight="1">
      <c r="A21" s="90"/>
      <c r="B21" s="95"/>
      <c r="C21" s="486"/>
      <c r="D21" s="348"/>
      <c r="E21" s="500"/>
      <c r="F21" s="501"/>
      <c r="G21" s="502"/>
      <c r="H21" s="503">
        <f t="shared" si="0"/>
        <v>0</v>
      </c>
      <c r="I21" s="355"/>
      <c r="J21" s="355"/>
      <c r="K21" s="504">
        <f t="shared" si="1"/>
      </c>
      <c r="L21" s="14">
        <f t="shared" si="2"/>
      </c>
      <c r="M21" s="356"/>
      <c r="N21" s="432">
        <f t="shared" si="3"/>
      </c>
      <c r="O21" s="353">
        <f aca="true" t="shared" si="15" ref="O21:O39">IF(D21="","",IF(M21="P","--","NO"))</f>
      </c>
      <c r="P21" s="352">
        <f t="shared" si="4"/>
      </c>
      <c r="Q21" s="564">
        <f t="shared" si="5"/>
        <v>20</v>
      </c>
      <c r="R21" s="546" t="str">
        <f t="shared" si="6"/>
        <v>--</v>
      </c>
      <c r="S21" s="547" t="str">
        <f t="shared" si="7"/>
        <v>--</v>
      </c>
      <c r="T21" s="548" t="str">
        <f t="shared" si="8"/>
        <v>--</v>
      </c>
      <c r="U21" s="549" t="str">
        <f t="shared" si="9"/>
        <v>--</v>
      </c>
      <c r="V21" s="550" t="str">
        <f t="shared" si="10"/>
        <v>--</v>
      </c>
      <c r="W21" s="551" t="str">
        <f t="shared" si="11"/>
        <v>--</v>
      </c>
      <c r="X21" s="552" t="str">
        <f t="shared" si="12"/>
        <v>--</v>
      </c>
      <c r="Y21" s="553" t="str">
        <f t="shared" si="13"/>
        <v>--</v>
      </c>
      <c r="Z21" s="358">
        <f aca="true" t="shared" si="16" ref="Z21:Z39">IF(D21="","","SI")</f>
      </c>
      <c r="AA21" s="515">
        <f t="shared" si="14"/>
      </c>
      <c r="AB21" s="17"/>
    </row>
    <row r="22" spans="1:28" s="5" customFormat="1" ht="16.5" customHeight="1">
      <c r="A22" s="90"/>
      <c r="B22" s="95"/>
      <c r="C22" s="354"/>
      <c r="D22" s="348"/>
      <c r="E22" s="500"/>
      <c r="F22" s="501"/>
      <c r="G22" s="502"/>
      <c r="H22" s="503">
        <f t="shared" si="0"/>
        <v>0</v>
      </c>
      <c r="I22" s="355"/>
      <c r="J22" s="355"/>
      <c r="K22" s="504">
        <f t="shared" si="1"/>
      </c>
      <c r="L22" s="14">
        <f t="shared" si="2"/>
      </c>
      <c r="M22" s="356"/>
      <c r="N22" s="432">
        <f t="shared" si="3"/>
      </c>
      <c r="O22" s="353">
        <f t="shared" si="15"/>
      </c>
      <c r="P22" s="352">
        <f t="shared" si="4"/>
      </c>
      <c r="Q22" s="564">
        <f t="shared" si="5"/>
        <v>20</v>
      </c>
      <c r="R22" s="546" t="str">
        <f t="shared" si="6"/>
        <v>--</v>
      </c>
      <c r="S22" s="547" t="str">
        <f t="shared" si="7"/>
        <v>--</v>
      </c>
      <c r="T22" s="548" t="str">
        <f t="shared" si="8"/>
        <v>--</v>
      </c>
      <c r="U22" s="549" t="str">
        <f t="shared" si="9"/>
        <v>--</v>
      </c>
      <c r="V22" s="550" t="str">
        <f t="shared" si="10"/>
        <v>--</v>
      </c>
      <c r="W22" s="551" t="str">
        <f t="shared" si="11"/>
        <v>--</v>
      </c>
      <c r="X22" s="552" t="str">
        <f t="shared" si="12"/>
        <v>--</v>
      </c>
      <c r="Y22" s="553" t="str">
        <f t="shared" si="13"/>
        <v>--</v>
      </c>
      <c r="Z22" s="358">
        <f t="shared" si="16"/>
      </c>
      <c r="AA22" s="515">
        <f t="shared" si="14"/>
      </c>
      <c r="AB22" s="17"/>
    </row>
    <row r="23" spans="1:28" s="5" customFormat="1" ht="16.5" customHeight="1">
      <c r="A23" s="90"/>
      <c r="B23" s="95"/>
      <c r="C23" s="486"/>
      <c r="D23" s="348"/>
      <c r="E23" s="500"/>
      <c r="F23" s="501"/>
      <c r="G23" s="502"/>
      <c r="H23" s="503">
        <f t="shared" si="0"/>
        <v>0</v>
      </c>
      <c r="I23" s="355"/>
      <c r="J23" s="355"/>
      <c r="K23" s="504">
        <f t="shared" si="1"/>
      </c>
      <c r="L23" s="14">
        <f t="shared" si="2"/>
      </c>
      <c r="M23" s="356"/>
      <c r="N23" s="432">
        <f t="shared" si="3"/>
      </c>
      <c r="O23" s="353">
        <f t="shared" si="15"/>
      </c>
      <c r="P23" s="352">
        <f t="shared" si="4"/>
      </c>
      <c r="Q23" s="564">
        <f t="shared" si="5"/>
        <v>20</v>
      </c>
      <c r="R23" s="546" t="str">
        <f t="shared" si="6"/>
        <v>--</v>
      </c>
      <c r="S23" s="547" t="str">
        <f t="shared" si="7"/>
        <v>--</v>
      </c>
      <c r="T23" s="548" t="str">
        <f t="shared" si="8"/>
        <v>--</v>
      </c>
      <c r="U23" s="549" t="str">
        <f t="shared" si="9"/>
        <v>--</v>
      </c>
      <c r="V23" s="550" t="str">
        <f t="shared" si="10"/>
        <v>--</v>
      </c>
      <c r="W23" s="551" t="str">
        <f t="shared" si="11"/>
        <v>--</v>
      </c>
      <c r="X23" s="552" t="str">
        <f t="shared" si="12"/>
        <v>--</v>
      </c>
      <c r="Y23" s="553" t="str">
        <f t="shared" si="13"/>
        <v>--</v>
      </c>
      <c r="Z23" s="358">
        <f t="shared" si="16"/>
      </c>
      <c r="AA23" s="515">
        <f t="shared" si="14"/>
      </c>
      <c r="AB23" s="17"/>
    </row>
    <row r="24" spans="1:28" s="5" customFormat="1" ht="16.5" customHeight="1">
      <c r="A24" s="90"/>
      <c r="B24" s="95"/>
      <c r="C24" s="354"/>
      <c r="D24" s="348"/>
      <c r="E24" s="500"/>
      <c r="F24" s="501"/>
      <c r="G24" s="502"/>
      <c r="H24" s="503">
        <f t="shared" si="0"/>
        <v>0</v>
      </c>
      <c r="I24" s="355"/>
      <c r="J24" s="355"/>
      <c r="K24" s="504">
        <f t="shared" si="1"/>
      </c>
      <c r="L24" s="14">
        <f t="shared" si="2"/>
      </c>
      <c r="M24" s="356"/>
      <c r="N24" s="432">
        <f t="shared" si="3"/>
      </c>
      <c r="O24" s="353">
        <f t="shared" si="15"/>
      </c>
      <c r="P24" s="352">
        <f t="shared" si="4"/>
      </c>
      <c r="Q24" s="564">
        <f t="shared" si="5"/>
        <v>20</v>
      </c>
      <c r="R24" s="546" t="str">
        <f t="shared" si="6"/>
        <v>--</v>
      </c>
      <c r="S24" s="547" t="str">
        <f t="shared" si="7"/>
        <v>--</v>
      </c>
      <c r="T24" s="548" t="str">
        <f t="shared" si="8"/>
        <v>--</v>
      </c>
      <c r="U24" s="549" t="str">
        <f t="shared" si="9"/>
        <v>--</v>
      </c>
      <c r="V24" s="550" t="str">
        <f t="shared" si="10"/>
        <v>--</v>
      </c>
      <c r="W24" s="551" t="str">
        <f t="shared" si="11"/>
        <v>--</v>
      </c>
      <c r="X24" s="552" t="str">
        <f t="shared" si="12"/>
        <v>--</v>
      </c>
      <c r="Y24" s="553" t="str">
        <f t="shared" si="13"/>
        <v>--</v>
      </c>
      <c r="Z24" s="358">
        <f t="shared" si="16"/>
      </c>
      <c r="AA24" s="515">
        <f t="shared" si="14"/>
      </c>
      <c r="AB24" s="17"/>
    </row>
    <row r="25" spans="1:28" s="5" customFormat="1" ht="16.5" customHeight="1">
      <c r="A25" s="90"/>
      <c r="B25" s="95"/>
      <c r="C25" s="486"/>
      <c r="D25" s="348"/>
      <c r="E25" s="500"/>
      <c r="F25" s="501"/>
      <c r="G25" s="502"/>
      <c r="H25" s="503">
        <f t="shared" si="0"/>
        <v>0</v>
      </c>
      <c r="I25" s="355"/>
      <c r="J25" s="355"/>
      <c r="K25" s="504">
        <f t="shared" si="1"/>
      </c>
      <c r="L25" s="14">
        <f t="shared" si="2"/>
      </c>
      <c r="M25" s="356"/>
      <c r="N25" s="432">
        <f t="shared" si="3"/>
      </c>
      <c r="O25" s="353">
        <f t="shared" si="15"/>
      </c>
      <c r="P25" s="352">
        <f t="shared" si="4"/>
      </c>
      <c r="Q25" s="564">
        <f t="shared" si="5"/>
        <v>20</v>
      </c>
      <c r="R25" s="546" t="str">
        <f t="shared" si="6"/>
        <v>--</v>
      </c>
      <c r="S25" s="547" t="str">
        <f t="shared" si="7"/>
        <v>--</v>
      </c>
      <c r="T25" s="548" t="str">
        <f t="shared" si="8"/>
        <v>--</v>
      </c>
      <c r="U25" s="549" t="str">
        <f t="shared" si="9"/>
        <v>--</v>
      </c>
      <c r="V25" s="550" t="str">
        <f t="shared" si="10"/>
        <v>--</v>
      </c>
      <c r="W25" s="551" t="str">
        <f t="shared" si="11"/>
        <v>--</v>
      </c>
      <c r="X25" s="552" t="str">
        <f t="shared" si="12"/>
        <v>--</v>
      </c>
      <c r="Y25" s="553" t="str">
        <f t="shared" si="13"/>
        <v>--</v>
      </c>
      <c r="Z25" s="358">
        <f t="shared" si="16"/>
      </c>
      <c r="AA25" s="515">
        <f t="shared" si="14"/>
      </c>
      <c r="AB25" s="17"/>
    </row>
    <row r="26" spans="1:29" s="5" customFormat="1" ht="16.5" customHeight="1">
      <c r="A26" s="90"/>
      <c r="B26" s="95"/>
      <c r="C26" s="354"/>
      <c r="D26" s="348"/>
      <c r="E26" s="500"/>
      <c r="F26" s="501"/>
      <c r="G26" s="502"/>
      <c r="H26" s="503">
        <f t="shared" si="0"/>
        <v>0</v>
      </c>
      <c r="I26" s="355"/>
      <c r="J26" s="355"/>
      <c r="K26" s="504">
        <f t="shared" si="1"/>
      </c>
      <c r="L26" s="14">
        <f t="shared" si="2"/>
      </c>
      <c r="M26" s="356"/>
      <c r="N26" s="432">
        <f t="shared" si="3"/>
      </c>
      <c r="O26" s="353">
        <f t="shared" si="15"/>
      </c>
      <c r="P26" s="352">
        <f t="shared" si="4"/>
      </c>
      <c r="Q26" s="564">
        <f t="shared" si="5"/>
        <v>20</v>
      </c>
      <c r="R26" s="546" t="str">
        <f t="shared" si="6"/>
        <v>--</v>
      </c>
      <c r="S26" s="547" t="str">
        <f t="shared" si="7"/>
        <v>--</v>
      </c>
      <c r="T26" s="548" t="str">
        <f t="shared" si="8"/>
        <v>--</v>
      </c>
      <c r="U26" s="549" t="str">
        <f t="shared" si="9"/>
        <v>--</v>
      </c>
      <c r="V26" s="550" t="str">
        <f t="shared" si="10"/>
        <v>--</v>
      </c>
      <c r="W26" s="551" t="str">
        <f t="shared" si="11"/>
        <v>--</v>
      </c>
      <c r="X26" s="552" t="str">
        <f t="shared" si="12"/>
        <v>--</v>
      </c>
      <c r="Y26" s="553" t="str">
        <f t="shared" si="13"/>
        <v>--</v>
      </c>
      <c r="Z26" s="358">
        <f t="shared" si="16"/>
      </c>
      <c r="AA26" s="515">
        <f t="shared" si="14"/>
      </c>
      <c r="AB26" s="17"/>
      <c r="AC26" s="15"/>
    </row>
    <row r="27" spans="1:28" s="5" customFormat="1" ht="16.5" customHeight="1">
      <c r="A27" s="90"/>
      <c r="B27" s="95"/>
      <c r="C27" s="486"/>
      <c r="D27" s="348"/>
      <c r="E27" s="500"/>
      <c r="F27" s="501"/>
      <c r="G27" s="502"/>
      <c r="H27" s="503">
        <f t="shared" si="0"/>
        <v>0</v>
      </c>
      <c r="I27" s="355"/>
      <c r="J27" s="355"/>
      <c r="K27" s="504">
        <f t="shared" si="1"/>
      </c>
      <c r="L27" s="14">
        <f t="shared" si="2"/>
      </c>
      <c r="M27" s="356"/>
      <c r="N27" s="432">
        <f t="shared" si="3"/>
      </c>
      <c r="O27" s="353">
        <f t="shared" si="15"/>
      </c>
      <c r="P27" s="352">
        <f t="shared" si="4"/>
      </c>
      <c r="Q27" s="564">
        <f t="shared" si="5"/>
        <v>20</v>
      </c>
      <c r="R27" s="546" t="str">
        <f t="shared" si="6"/>
        <v>--</v>
      </c>
      <c r="S27" s="547" t="str">
        <f t="shared" si="7"/>
        <v>--</v>
      </c>
      <c r="T27" s="548" t="str">
        <f t="shared" si="8"/>
        <v>--</v>
      </c>
      <c r="U27" s="549" t="str">
        <f t="shared" si="9"/>
        <v>--</v>
      </c>
      <c r="V27" s="550" t="str">
        <f t="shared" si="10"/>
        <v>--</v>
      </c>
      <c r="W27" s="551" t="str">
        <f t="shared" si="11"/>
        <v>--</v>
      </c>
      <c r="X27" s="552" t="str">
        <f t="shared" si="12"/>
        <v>--</v>
      </c>
      <c r="Y27" s="553" t="str">
        <f t="shared" si="13"/>
        <v>--</v>
      </c>
      <c r="Z27" s="358">
        <f t="shared" si="16"/>
      </c>
      <c r="AA27" s="515">
        <f t="shared" si="14"/>
      </c>
      <c r="AB27" s="17"/>
    </row>
    <row r="28" spans="1:28" s="5" customFormat="1" ht="16.5" customHeight="1">
      <c r="A28" s="90"/>
      <c r="B28" s="95"/>
      <c r="C28" s="354"/>
      <c r="D28" s="348"/>
      <c r="E28" s="500"/>
      <c r="F28" s="501"/>
      <c r="G28" s="502"/>
      <c r="H28" s="503">
        <f t="shared" si="0"/>
        <v>0</v>
      </c>
      <c r="I28" s="355"/>
      <c r="J28" s="355"/>
      <c r="K28" s="504">
        <f t="shared" si="1"/>
      </c>
      <c r="L28" s="14">
        <f t="shared" si="2"/>
      </c>
      <c r="M28" s="356"/>
      <c r="N28" s="432">
        <f t="shared" si="3"/>
      </c>
      <c r="O28" s="353">
        <f t="shared" si="15"/>
      </c>
      <c r="P28" s="352">
        <f t="shared" si="4"/>
      </c>
      <c r="Q28" s="564">
        <f t="shared" si="5"/>
        <v>20</v>
      </c>
      <c r="R28" s="546" t="str">
        <f t="shared" si="6"/>
        <v>--</v>
      </c>
      <c r="S28" s="547" t="str">
        <f t="shared" si="7"/>
        <v>--</v>
      </c>
      <c r="T28" s="548" t="str">
        <f t="shared" si="8"/>
        <v>--</v>
      </c>
      <c r="U28" s="549" t="str">
        <f t="shared" si="9"/>
        <v>--</v>
      </c>
      <c r="V28" s="550" t="str">
        <f t="shared" si="10"/>
        <v>--</v>
      </c>
      <c r="W28" s="551" t="str">
        <f t="shared" si="11"/>
        <v>--</v>
      </c>
      <c r="X28" s="552" t="str">
        <f t="shared" si="12"/>
        <v>--</v>
      </c>
      <c r="Y28" s="553" t="str">
        <f t="shared" si="13"/>
        <v>--</v>
      </c>
      <c r="Z28" s="358">
        <f t="shared" si="16"/>
      </c>
      <c r="AA28" s="515">
        <f t="shared" si="14"/>
      </c>
      <c r="AB28" s="17"/>
    </row>
    <row r="29" spans="1:28" s="5" customFormat="1" ht="16.5" customHeight="1">
      <c r="A29" s="90"/>
      <c r="B29" s="95"/>
      <c r="C29" s="486"/>
      <c r="D29" s="348"/>
      <c r="E29" s="500"/>
      <c r="F29" s="501"/>
      <c r="G29" s="502"/>
      <c r="H29" s="503">
        <f t="shared" si="0"/>
        <v>0</v>
      </c>
      <c r="I29" s="355"/>
      <c r="J29" s="355"/>
      <c r="K29" s="504">
        <f t="shared" si="1"/>
      </c>
      <c r="L29" s="14">
        <f t="shared" si="2"/>
      </c>
      <c r="M29" s="356"/>
      <c r="N29" s="432">
        <f t="shared" si="3"/>
      </c>
      <c r="O29" s="353">
        <f t="shared" si="15"/>
      </c>
      <c r="P29" s="352">
        <f t="shared" si="4"/>
      </c>
      <c r="Q29" s="564">
        <f t="shared" si="5"/>
        <v>20</v>
      </c>
      <c r="R29" s="546" t="str">
        <f t="shared" si="6"/>
        <v>--</v>
      </c>
      <c r="S29" s="547" t="str">
        <f t="shared" si="7"/>
        <v>--</v>
      </c>
      <c r="T29" s="548" t="str">
        <f t="shared" si="8"/>
        <v>--</v>
      </c>
      <c r="U29" s="549" t="str">
        <f t="shared" si="9"/>
        <v>--</v>
      </c>
      <c r="V29" s="550" t="str">
        <f t="shared" si="10"/>
        <v>--</v>
      </c>
      <c r="W29" s="551" t="str">
        <f t="shared" si="11"/>
        <v>--</v>
      </c>
      <c r="X29" s="552" t="str">
        <f t="shared" si="12"/>
        <v>--</v>
      </c>
      <c r="Y29" s="553" t="str">
        <f t="shared" si="13"/>
        <v>--</v>
      </c>
      <c r="Z29" s="358">
        <f t="shared" si="16"/>
      </c>
      <c r="AA29" s="515">
        <f t="shared" si="14"/>
      </c>
      <c r="AB29" s="17"/>
    </row>
    <row r="30" spans="1:28" s="5" customFormat="1" ht="16.5" customHeight="1">
      <c r="A30" s="90"/>
      <c r="B30" s="95"/>
      <c r="C30" s="354"/>
      <c r="D30" s="348"/>
      <c r="E30" s="516"/>
      <c r="F30" s="501"/>
      <c r="G30" s="502"/>
      <c r="H30" s="503">
        <f t="shared" si="0"/>
        <v>0</v>
      </c>
      <c r="I30" s="355"/>
      <c r="J30" s="355"/>
      <c r="K30" s="504">
        <f t="shared" si="1"/>
      </c>
      <c r="L30" s="14">
        <f t="shared" si="2"/>
      </c>
      <c r="M30" s="356"/>
      <c r="N30" s="432">
        <f t="shared" si="3"/>
      </c>
      <c r="O30" s="353">
        <f t="shared" si="15"/>
      </c>
      <c r="P30" s="352">
        <f t="shared" si="4"/>
      </c>
      <c r="Q30" s="564">
        <f t="shared" si="5"/>
        <v>20</v>
      </c>
      <c r="R30" s="546" t="str">
        <f t="shared" si="6"/>
        <v>--</v>
      </c>
      <c r="S30" s="547" t="str">
        <f t="shared" si="7"/>
        <v>--</v>
      </c>
      <c r="T30" s="548" t="str">
        <f t="shared" si="8"/>
        <v>--</v>
      </c>
      <c r="U30" s="549" t="str">
        <f t="shared" si="9"/>
        <v>--</v>
      </c>
      <c r="V30" s="550" t="str">
        <f t="shared" si="10"/>
        <v>--</v>
      </c>
      <c r="W30" s="551" t="str">
        <f t="shared" si="11"/>
        <v>--</v>
      </c>
      <c r="X30" s="552" t="str">
        <f t="shared" si="12"/>
        <v>--</v>
      </c>
      <c r="Y30" s="553" t="str">
        <f t="shared" si="13"/>
        <v>--</v>
      </c>
      <c r="Z30" s="358">
        <f t="shared" si="16"/>
      </c>
      <c r="AA30" s="515">
        <f t="shared" si="14"/>
      </c>
      <c r="AB30" s="17"/>
    </row>
    <row r="31" spans="1:28" s="5" customFormat="1" ht="16.5" customHeight="1">
      <c r="A31" s="90"/>
      <c r="B31" s="95"/>
      <c r="C31" s="486"/>
      <c r="D31" s="348"/>
      <c r="E31" s="516"/>
      <c r="F31" s="501"/>
      <c r="G31" s="502"/>
      <c r="H31" s="503">
        <f t="shared" si="0"/>
        <v>0</v>
      </c>
      <c r="I31" s="355"/>
      <c r="J31" s="355"/>
      <c r="K31" s="504">
        <f t="shared" si="1"/>
      </c>
      <c r="L31" s="14">
        <f t="shared" si="2"/>
      </c>
      <c r="M31" s="356"/>
      <c r="N31" s="432">
        <f t="shared" si="3"/>
      </c>
      <c r="O31" s="353">
        <f t="shared" si="15"/>
      </c>
      <c r="P31" s="352">
        <f t="shared" si="4"/>
      </c>
      <c r="Q31" s="564">
        <f t="shared" si="5"/>
        <v>20</v>
      </c>
      <c r="R31" s="546" t="str">
        <f t="shared" si="6"/>
        <v>--</v>
      </c>
      <c r="S31" s="547" t="str">
        <f t="shared" si="7"/>
        <v>--</v>
      </c>
      <c r="T31" s="548" t="str">
        <f t="shared" si="8"/>
        <v>--</v>
      </c>
      <c r="U31" s="549" t="str">
        <f t="shared" si="9"/>
        <v>--</v>
      </c>
      <c r="V31" s="550" t="str">
        <f t="shared" si="10"/>
        <v>--</v>
      </c>
      <c r="W31" s="551" t="str">
        <f t="shared" si="11"/>
        <v>--</v>
      </c>
      <c r="X31" s="552" t="str">
        <f t="shared" si="12"/>
        <v>--</v>
      </c>
      <c r="Y31" s="553" t="str">
        <f t="shared" si="13"/>
        <v>--</v>
      </c>
      <c r="Z31" s="358">
        <f t="shared" si="16"/>
      </c>
      <c r="AA31" s="515">
        <f t="shared" si="14"/>
      </c>
      <c r="AB31" s="17"/>
    </row>
    <row r="32" spans="1:28" s="5" customFormat="1" ht="16.5" customHeight="1">
      <c r="A32" s="90"/>
      <c r="B32" s="95"/>
      <c r="C32" s="354"/>
      <c r="D32" s="348"/>
      <c r="E32" s="516"/>
      <c r="F32" s="501"/>
      <c r="G32" s="502"/>
      <c r="H32" s="503">
        <f t="shared" si="0"/>
        <v>0</v>
      </c>
      <c r="I32" s="355"/>
      <c r="J32" s="355"/>
      <c r="K32" s="504">
        <f t="shared" si="1"/>
      </c>
      <c r="L32" s="14">
        <f t="shared" si="2"/>
      </c>
      <c r="M32" s="356"/>
      <c r="N32" s="432">
        <f t="shared" si="3"/>
      </c>
      <c r="O32" s="353">
        <f t="shared" si="15"/>
      </c>
      <c r="P32" s="352">
        <f t="shared" si="4"/>
      </c>
      <c r="Q32" s="564">
        <f t="shared" si="5"/>
        <v>20</v>
      </c>
      <c r="R32" s="546" t="str">
        <f t="shared" si="6"/>
        <v>--</v>
      </c>
      <c r="S32" s="547" t="str">
        <f t="shared" si="7"/>
        <v>--</v>
      </c>
      <c r="T32" s="548" t="str">
        <f t="shared" si="8"/>
        <v>--</v>
      </c>
      <c r="U32" s="549" t="str">
        <f t="shared" si="9"/>
        <v>--</v>
      </c>
      <c r="V32" s="550" t="str">
        <f t="shared" si="10"/>
        <v>--</v>
      </c>
      <c r="W32" s="551" t="str">
        <f t="shared" si="11"/>
        <v>--</v>
      </c>
      <c r="X32" s="552" t="str">
        <f t="shared" si="12"/>
        <v>--</v>
      </c>
      <c r="Y32" s="553" t="str">
        <f t="shared" si="13"/>
        <v>--</v>
      </c>
      <c r="Z32" s="358">
        <f t="shared" si="16"/>
      </c>
      <c r="AA32" s="515">
        <f t="shared" si="14"/>
      </c>
      <c r="AB32" s="17"/>
    </row>
    <row r="33" spans="1:28" s="5" customFormat="1" ht="16.5" customHeight="1">
      <c r="A33" s="90"/>
      <c r="B33" s="95"/>
      <c r="C33" s="486"/>
      <c r="D33" s="348"/>
      <c r="E33" s="516"/>
      <c r="F33" s="501"/>
      <c r="G33" s="502"/>
      <c r="H33" s="503">
        <f t="shared" si="0"/>
        <v>0</v>
      </c>
      <c r="I33" s="355"/>
      <c r="J33" s="355"/>
      <c r="K33" s="504">
        <f t="shared" si="1"/>
      </c>
      <c r="L33" s="14">
        <f t="shared" si="2"/>
      </c>
      <c r="M33" s="356"/>
      <c r="N33" s="432">
        <f t="shared" si="3"/>
      </c>
      <c r="O33" s="353">
        <f t="shared" si="15"/>
      </c>
      <c r="P33" s="352">
        <f t="shared" si="4"/>
      </c>
      <c r="Q33" s="564">
        <f t="shared" si="5"/>
        <v>20</v>
      </c>
      <c r="R33" s="546" t="str">
        <f t="shared" si="6"/>
        <v>--</v>
      </c>
      <c r="S33" s="547" t="str">
        <f t="shared" si="7"/>
        <v>--</v>
      </c>
      <c r="T33" s="548" t="str">
        <f t="shared" si="8"/>
        <v>--</v>
      </c>
      <c r="U33" s="549" t="str">
        <f t="shared" si="9"/>
        <v>--</v>
      </c>
      <c r="V33" s="550" t="str">
        <f t="shared" si="10"/>
        <v>--</v>
      </c>
      <c r="W33" s="551" t="str">
        <f t="shared" si="11"/>
        <v>--</v>
      </c>
      <c r="X33" s="552" t="str">
        <f t="shared" si="12"/>
        <v>--</v>
      </c>
      <c r="Y33" s="553" t="str">
        <f t="shared" si="13"/>
        <v>--</v>
      </c>
      <c r="Z33" s="358">
        <f t="shared" si="16"/>
      </c>
      <c r="AA33" s="515">
        <f t="shared" si="14"/>
      </c>
      <c r="AB33" s="17"/>
    </row>
    <row r="34" spans="1:28" s="5" customFormat="1" ht="16.5" customHeight="1">
      <c r="A34" s="90"/>
      <c r="B34" s="95"/>
      <c r="C34" s="354"/>
      <c r="D34" s="348"/>
      <c r="E34" s="516"/>
      <c r="F34" s="501"/>
      <c r="G34" s="502"/>
      <c r="H34" s="503">
        <f t="shared" si="0"/>
        <v>0</v>
      </c>
      <c r="I34" s="355"/>
      <c r="J34" s="355"/>
      <c r="K34" s="504">
        <f t="shared" si="1"/>
      </c>
      <c r="L34" s="14">
        <f t="shared" si="2"/>
      </c>
      <c r="M34" s="356"/>
      <c r="N34" s="432">
        <f t="shared" si="3"/>
      </c>
      <c r="O34" s="353">
        <f t="shared" si="15"/>
      </c>
      <c r="P34" s="352">
        <f t="shared" si="4"/>
      </c>
      <c r="Q34" s="564">
        <f t="shared" si="5"/>
        <v>20</v>
      </c>
      <c r="R34" s="546" t="str">
        <f t="shared" si="6"/>
        <v>--</v>
      </c>
      <c r="S34" s="547" t="str">
        <f t="shared" si="7"/>
        <v>--</v>
      </c>
      <c r="T34" s="548" t="str">
        <f t="shared" si="8"/>
        <v>--</v>
      </c>
      <c r="U34" s="549" t="str">
        <f t="shared" si="9"/>
        <v>--</v>
      </c>
      <c r="V34" s="550" t="str">
        <f t="shared" si="10"/>
        <v>--</v>
      </c>
      <c r="W34" s="551" t="str">
        <f t="shared" si="11"/>
        <v>--</v>
      </c>
      <c r="X34" s="552" t="str">
        <f t="shared" si="12"/>
        <v>--</v>
      </c>
      <c r="Y34" s="553" t="str">
        <f t="shared" si="13"/>
        <v>--</v>
      </c>
      <c r="Z34" s="358">
        <f t="shared" si="16"/>
      </c>
      <c r="AA34" s="515">
        <f t="shared" si="14"/>
      </c>
      <c r="AB34" s="17"/>
    </row>
    <row r="35" spans="1:28" s="5" customFormat="1" ht="16.5" customHeight="1">
      <c r="A35" s="90"/>
      <c r="B35" s="95"/>
      <c r="C35" s="486"/>
      <c r="D35" s="348"/>
      <c r="E35" s="516"/>
      <c r="F35" s="501"/>
      <c r="G35" s="502"/>
      <c r="H35" s="503">
        <f t="shared" si="0"/>
        <v>0</v>
      </c>
      <c r="I35" s="355"/>
      <c r="J35" s="355"/>
      <c r="K35" s="504">
        <f t="shared" si="1"/>
      </c>
      <c r="L35" s="14">
        <f t="shared" si="2"/>
      </c>
      <c r="M35" s="356"/>
      <c r="N35" s="432">
        <f t="shared" si="3"/>
      </c>
      <c r="O35" s="353">
        <f t="shared" si="15"/>
      </c>
      <c r="P35" s="352">
        <f t="shared" si="4"/>
      </c>
      <c r="Q35" s="564">
        <f t="shared" si="5"/>
        <v>20</v>
      </c>
      <c r="R35" s="546" t="str">
        <f t="shared" si="6"/>
        <v>--</v>
      </c>
      <c r="S35" s="547" t="str">
        <f t="shared" si="7"/>
        <v>--</v>
      </c>
      <c r="T35" s="548" t="str">
        <f t="shared" si="8"/>
        <v>--</v>
      </c>
      <c r="U35" s="549" t="str">
        <f t="shared" si="9"/>
        <v>--</v>
      </c>
      <c r="V35" s="550" t="str">
        <f t="shared" si="10"/>
        <v>--</v>
      </c>
      <c r="W35" s="551" t="str">
        <f t="shared" si="11"/>
        <v>--</v>
      </c>
      <c r="X35" s="552" t="str">
        <f t="shared" si="12"/>
        <v>--</v>
      </c>
      <c r="Y35" s="553" t="str">
        <f t="shared" si="13"/>
        <v>--</v>
      </c>
      <c r="Z35" s="358">
        <f t="shared" si="16"/>
      </c>
      <c r="AA35" s="515">
        <f t="shared" si="14"/>
      </c>
      <c r="AB35" s="17"/>
    </row>
    <row r="36" spans="1:28" s="5" customFormat="1" ht="16.5" customHeight="1">
      <c r="A36" s="90"/>
      <c r="B36" s="95"/>
      <c r="C36" s="354"/>
      <c r="D36" s="348"/>
      <c r="E36" s="516"/>
      <c r="F36" s="501"/>
      <c r="G36" s="502"/>
      <c r="H36" s="503">
        <f t="shared" si="0"/>
        <v>0</v>
      </c>
      <c r="I36" s="355"/>
      <c r="J36" s="355"/>
      <c r="K36" s="504">
        <f t="shared" si="1"/>
      </c>
      <c r="L36" s="14">
        <f t="shared" si="2"/>
      </c>
      <c r="M36" s="356"/>
      <c r="N36" s="432">
        <f t="shared" si="3"/>
      </c>
      <c r="O36" s="353">
        <f t="shared" si="15"/>
      </c>
      <c r="P36" s="352">
        <f t="shared" si="4"/>
      </c>
      <c r="Q36" s="564">
        <f t="shared" si="5"/>
        <v>20</v>
      </c>
      <c r="R36" s="546" t="str">
        <f t="shared" si="6"/>
        <v>--</v>
      </c>
      <c r="S36" s="547" t="str">
        <f t="shared" si="7"/>
        <v>--</v>
      </c>
      <c r="T36" s="548" t="str">
        <f t="shared" si="8"/>
        <v>--</v>
      </c>
      <c r="U36" s="549" t="str">
        <f t="shared" si="9"/>
        <v>--</v>
      </c>
      <c r="V36" s="550" t="str">
        <f t="shared" si="10"/>
        <v>--</v>
      </c>
      <c r="W36" s="551" t="str">
        <f t="shared" si="11"/>
        <v>--</v>
      </c>
      <c r="X36" s="552" t="str">
        <f t="shared" si="12"/>
        <v>--</v>
      </c>
      <c r="Y36" s="553" t="str">
        <f t="shared" si="13"/>
        <v>--</v>
      </c>
      <c r="Z36" s="358">
        <f t="shared" si="16"/>
      </c>
      <c r="AA36" s="515">
        <f t="shared" si="14"/>
      </c>
      <c r="AB36" s="17"/>
    </row>
    <row r="37" spans="1:28" s="5" customFormat="1" ht="16.5" customHeight="1">
      <c r="A37" s="90"/>
      <c r="B37" s="95"/>
      <c r="C37" s="486"/>
      <c r="D37" s="348"/>
      <c r="E37" s="516"/>
      <c r="F37" s="501"/>
      <c r="G37" s="502"/>
      <c r="H37" s="503">
        <f t="shared" si="0"/>
        <v>0</v>
      </c>
      <c r="I37" s="355"/>
      <c r="J37" s="355"/>
      <c r="K37" s="504">
        <f t="shared" si="1"/>
      </c>
      <c r="L37" s="14">
        <f t="shared" si="2"/>
      </c>
      <c r="M37" s="356"/>
      <c r="N37" s="432">
        <f t="shared" si="3"/>
      </c>
      <c r="O37" s="353">
        <f t="shared" si="15"/>
      </c>
      <c r="P37" s="352">
        <f t="shared" si="4"/>
      </c>
      <c r="Q37" s="564">
        <f t="shared" si="5"/>
        <v>20</v>
      </c>
      <c r="R37" s="546" t="str">
        <f t="shared" si="6"/>
        <v>--</v>
      </c>
      <c r="S37" s="547" t="str">
        <f t="shared" si="7"/>
        <v>--</v>
      </c>
      <c r="T37" s="548" t="str">
        <f t="shared" si="8"/>
        <v>--</v>
      </c>
      <c r="U37" s="549" t="str">
        <f t="shared" si="9"/>
        <v>--</v>
      </c>
      <c r="V37" s="550" t="str">
        <f t="shared" si="10"/>
        <v>--</v>
      </c>
      <c r="W37" s="551" t="str">
        <f t="shared" si="11"/>
        <v>--</v>
      </c>
      <c r="X37" s="552" t="str">
        <f t="shared" si="12"/>
        <v>--</v>
      </c>
      <c r="Y37" s="553" t="str">
        <f t="shared" si="13"/>
        <v>--</v>
      </c>
      <c r="Z37" s="358">
        <f t="shared" si="16"/>
      </c>
      <c r="AA37" s="515">
        <f t="shared" si="14"/>
      </c>
      <c r="AB37" s="17"/>
    </row>
    <row r="38" spans="1:28" s="5" customFormat="1" ht="16.5" customHeight="1">
      <c r="A38" s="90"/>
      <c r="B38" s="95"/>
      <c r="C38" s="354"/>
      <c r="D38" s="348"/>
      <c r="E38" s="516"/>
      <c r="F38" s="501"/>
      <c r="G38" s="502"/>
      <c r="H38" s="503">
        <f t="shared" si="0"/>
        <v>0</v>
      </c>
      <c r="I38" s="355"/>
      <c r="J38" s="355"/>
      <c r="K38" s="504">
        <f t="shared" si="1"/>
      </c>
      <c r="L38" s="14">
        <f t="shared" si="2"/>
      </c>
      <c r="M38" s="356"/>
      <c r="N38" s="432">
        <f t="shared" si="3"/>
      </c>
      <c r="O38" s="353">
        <f t="shared" si="15"/>
      </c>
      <c r="P38" s="352">
        <f t="shared" si="4"/>
      </c>
      <c r="Q38" s="564">
        <f t="shared" si="5"/>
        <v>20</v>
      </c>
      <c r="R38" s="546" t="str">
        <f t="shared" si="6"/>
        <v>--</v>
      </c>
      <c r="S38" s="547" t="str">
        <f t="shared" si="7"/>
        <v>--</v>
      </c>
      <c r="T38" s="548" t="str">
        <f t="shared" si="8"/>
        <v>--</v>
      </c>
      <c r="U38" s="549" t="str">
        <f t="shared" si="9"/>
        <v>--</v>
      </c>
      <c r="V38" s="550" t="str">
        <f t="shared" si="10"/>
        <v>--</v>
      </c>
      <c r="W38" s="551" t="str">
        <f t="shared" si="11"/>
        <v>--</v>
      </c>
      <c r="X38" s="552" t="str">
        <f t="shared" si="12"/>
        <v>--</v>
      </c>
      <c r="Y38" s="553" t="str">
        <f t="shared" si="13"/>
        <v>--</v>
      </c>
      <c r="Z38" s="358">
        <f t="shared" si="16"/>
      </c>
      <c r="AA38" s="515">
        <f t="shared" si="14"/>
      </c>
      <c r="AB38" s="17"/>
    </row>
    <row r="39" spans="1:28" s="5" customFormat="1" ht="16.5" customHeight="1">
      <c r="A39" s="90"/>
      <c r="B39" s="95"/>
      <c r="C39" s="486"/>
      <c r="D39" s="348"/>
      <c r="E39" s="516"/>
      <c r="F39" s="501"/>
      <c r="G39" s="502"/>
      <c r="H39" s="503">
        <f t="shared" si="0"/>
        <v>0</v>
      </c>
      <c r="I39" s="355"/>
      <c r="J39" s="355"/>
      <c r="K39" s="504">
        <f t="shared" si="1"/>
      </c>
      <c r="L39" s="14">
        <f t="shared" si="2"/>
      </c>
      <c r="M39" s="356"/>
      <c r="N39" s="432">
        <f t="shared" si="3"/>
      </c>
      <c r="O39" s="353">
        <f t="shared" si="15"/>
      </c>
      <c r="P39" s="352">
        <f t="shared" si="4"/>
      </c>
      <c r="Q39" s="564">
        <f t="shared" si="5"/>
        <v>20</v>
      </c>
      <c r="R39" s="546" t="str">
        <f t="shared" si="6"/>
        <v>--</v>
      </c>
      <c r="S39" s="547" t="str">
        <f t="shared" si="7"/>
        <v>--</v>
      </c>
      <c r="T39" s="548" t="str">
        <f t="shared" si="8"/>
        <v>--</v>
      </c>
      <c r="U39" s="549" t="str">
        <f t="shared" si="9"/>
        <v>--</v>
      </c>
      <c r="V39" s="550" t="str">
        <f t="shared" si="10"/>
        <v>--</v>
      </c>
      <c r="W39" s="551" t="str">
        <f t="shared" si="11"/>
        <v>--</v>
      </c>
      <c r="X39" s="552" t="str">
        <f t="shared" si="12"/>
        <v>--</v>
      </c>
      <c r="Y39" s="553" t="str">
        <f t="shared" si="13"/>
        <v>--</v>
      </c>
      <c r="Z39" s="358">
        <f t="shared" si="16"/>
      </c>
      <c r="AA39" s="515">
        <f t="shared" si="14"/>
      </c>
      <c r="AB39" s="17"/>
    </row>
    <row r="40" spans="1:28" s="5" customFormat="1" ht="16.5" customHeight="1" thickBot="1">
      <c r="A40" s="90"/>
      <c r="B40" s="95"/>
      <c r="C40" s="354"/>
      <c r="D40" s="517"/>
      <c r="E40" s="518"/>
      <c r="F40" s="517"/>
      <c r="G40" s="519"/>
      <c r="H40" s="132"/>
      <c r="I40" s="357"/>
      <c r="J40" s="520"/>
      <c r="K40" s="521"/>
      <c r="L40" s="522"/>
      <c r="M40" s="362"/>
      <c r="N40" s="394"/>
      <c r="O40" s="360"/>
      <c r="P40" s="362"/>
      <c r="Q40" s="565"/>
      <c r="R40" s="554"/>
      <c r="S40" s="555"/>
      <c r="T40" s="556"/>
      <c r="U40" s="557"/>
      <c r="V40" s="558"/>
      <c r="W40" s="559"/>
      <c r="X40" s="560"/>
      <c r="Y40" s="561"/>
      <c r="Z40" s="562"/>
      <c r="AA40" s="533"/>
      <c r="AB40" s="17"/>
    </row>
    <row r="41" spans="1:28" s="5" customFormat="1" ht="16.5" customHeight="1" thickBot="1" thickTop="1">
      <c r="A41" s="90"/>
      <c r="B41" s="95"/>
      <c r="C41" s="128" t="s">
        <v>26</v>
      </c>
      <c r="D41" s="129" t="s">
        <v>407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534">
        <f aca="true" t="shared" si="17" ref="R41:Y41">SUM(R18:R40)</f>
        <v>656.3159999999999</v>
      </c>
      <c r="S41" s="535">
        <f t="shared" si="17"/>
        <v>0</v>
      </c>
      <c r="T41" s="536">
        <f t="shared" si="17"/>
        <v>0</v>
      </c>
      <c r="U41" s="537">
        <f t="shared" si="17"/>
        <v>0</v>
      </c>
      <c r="V41" s="538">
        <f t="shared" si="17"/>
        <v>0</v>
      </c>
      <c r="W41" s="539">
        <f t="shared" si="17"/>
        <v>0</v>
      </c>
      <c r="X41" s="540">
        <f t="shared" si="17"/>
        <v>0</v>
      </c>
      <c r="Y41" s="541">
        <f t="shared" si="17"/>
        <v>0</v>
      </c>
      <c r="Z41" s="90"/>
      <c r="AA41" s="542">
        <f>ROUND(SUM(AA18:AA40),2)</f>
        <v>656.32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</row>
    <row r="44" spans="1:29" ht="16.5" customHeight="1">
      <c r="A44" s="2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</row>
    <row r="45" spans="1:29" ht="16.5" customHeight="1">
      <c r="A45" s="2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</row>
    <row r="46" spans="1:29" ht="16.5" customHeight="1">
      <c r="A46" s="2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</row>
    <row r="47" spans="4:29" ht="16.5" customHeight="1"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</row>
    <row r="48" spans="4:29" ht="16.5" customHeight="1"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</row>
    <row r="49" spans="4:29" ht="16.5" customHeight="1"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</row>
    <row r="50" spans="4:29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</row>
    <row r="51" spans="4:29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</row>
    <row r="52" spans="4:29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</row>
    <row r="53" spans="4:29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</row>
    <row r="54" spans="4:29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</row>
    <row r="55" spans="4:29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</row>
    <row r="56" spans="4:29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</row>
    <row r="57" spans="4:29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</row>
    <row r="58" spans="4:29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</row>
    <row r="59" spans="4:29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</row>
    <row r="60" spans="4:29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</row>
    <row r="61" spans="4:29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</row>
    <row r="62" spans="4:29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</row>
    <row r="63" spans="4:29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</row>
    <row r="64" spans="4:29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</row>
    <row r="65" spans="4:29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</row>
    <row r="66" spans="4:29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</row>
    <row r="67" spans="4:29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</row>
    <row r="68" spans="4:29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</row>
    <row r="69" spans="4:29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</row>
    <row r="70" spans="4:29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</row>
    <row r="71" spans="4:29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</row>
    <row r="72" spans="4:29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</row>
    <row r="73" spans="4:29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</row>
    <row r="74" spans="4:29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</row>
    <row r="75" spans="4:29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</row>
    <row r="76" spans="4:29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</row>
    <row r="77" spans="4:29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</row>
    <row r="78" spans="4:29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</row>
    <row r="79" spans="4:29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</row>
    <row r="80" spans="4:29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</row>
    <row r="81" spans="4:29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</row>
    <row r="82" spans="4:29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</row>
    <row r="83" spans="4:29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</row>
    <row r="84" spans="4:29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</row>
    <row r="85" spans="4:29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</row>
    <row r="86" spans="4:29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</row>
    <row r="87" spans="4:29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</row>
    <row r="88" spans="4:29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</row>
    <row r="89" spans="4:29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</row>
    <row r="90" spans="4:29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</row>
    <row r="91" spans="4:29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</row>
    <row r="92" spans="4:29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</row>
    <row r="93" spans="4:29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</row>
    <row r="94" spans="4:29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</row>
    <row r="95" spans="4:29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</row>
    <row r="96" spans="4:29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</row>
    <row r="97" spans="4:29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</row>
    <row r="98" spans="4:29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</row>
    <row r="99" spans="4:29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</row>
    <row r="100" spans="4:29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</row>
    <row r="101" spans="4:29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</row>
    <row r="102" spans="4:29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</row>
    <row r="103" spans="4:29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</row>
    <row r="104" spans="4:29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</row>
    <row r="105" spans="4:29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</row>
    <row r="106" spans="4:29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</row>
    <row r="107" spans="4:29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</row>
    <row r="108" spans="4:29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</row>
    <row r="109" spans="4:29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</row>
    <row r="110" spans="4:29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</row>
    <row r="111" spans="4:29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</row>
    <row r="112" spans="4:29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</row>
    <row r="113" spans="4:29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</row>
    <row r="114" spans="4:29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</row>
    <row r="115" spans="4:29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</row>
    <row r="116" spans="4:29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</row>
    <row r="117" spans="4:29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</row>
    <row r="118" spans="4:29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</row>
    <row r="119" spans="4:29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</row>
    <row r="120" spans="4:29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</row>
    <row r="121" spans="4:29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</row>
    <row r="122" spans="4:29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</row>
    <row r="123" spans="4:29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</row>
    <row r="124" spans="4:29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</row>
    <row r="125" spans="4:29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</row>
    <row r="126" spans="4:29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</row>
    <row r="127" spans="4:29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</row>
    <row r="128" spans="4:29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</row>
    <row r="129" spans="4:29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</row>
    <row r="130" spans="4:29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</row>
    <row r="131" spans="4:29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</row>
    <row r="132" spans="4:29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</row>
    <row r="133" spans="4:29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</row>
    <row r="134" spans="4:29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</row>
    <row r="135" spans="4:29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</row>
    <row r="136" spans="4:29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</row>
    <row r="137" spans="4:29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</row>
    <row r="138" spans="4:29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</row>
    <row r="139" spans="4:29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</row>
    <row r="140" spans="4:29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</row>
    <row r="141" spans="4:29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</row>
    <row r="142" spans="4:29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</row>
    <row r="143" spans="4:29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</row>
    <row r="144" spans="4:29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</row>
    <row r="145" spans="4:29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</row>
    <row r="146" spans="4:29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</row>
    <row r="147" spans="4:29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</row>
    <row r="148" spans="4:29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</row>
    <row r="149" spans="4:29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</row>
    <row r="150" spans="4:29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</row>
    <row r="151" ht="16.5" customHeight="1">
      <c r="AC151" s="376"/>
    </row>
    <row r="152" ht="16.5" customHeight="1">
      <c r="AC152" s="376"/>
    </row>
    <row r="153" ht="16.5" customHeight="1">
      <c r="AC153" s="376"/>
    </row>
    <row r="154" ht="16.5" customHeight="1">
      <c r="AC154" s="376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W157"/>
  <sheetViews>
    <sheetView zoomScale="75" zoomScaleNormal="75" workbookViewId="0" topLeftCell="C1">
      <selection activeCell="D44" sqref="D44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+'TOT-1008'!B2</f>
        <v>ANEXO V al Memorándum D.T.E.E. N°  366 / 2010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96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1159" customFormat="1" ht="33" customHeight="1">
      <c r="B10" s="1160"/>
      <c r="C10" s="1158"/>
      <c r="D10" s="1180" t="s">
        <v>305</v>
      </c>
      <c r="E10" s="1181"/>
      <c r="F10" s="1182"/>
      <c r="G10" s="1183"/>
      <c r="I10" s="1183"/>
      <c r="J10" s="1183"/>
      <c r="K10" s="1183"/>
      <c r="L10" s="1183"/>
      <c r="M10" s="1183"/>
      <c r="N10" s="1183"/>
      <c r="O10" s="1158"/>
      <c r="P10" s="1158"/>
      <c r="Q10" s="1158"/>
      <c r="R10" s="1158"/>
      <c r="S10" s="1158"/>
      <c r="T10" s="1158"/>
      <c r="U10" s="1184"/>
    </row>
    <row r="11" spans="2:21" s="1162" customFormat="1" ht="33" customHeight="1">
      <c r="B11" s="1163"/>
      <c r="C11" s="1164"/>
      <c r="D11" s="1180" t="s">
        <v>311</v>
      </c>
      <c r="E11" s="1185"/>
      <c r="F11" s="1186"/>
      <c r="G11" s="1187"/>
      <c r="H11" s="1188"/>
      <c r="I11" s="1187"/>
      <c r="J11" s="1187"/>
      <c r="K11" s="1187"/>
      <c r="L11" s="1187"/>
      <c r="M11" s="1187"/>
      <c r="N11" s="1187"/>
      <c r="O11" s="1164"/>
      <c r="P11" s="1164"/>
      <c r="Q11" s="1164"/>
      <c r="R11" s="1164"/>
      <c r="S11" s="1164"/>
      <c r="T11" s="1164"/>
      <c r="U11" s="1189"/>
    </row>
    <row r="12" spans="2:21" s="5" customFormat="1" ht="19.5">
      <c r="B12" s="37" t="str">
        <f>'TOT-1008'!B14</f>
        <v>Desde el 01 al 31 de octubre de 2008</v>
      </c>
      <c r="C12" s="40"/>
      <c r="D12" s="40"/>
      <c r="E12" s="40"/>
      <c r="F12" s="40"/>
      <c r="G12" s="568"/>
      <c r="H12" s="568"/>
      <c r="I12" s="568"/>
      <c r="J12" s="568"/>
      <c r="K12" s="568"/>
      <c r="L12" s="568"/>
      <c r="M12" s="568"/>
      <c r="N12" s="568"/>
      <c r="O12" s="40"/>
      <c r="P12" s="40"/>
      <c r="Q12" s="40"/>
      <c r="R12" s="40"/>
      <c r="S12" s="40"/>
      <c r="T12" s="40"/>
      <c r="U12" s="569"/>
    </row>
    <row r="13" spans="2:21" s="5" customFormat="1" ht="14.25" thickBot="1">
      <c r="B13" s="570"/>
      <c r="C13" s="571"/>
      <c r="D13" s="571"/>
      <c r="E13" s="571"/>
      <c r="F13" s="571"/>
      <c r="G13" s="572"/>
      <c r="H13" s="572"/>
      <c r="I13" s="572"/>
      <c r="J13" s="572"/>
      <c r="K13" s="572"/>
      <c r="L13" s="572"/>
      <c r="M13" s="572"/>
      <c r="N13" s="572"/>
      <c r="O13" s="571"/>
      <c r="P13" s="571"/>
      <c r="Q13" s="571"/>
      <c r="R13" s="571"/>
      <c r="S13" s="571"/>
      <c r="T13" s="571"/>
      <c r="U13" s="573"/>
    </row>
    <row r="14" spans="2:21" s="5" customFormat="1" ht="15" thickBot="1" thickTop="1">
      <c r="B14" s="50"/>
      <c r="C14" s="4"/>
      <c r="D14" s="574"/>
      <c r="E14" s="574"/>
      <c r="F14" s="118" t="s">
        <v>113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575" t="s">
        <v>114</v>
      </c>
      <c r="E15" s="576">
        <v>23.525</v>
      </c>
      <c r="F15" s="577">
        <v>200</v>
      </c>
      <c r="T15" s="116"/>
      <c r="U15" s="6"/>
    </row>
    <row r="16" spans="2:21" s="5" customFormat="1" ht="16.5" customHeight="1" thickBot="1" thickTop="1">
      <c r="B16" s="50"/>
      <c r="C16" s="4"/>
      <c r="D16" s="578"/>
      <c r="E16" s="579"/>
      <c r="F16" s="577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580" t="s">
        <v>116</v>
      </c>
      <c r="E17" s="631">
        <v>18.82</v>
      </c>
      <c r="F17" s="577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581"/>
      <c r="D18" s="582"/>
      <c r="E18" s="582"/>
      <c r="F18" s="583"/>
      <c r="G18" s="584"/>
      <c r="H18" s="584"/>
      <c r="I18" s="584"/>
      <c r="J18" s="584"/>
      <c r="K18" s="584"/>
      <c r="L18" s="584"/>
      <c r="M18" s="584"/>
      <c r="N18" s="585"/>
      <c r="O18" s="586"/>
      <c r="P18" s="587"/>
      <c r="Q18" s="587"/>
      <c r="R18" s="587"/>
      <c r="S18" s="588"/>
      <c r="T18" s="589"/>
      <c r="U18" s="6"/>
    </row>
    <row r="19" spans="2:21" s="5" customFormat="1" ht="33.75" customHeight="1" thickBot="1" thickTop="1">
      <c r="B19" s="50"/>
      <c r="C19" s="84" t="s">
        <v>13</v>
      </c>
      <c r="D19" s="86" t="s">
        <v>28</v>
      </c>
      <c r="E19" s="590" t="s">
        <v>29</v>
      </c>
      <c r="F19" s="591" t="s">
        <v>14</v>
      </c>
      <c r="G19" s="130" t="s">
        <v>16</v>
      </c>
      <c r="H19" s="85" t="s">
        <v>17</v>
      </c>
      <c r="I19" s="590" t="s">
        <v>18</v>
      </c>
      <c r="J19" s="592" t="s">
        <v>37</v>
      </c>
      <c r="K19" s="592" t="s">
        <v>32</v>
      </c>
      <c r="L19" s="88" t="s">
        <v>19</v>
      </c>
      <c r="M19" s="380" t="s">
        <v>33</v>
      </c>
      <c r="N19" s="136" t="s">
        <v>38</v>
      </c>
      <c r="O19" s="593" t="s">
        <v>97</v>
      </c>
      <c r="P19" s="381" t="s">
        <v>36</v>
      </c>
      <c r="Q19" s="594"/>
      <c r="R19" s="135" t="s">
        <v>22</v>
      </c>
      <c r="S19" s="133" t="s">
        <v>106</v>
      </c>
      <c r="T19" s="122" t="s">
        <v>25</v>
      </c>
      <c r="U19" s="6"/>
    </row>
    <row r="20" spans="2:21" s="5" customFormat="1" ht="16.5" customHeight="1" thickTop="1">
      <c r="B20" s="50"/>
      <c r="C20" s="7"/>
      <c r="D20" s="595"/>
      <c r="E20" s="595"/>
      <c r="F20" s="595"/>
      <c r="G20" s="429"/>
      <c r="H20" s="595"/>
      <c r="I20" s="595"/>
      <c r="J20" s="595"/>
      <c r="K20" s="595"/>
      <c r="L20" s="595"/>
      <c r="M20" s="595"/>
      <c r="N20" s="596"/>
      <c r="O20" s="597"/>
      <c r="P20" s="598"/>
      <c r="Q20" s="599"/>
      <c r="R20" s="600"/>
      <c r="S20" s="595"/>
      <c r="T20" s="601"/>
      <c r="U20" s="6"/>
    </row>
    <row r="21" spans="2:21" s="5" customFormat="1" ht="16.5" customHeight="1">
      <c r="B21" s="50"/>
      <c r="C21" s="486"/>
      <c r="D21" s="602"/>
      <c r="E21" s="602"/>
      <c r="F21" s="602"/>
      <c r="G21" s="603"/>
      <c r="H21" s="602"/>
      <c r="I21" s="602"/>
      <c r="J21" s="602"/>
      <c r="K21" s="602"/>
      <c r="L21" s="602"/>
      <c r="M21" s="602"/>
      <c r="N21" s="604"/>
      <c r="O21" s="605"/>
      <c r="P21" s="393"/>
      <c r="Q21" s="606"/>
      <c r="R21" s="607"/>
      <c r="S21" s="602"/>
      <c r="T21" s="608"/>
      <c r="U21" s="6"/>
    </row>
    <row r="22" spans="2:21" s="5" customFormat="1" ht="16.5" customHeight="1">
      <c r="B22" s="50"/>
      <c r="C22" s="354">
        <v>74</v>
      </c>
      <c r="D22" s="609" t="s">
        <v>383</v>
      </c>
      <c r="E22" s="609" t="s">
        <v>391</v>
      </c>
      <c r="F22" s="610">
        <v>132</v>
      </c>
      <c r="G22" s="131">
        <f aca="true" t="shared" si="0" ref="G22:G41">IF(F22=500,$E$15,IF(F22=220,$E$16,$E$17))</f>
        <v>18.82</v>
      </c>
      <c r="H22" s="611">
        <v>39722.34027777778</v>
      </c>
      <c r="I22" s="350">
        <v>39722.64166666667</v>
      </c>
      <c r="J22" s="612">
        <f aca="true" t="shared" si="1" ref="J22:J41">IF(D22="","",(I22-H22)*24)</f>
        <v>7.233333333337214</v>
      </c>
      <c r="K22" s="613">
        <f aca="true" t="shared" si="2" ref="K22:K41">IF(D22="","",ROUND((I22-H22)*24*60,0))</f>
        <v>434</v>
      </c>
      <c r="L22" s="431" t="s">
        <v>292</v>
      </c>
      <c r="M22" s="352" t="str">
        <f aca="true" t="shared" si="3" ref="M22:M41">IF(D22="","",IF(L22="P","--","NO"))</f>
        <v>--</v>
      </c>
      <c r="N22" s="614">
        <f aca="true" t="shared" si="4" ref="N22:N41">IF(F22=500,$F$15,IF(F22=220,$F$16,$F$17))</f>
        <v>40</v>
      </c>
      <c r="O22" s="615">
        <f aca="true" t="shared" si="5" ref="O22:O41">IF(L22="P",G22*N22*ROUND(K22/60,2)*0.1,"--")</f>
        <v>544.2744</v>
      </c>
      <c r="P22" s="616" t="str">
        <f aca="true" t="shared" si="6" ref="P22:P41">IF(AND(L22="F",M22="NO"),G22*N22,"--")</f>
        <v>--</v>
      </c>
      <c r="Q22" s="617" t="str">
        <f aca="true" t="shared" si="7" ref="Q22:Q41">IF(L22="F",G22*N22*ROUND(K22/60,2),"--")</f>
        <v>--</v>
      </c>
      <c r="R22" s="359" t="str">
        <f aca="true" t="shared" si="8" ref="R22:R41">IF(L22="RF",G22*N22*ROUND(K22/60,2),"--")</f>
        <v>--</v>
      </c>
      <c r="S22" s="352" t="str">
        <f aca="true" t="shared" si="9" ref="S22:S41">IF(D22="","","SI")</f>
        <v>SI</v>
      </c>
      <c r="T22" s="618">
        <f aca="true" t="shared" si="10" ref="T22:T41">IF(D22="","",SUM(O22:R22)*IF(S22="SI",1,2))</f>
        <v>544.2744</v>
      </c>
      <c r="U22" s="6"/>
    </row>
    <row r="23" spans="2:21" s="5" customFormat="1" ht="16.5" customHeight="1">
      <c r="B23" s="50"/>
      <c r="C23" s="354">
        <v>75</v>
      </c>
      <c r="D23" s="609" t="s">
        <v>383</v>
      </c>
      <c r="E23" s="609" t="s">
        <v>392</v>
      </c>
      <c r="F23" s="610">
        <v>500</v>
      </c>
      <c r="G23" s="131">
        <f t="shared" si="0"/>
        <v>23.525</v>
      </c>
      <c r="H23" s="611">
        <v>39722.35555555556</v>
      </c>
      <c r="I23" s="350">
        <v>39722.76944444444</v>
      </c>
      <c r="J23" s="612">
        <f t="shared" si="1"/>
        <v>9.93333333323244</v>
      </c>
      <c r="K23" s="613">
        <f t="shared" si="2"/>
        <v>596</v>
      </c>
      <c r="L23" s="431" t="s">
        <v>292</v>
      </c>
      <c r="M23" s="352" t="str">
        <f t="shared" si="3"/>
        <v>--</v>
      </c>
      <c r="N23" s="614">
        <f t="shared" si="4"/>
        <v>200</v>
      </c>
      <c r="O23" s="615">
        <f t="shared" si="5"/>
        <v>4672.0650000000005</v>
      </c>
      <c r="P23" s="616" t="str">
        <f t="shared" si="6"/>
        <v>--</v>
      </c>
      <c r="Q23" s="617" t="str">
        <f t="shared" si="7"/>
        <v>--</v>
      </c>
      <c r="R23" s="359" t="str">
        <f t="shared" si="8"/>
        <v>--</v>
      </c>
      <c r="S23" s="352" t="str">
        <f t="shared" si="9"/>
        <v>SI</v>
      </c>
      <c r="T23" s="618">
        <f t="shared" si="10"/>
        <v>4672.0650000000005</v>
      </c>
      <c r="U23" s="6"/>
    </row>
    <row r="24" spans="2:21" s="5" customFormat="1" ht="16.5" customHeight="1">
      <c r="B24" s="50"/>
      <c r="C24" s="354">
        <v>76</v>
      </c>
      <c r="D24" s="609" t="s">
        <v>383</v>
      </c>
      <c r="E24" s="609" t="s">
        <v>392</v>
      </c>
      <c r="F24" s="610">
        <v>500</v>
      </c>
      <c r="G24" s="131">
        <f t="shared" si="0"/>
        <v>23.525</v>
      </c>
      <c r="H24" s="611">
        <v>39723.33611111111</v>
      </c>
      <c r="I24" s="350">
        <v>39723.79513888889</v>
      </c>
      <c r="J24" s="612">
        <f t="shared" si="1"/>
        <v>11.016666666779201</v>
      </c>
      <c r="K24" s="613">
        <f t="shared" si="2"/>
        <v>661</v>
      </c>
      <c r="L24" s="431" t="s">
        <v>292</v>
      </c>
      <c r="M24" s="352" t="str">
        <f t="shared" si="3"/>
        <v>--</v>
      </c>
      <c r="N24" s="614">
        <f t="shared" si="4"/>
        <v>200</v>
      </c>
      <c r="O24" s="615">
        <f t="shared" si="5"/>
        <v>5184.91</v>
      </c>
      <c r="P24" s="616" t="str">
        <f t="shared" si="6"/>
        <v>--</v>
      </c>
      <c r="Q24" s="617" t="str">
        <f t="shared" si="7"/>
        <v>--</v>
      </c>
      <c r="R24" s="359" t="str">
        <f t="shared" si="8"/>
        <v>--</v>
      </c>
      <c r="S24" s="352" t="str">
        <f t="shared" si="9"/>
        <v>SI</v>
      </c>
      <c r="T24" s="618">
        <f t="shared" si="10"/>
        <v>5184.91</v>
      </c>
      <c r="U24" s="6"/>
    </row>
    <row r="25" spans="2:21" s="5" customFormat="1" ht="16.5" customHeight="1">
      <c r="B25" s="50"/>
      <c r="C25" s="354">
        <v>77</v>
      </c>
      <c r="D25" s="609" t="s">
        <v>383</v>
      </c>
      <c r="E25" s="609" t="s">
        <v>393</v>
      </c>
      <c r="F25" s="610">
        <v>132</v>
      </c>
      <c r="G25" s="131">
        <f t="shared" si="0"/>
        <v>18.82</v>
      </c>
      <c r="H25" s="611">
        <v>39723.4375</v>
      </c>
      <c r="I25" s="350">
        <v>39723.501388888886</v>
      </c>
      <c r="J25" s="612">
        <f t="shared" si="1"/>
        <v>1.5333333332673647</v>
      </c>
      <c r="K25" s="613">
        <f t="shared" si="2"/>
        <v>92</v>
      </c>
      <c r="L25" s="431" t="s">
        <v>292</v>
      </c>
      <c r="M25" s="352" t="str">
        <f t="shared" si="3"/>
        <v>--</v>
      </c>
      <c r="N25" s="614">
        <f t="shared" si="4"/>
        <v>40</v>
      </c>
      <c r="O25" s="615">
        <f t="shared" si="5"/>
        <v>115.1784</v>
      </c>
      <c r="P25" s="616" t="str">
        <f t="shared" si="6"/>
        <v>--</v>
      </c>
      <c r="Q25" s="617" t="str">
        <f t="shared" si="7"/>
        <v>--</v>
      </c>
      <c r="R25" s="359" t="str">
        <f t="shared" si="8"/>
        <v>--</v>
      </c>
      <c r="S25" s="352" t="str">
        <f t="shared" si="9"/>
        <v>SI</v>
      </c>
      <c r="T25" s="618">
        <f t="shared" si="10"/>
        <v>115.1784</v>
      </c>
      <c r="U25" s="6"/>
    </row>
    <row r="26" spans="2:21" s="5" customFormat="1" ht="16.5" customHeight="1">
      <c r="B26" s="50"/>
      <c r="C26" s="354">
        <v>78</v>
      </c>
      <c r="D26" s="609" t="s">
        <v>383</v>
      </c>
      <c r="E26" s="609" t="s">
        <v>392</v>
      </c>
      <c r="F26" s="610">
        <v>500</v>
      </c>
      <c r="G26" s="131">
        <f t="shared" si="0"/>
        <v>23.525</v>
      </c>
      <c r="H26" s="611">
        <v>39724.322222222225</v>
      </c>
      <c r="I26" s="350">
        <v>39724.8125</v>
      </c>
      <c r="J26" s="612">
        <f t="shared" si="1"/>
        <v>11.766666666604578</v>
      </c>
      <c r="K26" s="613">
        <f t="shared" si="2"/>
        <v>706</v>
      </c>
      <c r="L26" s="431" t="s">
        <v>292</v>
      </c>
      <c r="M26" s="352" t="str">
        <f t="shared" si="3"/>
        <v>--</v>
      </c>
      <c r="N26" s="614">
        <f t="shared" si="4"/>
        <v>200</v>
      </c>
      <c r="O26" s="615">
        <f t="shared" si="5"/>
        <v>5537.785</v>
      </c>
      <c r="P26" s="616" t="str">
        <f t="shared" si="6"/>
        <v>--</v>
      </c>
      <c r="Q26" s="617" t="str">
        <f t="shared" si="7"/>
        <v>--</v>
      </c>
      <c r="R26" s="359" t="str">
        <f t="shared" si="8"/>
        <v>--</v>
      </c>
      <c r="S26" s="352" t="str">
        <f t="shared" si="9"/>
        <v>SI</v>
      </c>
      <c r="T26" s="618">
        <f t="shared" si="10"/>
        <v>5537.785</v>
      </c>
      <c r="U26" s="6"/>
    </row>
    <row r="27" spans="2:21" s="5" customFormat="1" ht="16.5" customHeight="1">
      <c r="B27" s="50"/>
      <c r="C27" s="354">
        <v>79</v>
      </c>
      <c r="D27" s="609" t="s">
        <v>383</v>
      </c>
      <c r="E27" s="609" t="s">
        <v>392</v>
      </c>
      <c r="F27" s="610">
        <v>500</v>
      </c>
      <c r="G27" s="131">
        <f t="shared" si="0"/>
        <v>23.525</v>
      </c>
      <c r="H27" s="611">
        <v>39725.26944444444</v>
      </c>
      <c r="I27" s="350">
        <v>39725.80972222222</v>
      </c>
      <c r="J27" s="612">
        <f t="shared" si="1"/>
        <v>12.966666666674428</v>
      </c>
      <c r="K27" s="613">
        <f t="shared" si="2"/>
        <v>778</v>
      </c>
      <c r="L27" s="431" t="s">
        <v>292</v>
      </c>
      <c r="M27" s="352" t="str">
        <f t="shared" si="3"/>
        <v>--</v>
      </c>
      <c r="N27" s="614">
        <f t="shared" si="4"/>
        <v>200</v>
      </c>
      <c r="O27" s="615">
        <f t="shared" si="5"/>
        <v>6102.385000000001</v>
      </c>
      <c r="P27" s="616" t="str">
        <f t="shared" si="6"/>
        <v>--</v>
      </c>
      <c r="Q27" s="617" t="str">
        <f t="shared" si="7"/>
        <v>--</v>
      </c>
      <c r="R27" s="359" t="str">
        <f t="shared" si="8"/>
        <v>--</v>
      </c>
      <c r="S27" s="352" t="str">
        <f t="shared" si="9"/>
        <v>SI</v>
      </c>
      <c r="T27" s="618">
        <f t="shared" si="10"/>
        <v>6102.385000000001</v>
      </c>
      <c r="U27" s="6"/>
    </row>
    <row r="28" spans="2:21" s="5" customFormat="1" ht="16.5" customHeight="1">
      <c r="B28" s="50"/>
      <c r="C28" s="354">
        <v>80</v>
      </c>
      <c r="D28" s="609" t="s">
        <v>394</v>
      </c>
      <c r="E28" s="609" t="s">
        <v>395</v>
      </c>
      <c r="F28" s="610">
        <v>132</v>
      </c>
      <c r="G28" s="131">
        <f t="shared" si="0"/>
        <v>18.82</v>
      </c>
      <c r="H28" s="611">
        <v>39726.308333333334</v>
      </c>
      <c r="I28" s="350">
        <v>39726.74930555555</v>
      </c>
      <c r="J28" s="612">
        <f t="shared" si="1"/>
        <v>10.583333333255723</v>
      </c>
      <c r="K28" s="613">
        <f t="shared" si="2"/>
        <v>635</v>
      </c>
      <c r="L28" s="431" t="s">
        <v>292</v>
      </c>
      <c r="M28" s="352" t="str">
        <f t="shared" si="3"/>
        <v>--</v>
      </c>
      <c r="N28" s="614">
        <f t="shared" si="4"/>
        <v>40</v>
      </c>
      <c r="O28" s="615">
        <f t="shared" si="5"/>
        <v>796.4624</v>
      </c>
      <c r="P28" s="616" t="str">
        <f t="shared" si="6"/>
        <v>--</v>
      </c>
      <c r="Q28" s="617" t="str">
        <f t="shared" si="7"/>
        <v>--</v>
      </c>
      <c r="R28" s="359" t="str">
        <f t="shared" si="8"/>
        <v>--</v>
      </c>
      <c r="S28" s="352" t="str">
        <f t="shared" si="9"/>
        <v>SI</v>
      </c>
      <c r="T28" s="618">
        <f t="shared" si="10"/>
        <v>796.4624</v>
      </c>
      <c r="U28" s="6"/>
    </row>
    <row r="29" spans="2:21" s="5" customFormat="1" ht="16.5" customHeight="1">
      <c r="B29" s="50"/>
      <c r="C29" s="354">
        <v>81</v>
      </c>
      <c r="D29" s="609" t="s">
        <v>383</v>
      </c>
      <c r="E29" s="609" t="s">
        <v>393</v>
      </c>
      <c r="F29" s="610">
        <v>132</v>
      </c>
      <c r="G29" s="131">
        <f t="shared" si="0"/>
        <v>18.82</v>
      </c>
      <c r="H29" s="611">
        <v>39728.39375</v>
      </c>
      <c r="I29" s="350">
        <v>39728.59097222222</v>
      </c>
      <c r="J29" s="612">
        <f t="shared" si="1"/>
        <v>4.7333333332207985</v>
      </c>
      <c r="K29" s="613">
        <f t="shared" si="2"/>
        <v>284</v>
      </c>
      <c r="L29" s="431" t="s">
        <v>292</v>
      </c>
      <c r="M29" s="352" t="str">
        <f t="shared" si="3"/>
        <v>--</v>
      </c>
      <c r="N29" s="614">
        <f t="shared" si="4"/>
        <v>40</v>
      </c>
      <c r="O29" s="615">
        <f t="shared" si="5"/>
        <v>356.0744</v>
      </c>
      <c r="P29" s="616" t="str">
        <f t="shared" si="6"/>
        <v>--</v>
      </c>
      <c r="Q29" s="617" t="str">
        <f t="shared" si="7"/>
        <v>--</v>
      </c>
      <c r="R29" s="359" t="str">
        <f t="shared" si="8"/>
        <v>--</v>
      </c>
      <c r="S29" s="352" t="str">
        <f t="shared" si="9"/>
        <v>SI</v>
      </c>
      <c r="T29" s="618">
        <f t="shared" si="10"/>
        <v>356.0744</v>
      </c>
      <c r="U29" s="6"/>
    </row>
    <row r="30" spans="2:21" s="5" customFormat="1" ht="16.5" customHeight="1">
      <c r="B30" s="50"/>
      <c r="C30" s="354">
        <v>82</v>
      </c>
      <c r="D30" s="609" t="s">
        <v>383</v>
      </c>
      <c r="E30" s="609" t="s">
        <v>393</v>
      </c>
      <c r="F30" s="610">
        <v>132</v>
      </c>
      <c r="G30" s="131">
        <f t="shared" si="0"/>
        <v>18.82</v>
      </c>
      <c r="H30" s="611">
        <v>39729.302083333336</v>
      </c>
      <c r="I30" s="350">
        <v>39729.75833333333</v>
      </c>
      <c r="J30" s="612">
        <f t="shared" si="1"/>
        <v>10.949999999895226</v>
      </c>
      <c r="K30" s="613">
        <f t="shared" si="2"/>
        <v>657</v>
      </c>
      <c r="L30" s="431" t="s">
        <v>292</v>
      </c>
      <c r="M30" s="352" t="str">
        <f t="shared" si="3"/>
        <v>--</v>
      </c>
      <c r="N30" s="614">
        <f t="shared" si="4"/>
        <v>40</v>
      </c>
      <c r="O30" s="615">
        <f t="shared" si="5"/>
        <v>824.316</v>
      </c>
      <c r="P30" s="616" t="str">
        <f t="shared" si="6"/>
        <v>--</v>
      </c>
      <c r="Q30" s="617" t="str">
        <f t="shared" si="7"/>
        <v>--</v>
      </c>
      <c r="R30" s="359" t="str">
        <f t="shared" si="8"/>
        <v>--</v>
      </c>
      <c r="S30" s="352" t="str">
        <f t="shared" si="9"/>
        <v>SI</v>
      </c>
      <c r="T30" s="618">
        <f t="shared" si="10"/>
        <v>824.316</v>
      </c>
      <c r="U30" s="6"/>
    </row>
    <row r="31" spans="2:21" s="5" customFormat="1" ht="16.5" customHeight="1">
      <c r="B31" s="50"/>
      <c r="C31" s="354">
        <v>83</v>
      </c>
      <c r="D31" s="609" t="s">
        <v>383</v>
      </c>
      <c r="E31" s="609" t="s">
        <v>393</v>
      </c>
      <c r="F31" s="610">
        <v>132</v>
      </c>
      <c r="G31" s="131">
        <f t="shared" si="0"/>
        <v>18.82</v>
      </c>
      <c r="H31" s="611">
        <v>39730.316666666666</v>
      </c>
      <c r="I31" s="350">
        <v>39730.75069444445</v>
      </c>
      <c r="J31" s="612">
        <f t="shared" si="1"/>
        <v>10.416666666744277</v>
      </c>
      <c r="K31" s="613">
        <f t="shared" si="2"/>
        <v>625</v>
      </c>
      <c r="L31" s="431" t="s">
        <v>292</v>
      </c>
      <c r="M31" s="352" t="str">
        <f t="shared" si="3"/>
        <v>--</v>
      </c>
      <c r="N31" s="614">
        <f t="shared" si="4"/>
        <v>40</v>
      </c>
      <c r="O31" s="615">
        <f t="shared" si="5"/>
        <v>784.4176</v>
      </c>
      <c r="P31" s="616" t="str">
        <f t="shared" si="6"/>
        <v>--</v>
      </c>
      <c r="Q31" s="617" t="str">
        <f t="shared" si="7"/>
        <v>--</v>
      </c>
      <c r="R31" s="359" t="str">
        <f t="shared" si="8"/>
        <v>--</v>
      </c>
      <c r="S31" s="352" t="str">
        <f t="shared" si="9"/>
        <v>SI</v>
      </c>
      <c r="T31" s="618">
        <f t="shared" si="10"/>
        <v>784.4176</v>
      </c>
      <c r="U31" s="6"/>
    </row>
    <row r="32" spans="2:21" s="5" customFormat="1" ht="16.5" customHeight="1">
      <c r="B32" s="50"/>
      <c r="C32" s="354">
        <v>84</v>
      </c>
      <c r="D32" s="609" t="s">
        <v>383</v>
      </c>
      <c r="E32" s="609" t="s">
        <v>393</v>
      </c>
      <c r="F32" s="610">
        <v>132</v>
      </c>
      <c r="G32" s="131">
        <f t="shared" si="0"/>
        <v>18.82</v>
      </c>
      <c r="H32" s="611">
        <v>39731.30347222222</v>
      </c>
      <c r="I32" s="350">
        <v>39731.748611111114</v>
      </c>
      <c r="J32" s="612">
        <f t="shared" si="1"/>
        <v>10.683333333407063</v>
      </c>
      <c r="K32" s="613">
        <f t="shared" si="2"/>
        <v>641</v>
      </c>
      <c r="L32" s="431" t="s">
        <v>292</v>
      </c>
      <c r="M32" s="352" t="str">
        <f t="shared" si="3"/>
        <v>--</v>
      </c>
      <c r="N32" s="614">
        <f t="shared" si="4"/>
        <v>40</v>
      </c>
      <c r="O32" s="615">
        <f t="shared" si="5"/>
        <v>803.9904</v>
      </c>
      <c r="P32" s="616" t="str">
        <f t="shared" si="6"/>
        <v>--</v>
      </c>
      <c r="Q32" s="617" t="str">
        <f t="shared" si="7"/>
        <v>--</v>
      </c>
      <c r="R32" s="359" t="str">
        <f t="shared" si="8"/>
        <v>--</v>
      </c>
      <c r="S32" s="352" t="str">
        <f t="shared" si="9"/>
        <v>SI</v>
      </c>
      <c r="T32" s="618">
        <f t="shared" si="10"/>
        <v>803.9904</v>
      </c>
      <c r="U32" s="6"/>
    </row>
    <row r="33" spans="2:21" s="5" customFormat="1" ht="16.5" customHeight="1">
      <c r="B33" s="50"/>
      <c r="C33" s="354">
        <v>85</v>
      </c>
      <c r="D33" s="609" t="s">
        <v>383</v>
      </c>
      <c r="E33" s="609" t="s">
        <v>396</v>
      </c>
      <c r="F33" s="610">
        <v>132</v>
      </c>
      <c r="G33" s="131">
        <f t="shared" si="0"/>
        <v>18.82</v>
      </c>
      <c r="H33" s="611">
        <v>39731.305555555555</v>
      </c>
      <c r="I33" s="350">
        <v>39731.69236111111</v>
      </c>
      <c r="J33" s="612">
        <f t="shared" si="1"/>
        <v>9.28333333338378</v>
      </c>
      <c r="K33" s="613">
        <f t="shared" si="2"/>
        <v>557</v>
      </c>
      <c r="L33" s="431" t="s">
        <v>292</v>
      </c>
      <c r="M33" s="352" t="str">
        <f t="shared" si="3"/>
        <v>--</v>
      </c>
      <c r="N33" s="614">
        <f t="shared" si="4"/>
        <v>40</v>
      </c>
      <c r="O33" s="615">
        <f t="shared" si="5"/>
        <v>698.5984</v>
      </c>
      <c r="P33" s="616" t="str">
        <f t="shared" si="6"/>
        <v>--</v>
      </c>
      <c r="Q33" s="617" t="str">
        <f t="shared" si="7"/>
        <v>--</v>
      </c>
      <c r="R33" s="359" t="str">
        <f t="shared" si="8"/>
        <v>--</v>
      </c>
      <c r="S33" s="352" t="str">
        <f t="shared" si="9"/>
        <v>SI</v>
      </c>
      <c r="T33" s="618">
        <f t="shared" si="10"/>
        <v>698.5984</v>
      </c>
      <c r="U33" s="6"/>
    </row>
    <row r="34" spans="2:21" s="5" customFormat="1" ht="16.5" customHeight="1">
      <c r="B34" s="50"/>
      <c r="C34" s="354">
        <v>86</v>
      </c>
      <c r="D34" s="609" t="s">
        <v>383</v>
      </c>
      <c r="E34" s="609" t="s">
        <v>397</v>
      </c>
      <c r="F34" s="610">
        <v>132</v>
      </c>
      <c r="G34" s="131">
        <f t="shared" si="0"/>
        <v>18.82</v>
      </c>
      <c r="H34" s="611">
        <v>39732.43263888889</v>
      </c>
      <c r="I34" s="350">
        <v>39732.79861111111</v>
      </c>
      <c r="J34" s="612">
        <f t="shared" si="1"/>
        <v>8.783333333325572</v>
      </c>
      <c r="K34" s="613">
        <f t="shared" si="2"/>
        <v>527</v>
      </c>
      <c r="L34" s="431" t="s">
        <v>292</v>
      </c>
      <c r="M34" s="352" t="str">
        <f t="shared" si="3"/>
        <v>--</v>
      </c>
      <c r="N34" s="614">
        <f t="shared" si="4"/>
        <v>40</v>
      </c>
      <c r="O34" s="615">
        <f t="shared" si="5"/>
        <v>660.9584</v>
      </c>
      <c r="P34" s="616" t="str">
        <f t="shared" si="6"/>
        <v>--</v>
      </c>
      <c r="Q34" s="617" t="str">
        <f t="shared" si="7"/>
        <v>--</v>
      </c>
      <c r="R34" s="359" t="str">
        <f t="shared" si="8"/>
        <v>--</v>
      </c>
      <c r="S34" s="352" t="str">
        <f t="shared" si="9"/>
        <v>SI</v>
      </c>
      <c r="T34" s="618">
        <f t="shared" si="10"/>
        <v>660.9584</v>
      </c>
      <c r="U34" s="6"/>
    </row>
    <row r="35" spans="2:21" s="5" customFormat="1" ht="16.5" customHeight="1">
      <c r="B35" s="50"/>
      <c r="C35" s="354">
        <v>87</v>
      </c>
      <c r="D35" s="609" t="s">
        <v>386</v>
      </c>
      <c r="E35" s="609" t="s">
        <v>398</v>
      </c>
      <c r="F35" s="610">
        <v>132</v>
      </c>
      <c r="G35" s="131">
        <f t="shared" si="0"/>
        <v>18.82</v>
      </c>
      <c r="H35" s="611">
        <v>39735.370833333334</v>
      </c>
      <c r="I35" s="350">
        <v>39735.649305555555</v>
      </c>
      <c r="J35" s="612">
        <f t="shared" si="1"/>
        <v>6.683333333290648</v>
      </c>
      <c r="K35" s="613">
        <f t="shared" si="2"/>
        <v>401</v>
      </c>
      <c r="L35" s="431" t="s">
        <v>292</v>
      </c>
      <c r="M35" s="352" t="str">
        <f t="shared" si="3"/>
        <v>--</v>
      </c>
      <c r="N35" s="614">
        <f t="shared" si="4"/>
        <v>40</v>
      </c>
      <c r="O35" s="615">
        <f t="shared" si="5"/>
        <v>502.8704</v>
      </c>
      <c r="P35" s="616" t="str">
        <f t="shared" si="6"/>
        <v>--</v>
      </c>
      <c r="Q35" s="617" t="str">
        <f t="shared" si="7"/>
        <v>--</v>
      </c>
      <c r="R35" s="359" t="str">
        <f t="shared" si="8"/>
        <v>--</v>
      </c>
      <c r="S35" s="352" t="str">
        <f t="shared" si="9"/>
        <v>SI</v>
      </c>
      <c r="T35" s="618">
        <f t="shared" si="10"/>
        <v>502.8704</v>
      </c>
      <c r="U35" s="6"/>
    </row>
    <row r="36" spans="2:21" s="5" customFormat="1" ht="16.5" customHeight="1">
      <c r="B36" s="50"/>
      <c r="C36" s="354">
        <v>88</v>
      </c>
      <c r="D36" s="609" t="s">
        <v>383</v>
      </c>
      <c r="E36" s="609" t="s">
        <v>399</v>
      </c>
      <c r="F36" s="610">
        <v>500</v>
      </c>
      <c r="G36" s="131">
        <f t="shared" si="0"/>
        <v>23.525</v>
      </c>
      <c r="H36" s="611">
        <v>39737.28958333333</v>
      </c>
      <c r="I36" s="350">
        <v>39737.79236111111</v>
      </c>
      <c r="J36" s="612">
        <f t="shared" si="1"/>
        <v>12.066666666709352</v>
      </c>
      <c r="K36" s="613">
        <f t="shared" si="2"/>
        <v>724</v>
      </c>
      <c r="L36" s="431" t="s">
        <v>292</v>
      </c>
      <c r="M36" s="352" t="str">
        <f t="shared" si="3"/>
        <v>--</v>
      </c>
      <c r="N36" s="614">
        <f t="shared" si="4"/>
        <v>200</v>
      </c>
      <c r="O36" s="615">
        <f t="shared" si="5"/>
        <v>5678.935</v>
      </c>
      <c r="P36" s="616" t="str">
        <f t="shared" si="6"/>
        <v>--</v>
      </c>
      <c r="Q36" s="617" t="str">
        <f t="shared" si="7"/>
        <v>--</v>
      </c>
      <c r="R36" s="359" t="str">
        <f t="shared" si="8"/>
        <v>--</v>
      </c>
      <c r="S36" s="352" t="str">
        <f t="shared" si="9"/>
        <v>SI</v>
      </c>
      <c r="T36" s="618">
        <f t="shared" si="10"/>
        <v>5678.935</v>
      </c>
      <c r="U36" s="6"/>
    </row>
    <row r="37" spans="2:21" s="5" customFormat="1" ht="16.5" customHeight="1">
      <c r="B37" s="50"/>
      <c r="C37" s="354">
        <v>89</v>
      </c>
      <c r="D37" s="609" t="s">
        <v>383</v>
      </c>
      <c r="E37" s="609" t="s">
        <v>393</v>
      </c>
      <c r="F37" s="610">
        <v>132</v>
      </c>
      <c r="G37" s="131">
        <f t="shared" si="0"/>
        <v>18.82</v>
      </c>
      <c r="H37" s="611">
        <v>39740.322916666664</v>
      </c>
      <c r="I37" s="350">
        <v>39740.75763888889</v>
      </c>
      <c r="J37" s="612">
        <f t="shared" si="1"/>
        <v>10.43333333346527</v>
      </c>
      <c r="K37" s="613">
        <f t="shared" si="2"/>
        <v>626</v>
      </c>
      <c r="L37" s="431" t="s">
        <v>292</v>
      </c>
      <c r="M37" s="352" t="str">
        <f t="shared" si="3"/>
        <v>--</v>
      </c>
      <c r="N37" s="614">
        <f t="shared" si="4"/>
        <v>40</v>
      </c>
      <c r="O37" s="615">
        <f t="shared" si="5"/>
        <v>785.1704</v>
      </c>
      <c r="P37" s="616" t="str">
        <f t="shared" si="6"/>
        <v>--</v>
      </c>
      <c r="Q37" s="617" t="str">
        <f t="shared" si="7"/>
        <v>--</v>
      </c>
      <c r="R37" s="359" t="str">
        <f t="shared" si="8"/>
        <v>--</v>
      </c>
      <c r="S37" s="352" t="str">
        <f t="shared" si="9"/>
        <v>SI</v>
      </c>
      <c r="T37" s="618">
        <f t="shared" si="10"/>
        <v>785.1704</v>
      </c>
      <c r="U37" s="6"/>
    </row>
    <row r="38" spans="2:21" s="5" customFormat="1" ht="16.5" customHeight="1">
      <c r="B38" s="50"/>
      <c r="C38" s="354">
        <v>90</v>
      </c>
      <c r="D38" s="609" t="s">
        <v>383</v>
      </c>
      <c r="E38" s="609" t="s">
        <v>397</v>
      </c>
      <c r="F38" s="610">
        <v>132</v>
      </c>
      <c r="G38" s="131">
        <f t="shared" si="0"/>
        <v>18.82</v>
      </c>
      <c r="H38" s="611">
        <v>39741.325694444444</v>
      </c>
      <c r="I38" s="350">
        <v>39741.73333333333</v>
      </c>
      <c r="J38" s="612">
        <f t="shared" si="1"/>
        <v>9.783333333267365</v>
      </c>
      <c r="K38" s="613">
        <f t="shared" si="2"/>
        <v>587</v>
      </c>
      <c r="L38" s="431" t="s">
        <v>292</v>
      </c>
      <c r="M38" s="352" t="str">
        <f t="shared" si="3"/>
        <v>--</v>
      </c>
      <c r="N38" s="614">
        <f t="shared" si="4"/>
        <v>40</v>
      </c>
      <c r="O38" s="615">
        <f t="shared" si="5"/>
        <v>736.2384</v>
      </c>
      <c r="P38" s="616" t="str">
        <f t="shared" si="6"/>
        <v>--</v>
      </c>
      <c r="Q38" s="617" t="str">
        <f t="shared" si="7"/>
        <v>--</v>
      </c>
      <c r="R38" s="359" t="str">
        <f t="shared" si="8"/>
        <v>--</v>
      </c>
      <c r="S38" s="352" t="str">
        <f t="shared" si="9"/>
        <v>SI</v>
      </c>
      <c r="T38" s="618">
        <f t="shared" si="10"/>
        <v>736.2384</v>
      </c>
      <c r="U38" s="6"/>
    </row>
    <row r="39" spans="2:21" s="5" customFormat="1" ht="16.5" customHeight="1">
      <c r="B39" s="50"/>
      <c r="C39" s="354">
        <v>91</v>
      </c>
      <c r="D39" s="609" t="s">
        <v>383</v>
      </c>
      <c r="E39" s="609" t="s">
        <v>400</v>
      </c>
      <c r="F39" s="610">
        <v>132</v>
      </c>
      <c r="G39" s="131">
        <f t="shared" si="0"/>
        <v>18.82</v>
      </c>
      <c r="H39" s="611">
        <v>39742.37847222222</v>
      </c>
      <c r="I39" s="350">
        <v>39742.71319444444</v>
      </c>
      <c r="J39" s="612">
        <f t="shared" si="1"/>
        <v>8.033333333325572</v>
      </c>
      <c r="K39" s="613">
        <f t="shared" si="2"/>
        <v>482</v>
      </c>
      <c r="L39" s="431" t="s">
        <v>292</v>
      </c>
      <c r="M39" s="352" t="str">
        <f t="shared" si="3"/>
        <v>--</v>
      </c>
      <c r="N39" s="614">
        <f t="shared" si="4"/>
        <v>40</v>
      </c>
      <c r="O39" s="615">
        <f t="shared" si="5"/>
        <v>604.4984</v>
      </c>
      <c r="P39" s="616" t="str">
        <f t="shared" si="6"/>
        <v>--</v>
      </c>
      <c r="Q39" s="617" t="str">
        <f t="shared" si="7"/>
        <v>--</v>
      </c>
      <c r="R39" s="359" t="str">
        <f t="shared" si="8"/>
        <v>--</v>
      </c>
      <c r="S39" s="352" t="str">
        <f t="shared" si="9"/>
        <v>SI</v>
      </c>
      <c r="T39" s="618">
        <f t="shared" si="10"/>
        <v>604.4984</v>
      </c>
      <c r="U39" s="6"/>
    </row>
    <row r="40" spans="2:21" s="5" customFormat="1" ht="16.5" customHeight="1">
      <c r="B40" s="50"/>
      <c r="C40" s="354">
        <v>92</v>
      </c>
      <c r="D40" s="609" t="s">
        <v>383</v>
      </c>
      <c r="E40" s="609" t="s">
        <v>396</v>
      </c>
      <c r="F40" s="610">
        <v>132</v>
      </c>
      <c r="G40" s="131">
        <f t="shared" si="0"/>
        <v>18.82</v>
      </c>
      <c r="H40" s="611">
        <v>39743.49097222222</v>
      </c>
      <c r="I40" s="350">
        <v>39743.825</v>
      </c>
      <c r="J40" s="612">
        <f t="shared" si="1"/>
        <v>8.016666666604578</v>
      </c>
      <c r="K40" s="613">
        <f t="shared" si="2"/>
        <v>481</v>
      </c>
      <c r="L40" s="431" t="s">
        <v>292</v>
      </c>
      <c r="M40" s="352" t="str">
        <f t="shared" si="3"/>
        <v>--</v>
      </c>
      <c r="N40" s="614">
        <f t="shared" si="4"/>
        <v>40</v>
      </c>
      <c r="O40" s="615">
        <f t="shared" si="5"/>
        <v>603.7456</v>
      </c>
      <c r="P40" s="616" t="str">
        <f t="shared" si="6"/>
        <v>--</v>
      </c>
      <c r="Q40" s="617" t="str">
        <f t="shared" si="7"/>
        <v>--</v>
      </c>
      <c r="R40" s="359" t="str">
        <f t="shared" si="8"/>
        <v>--</v>
      </c>
      <c r="S40" s="352" t="str">
        <f t="shared" si="9"/>
        <v>SI</v>
      </c>
      <c r="T40" s="618">
        <f t="shared" si="10"/>
        <v>603.7456</v>
      </c>
      <c r="U40" s="6"/>
    </row>
    <row r="41" spans="2:21" s="5" customFormat="1" ht="16.5" customHeight="1">
      <c r="B41" s="50"/>
      <c r="C41" s="486"/>
      <c r="D41" s="609"/>
      <c r="E41" s="609"/>
      <c r="F41" s="610"/>
      <c r="G41" s="131">
        <f t="shared" si="0"/>
        <v>18.82</v>
      </c>
      <c r="H41" s="611"/>
      <c r="I41" s="350"/>
      <c r="J41" s="612">
        <f t="shared" si="1"/>
      </c>
      <c r="K41" s="613">
        <f t="shared" si="2"/>
      </c>
      <c r="L41" s="431"/>
      <c r="M41" s="352">
        <f t="shared" si="3"/>
      </c>
      <c r="N41" s="614">
        <f t="shared" si="4"/>
        <v>40</v>
      </c>
      <c r="O41" s="615" t="str">
        <f t="shared" si="5"/>
        <v>--</v>
      </c>
      <c r="P41" s="616" t="str">
        <f t="shared" si="6"/>
        <v>--</v>
      </c>
      <c r="Q41" s="617" t="str">
        <f t="shared" si="7"/>
        <v>--</v>
      </c>
      <c r="R41" s="359" t="str">
        <f t="shared" si="8"/>
        <v>--</v>
      </c>
      <c r="S41" s="352">
        <f t="shared" si="9"/>
      </c>
      <c r="T41" s="618">
        <f t="shared" si="10"/>
      </c>
      <c r="U41" s="6"/>
    </row>
    <row r="42" spans="2:21" s="5" customFormat="1" ht="16.5" customHeight="1" thickBot="1">
      <c r="B42" s="50"/>
      <c r="C42" s="354"/>
      <c r="D42" s="346"/>
      <c r="E42" s="346"/>
      <c r="F42" s="440"/>
      <c r="G42" s="132"/>
      <c r="H42" s="619"/>
      <c r="I42" s="619"/>
      <c r="J42" s="620"/>
      <c r="K42" s="620"/>
      <c r="L42" s="619"/>
      <c r="M42" s="351"/>
      <c r="N42" s="621"/>
      <c r="O42" s="622"/>
      <c r="P42" s="623"/>
      <c r="Q42" s="624"/>
      <c r="R42" s="361"/>
      <c r="S42" s="351"/>
      <c r="T42" s="625"/>
      <c r="U42" s="6"/>
    </row>
    <row r="43" spans="2:21" s="5" customFormat="1" ht="16.5" customHeight="1" thickBot="1" thickTop="1">
      <c r="B43" s="50"/>
      <c r="C43" s="128" t="s">
        <v>26</v>
      </c>
      <c r="D43" s="129" t="s">
        <v>407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626">
        <f>SUM(O20:O42)</f>
        <v>35992.873600000006</v>
      </c>
      <c r="P43" s="627">
        <f>SUM(P20:P42)</f>
        <v>0</v>
      </c>
      <c r="Q43" s="628">
        <f>SUM(Q20:Q42)</f>
        <v>0</v>
      </c>
      <c r="R43" s="629">
        <f>SUM(R20:R42)</f>
        <v>0</v>
      </c>
      <c r="S43" s="630"/>
      <c r="T43" s="101">
        <f>ROUND(SUM(T20:T42),2)</f>
        <v>35992.87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376"/>
      <c r="V45" s="376"/>
      <c r="W45" s="376"/>
    </row>
    <row r="46" spans="21:23" ht="16.5" customHeight="1">
      <c r="U46" s="376"/>
      <c r="V46" s="376"/>
      <c r="W46" s="376"/>
    </row>
    <row r="47" spans="21:23" ht="16.5" customHeight="1">
      <c r="U47" s="376"/>
      <c r="V47" s="376"/>
      <c r="W47" s="376"/>
    </row>
    <row r="48" spans="21:23" ht="16.5" customHeight="1">
      <c r="U48" s="376"/>
      <c r="V48" s="376"/>
      <c r="W48" s="376"/>
    </row>
    <row r="49" spans="21:23" ht="16.5" customHeight="1">
      <c r="U49" s="376"/>
      <c r="V49" s="376"/>
      <c r="W49" s="376"/>
    </row>
    <row r="50" spans="4:23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</row>
    <row r="51" spans="4:23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</row>
    <row r="52" spans="4:23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</row>
    <row r="53" spans="4:23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</row>
    <row r="54" spans="4:23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</row>
    <row r="55" spans="4:23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</row>
    <row r="56" spans="4:23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</row>
    <row r="57" spans="4:23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</row>
    <row r="58" spans="4:23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</row>
    <row r="59" spans="4:23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</row>
    <row r="60" spans="4:23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</row>
    <row r="61" spans="4:23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</row>
    <row r="62" spans="4:23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</row>
    <row r="63" spans="4:23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</row>
    <row r="64" spans="4:23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</row>
    <row r="65" spans="4:23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</row>
    <row r="66" spans="4:23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</row>
    <row r="67" spans="4:23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</row>
    <row r="68" spans="4:23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</row>
    <row r="69" spans="4:23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</row>
    <row r="70" spans="4:23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</row>
    <row r="71" spans="4:23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</row>
    <row r="72" spans="4:23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</row>
    <row r="73" spans="4:23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</row>
    <row r="74" spans="4:23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</row>
    <row r="75" spans="4:23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</row>
    <row r="76" spans="4:23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</row>
    <row r="77" spans="4:23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</row>
    <row r="78" spans="4:23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</row>
    <row r="79" spans="4:23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</row>
    <row r="80" spans="4:23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</row>
    <row r="81" spans="4:23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</row>
    <row r="82" spans="4:23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</row>
    <row r="83" spans="4:23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</row>
    <row r="84" spans="4:23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</row>
    <row r="85" spans="4:23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</row>
    <row r="86" spans="4:23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</row>
    <row r="87" spans="4:23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</row>
    <row r="88" spans="4:23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</row>
    <row r="89" spans="4:23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</row>
    <row r="90" spans="4:23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</row>
    <row r="91" spans="4:23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</row>
    <row r="92" spans="4:23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</row>
    <row r="93" spans="4:23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</row>
    <row r="94" spans="4:23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</row>
    <row r="95" spans="4:23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</row>
    <row r="96" spans="4:23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</row>
    <row r="97" spans="4:23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</row>
    <row r="98" spans="4:23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</row>
    <row r="99" spans="4:23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</row>
    <row r="100" spans="4:23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</row>
    <row r="101" spans="4:23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</row>
    <row r="102" spans="4:23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</row>
    <row r="103" spans="4:23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</row>
    <row r="104" spans="4:23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</row>
    <row r="105" spans="4:23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</row>
    <row r="106" spans="4:23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</row>
    <row r="107" spans="4:23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</row>
    <row r="108" spans="4:23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</row>
    <row r="109" spans="4:23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</row>
    <row r="110" spans="4:23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</row>
    <row r="111" spans="4:23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</row>
    <row r="112" spans="4:23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</row>
    <row r="113" spans="4:23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</row>
    <row r="114" spans="4:23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</row>
    <row r="115" spans="4:23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</row>
    <row r="116" spans="4:23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</row>
    <row r="117" spans="4:23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</row>
    <row r="118" spans="4:23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</row>
    <row r="119" spans="4:23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</row>
    <row r="120" spans="4:23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</row>
    <row r="121" spans="4:23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</row>
    <row r="122" spans="4:23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</row>
    <row r="123" spans="4:23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</row>
    <row r="124" spans="4:23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</row>
    <row r="125" spans="4:23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</row>
    <row r="126" spans="4:23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</row>
    <row r="127" spans="4:23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</row>
    <row r="128" spans="4:23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</row>
    <row r="129" spans="4:23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</row>
    <row r="130" spans="4:23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</row>
    <row r="131" spans="4:23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</row>
    <row r="132" spans="4:23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</row>
    <row r="133" spans="4:23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</row>
    <row r="134" spans="4:23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</row>
    <row r="135" spans="4:23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</row>
    <row r="136" spans="4:23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</row>
    <row r="137" spans="4:23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</row>
    <row r="138" spans="4:23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</row>
    <row r="139" spans="4:23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</row>
    <row r="140" spans="4:23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</row>
    <row r="141" spans="4:23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</row>
    <row r="142" spans="4:23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</row>
    <row r="143" spans="4:23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</row>
    <row r="144" spans="4:23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</row>
    <row r="145" spans="4:23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</row>
    <row r="146" spans="4:23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</row>
    <row r="147" spans="4:23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</row>
    <row r="148" spans="4:23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</row>
    <row r="149" spans="4:23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</row>
    <row r="150" spans="4:23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</row>
    <row r="151" spans="4:23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</row>
    <row r="152" spans="4:23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</row>
    <row r="153" spans="4:23" ht="16.5" customHeight="1"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</row>
    <row r="154" spans="4:23" ht="16.5" customHeight="1"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</row>
    <row r="155" spans="4:23" ht="16.5" customHeight="1"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</row>
    <row r="156" spans="4:23" ht="16.5" customHeight="1"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</row>
    <row r="157" spans="4:23" ht="16.5" customHeight="1"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W157"/>
  <sheetViews>
    <sheetView zoomScale="75" zoomScaleNormal="75" workbookViewId="0" topLeftCell="A1">
      <selection activeCell="D31" sqref="D3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+'TOT-1008'!B2</f>
        <v>ANEXO V al Memorándum D.T.E.E. N°  366 / 2010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96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1159" customFormat="1" ht="33" customHeight="1">
      <c r="B10" s="1160"/>
      <c r="C10" s="1158"/>
      <c r="D10" s="1180" t="s">
        <v>305</v>
      </c>
      <c r="E10" s="1181"/>
      <c r="F10" s="1182"/>
      <c r="G10" s="1183"/>
      <c r="I10" s="1183"/>
      <c r="J10" s="1183"/>
      <c r="K10" s="1183"/>
      <c r="L10" s="1183"/>
      <c r="M10" s="1183"/>
      <c r="N10" s="1183"/>
      <c r="O10" s="1158"/>
      <c r="P10" s="1158"/>
      <c r="Q10" s="1158"/>
      <c r="R10" s="1158"/>
      <c r="S10" s="1158"/>
      <c r="T10" s="1158"/>
      <c r="U10" s="1184"/>
    </row>
    <row r="11" spans="2:21" s="1162" customFormat="1" ht="33" customHeight="1">
      <c r="B11" s="1163"/>
      <c r="C11" s="1164"/>
      <c r="D11" s="1180" t="s">
        <v>311</v>
      </c>
      <c r="E11" s="1185"/>
      <c r="F11" s="1186"/>
      <c r="G11" s="1187"/>
      <c r="H11" s="1188"/>
      <c r="I11" s="1187"/>
      <c r="J11" s="1187"/>
      <c r="K11" s="1187"/>
      <c r="L11" s="1187"/>
      <c r="M11" s="1187"/>
      <c r="N11" s="1187"/>
      <c r="O11" s="1164"/>
      <c r="P11" s="1164"/>
      <c r="Q11" s="1164"/>
      <c r="R11" s="1164"/>
      <c r="S11" s="1164"/>
      <c r="T11" s="1164"/>
      <c r="U11" s="1189"/>
    </row>
    <row r="12" spans="2:21" s="5" customFormat="1" ht="19.5">
      <c r="B12" s="37" t="str">
        <f>'TOT-1008'!B14</f>
        <v>Desde el 01 al 31 de octubre de 2008</v>
      </c>
      <c r="C12" s="40"/>
      <c r="D12" s="40"/>
      <c r="E12" s="40"/>
      <c r="F12" s="40"/>
      <c r="G12" s="568"/>
      <c r="H12" s="568"/>
      <c r="I12" s="568"/>
      <c r="J12" s="568"/>
      <c r="K12" s="568"/>
      <c r="L12" s="568"/>
      <c r="M12" s="568"/>
      <c r="N12" s="568"/>
      <c r="O12" s="40"/>
      <c r="P12" s="40"/>
      <c r="Q12" s="40"/>
      <c r="R12" s="40"/>
      <c r="S12" s="40"/>
      <c r="T12" s="40"/>
      <c r="U12" s="569"/>
    </row>
    <row r="13" spans="2:21" s="5" customFormat="1" ht="14.25" thickBot="1">
      <c r="B13" s="570"/>
      <c r="C13" s="571"/>
      <c r="D13" s="571"/>
      <c r="E13" s="571"/>
      <c r="F13" s="571"/>
      <c r="G13" s="572"/>
      <c r="H13" s="572"/>
      <c r="I13" s="572"/>
      <c r="J13" s="572"/>
      <c r="K13" s="572"/>
      <c r="L13" s="572"/>
      <c r="M13" s="572"/>
      <c r="N13" s="572"/>
      <c r="O13" s="571"/>
      <c r="P13" s="571"/>
      <c r="Q13" s="571"/>
      <c r="R13" s="571"/>
      <c r="S13" s="571"/>
      <c r="T13" s="571"/>
      <c r="U13" s="573"/>
    </row>
    <row r="14" spans="2:21" s="5" customFormat="1" ht="15" thickBot="1" thickTop="1">
      <c r="B14" s="50"/>
      <c r="C14" s="4"/>
      <c r="D14" s="574"/>
      <c r="E14" s="574"/>
      <c r="F14" s="118" t="s">
        <v>113</v>
      </c>
      <c r="G14" s="4"/>
      <c r="H14" s="5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50"/>
      <c r="C15" s="4"/>
      <c r="D15" s="575" t="s">
        <v>114</v>
      </c>
      <c r="E15" s="576">
        <v>23.525</v>
      </c>
      <c r="F15" s="577">
        <v>200</v>
      </c>
      <c r="T15" s="116"/>
      <c r="U15" s="6"/>
    </row>
    <row r="16" spans="2:21" s="5" customFormat="1" ht="16.5" customHeight="1" thickBot="1" thickTop="1">
      <c r="B16" s="50"/>
      <c r="C16" s="4"/>
      <c r="D16" s="578"/>
      <c r="E16" s="579"/>
      <c r="F16" s="577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580" t="s">
        <v>116</v>
      </c>
      <c r="E17" s="631">
        <v>18.82</v>
      </c>
      <c r="F17" s="577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50"/>
      <c r="C18" s="581"/>
      <c r="D18" s="582"/>
      <c r="E18" s="582"/>
      <c r="F18" s="583"/>
      <c r="G18" s="584"/>
      <c r="H18" s="584"/>
      <c r="I18" s="584"/>
      <c r="J18" s="584"/>
      <c r="K18" s="584"/>
      <c r="L18" s="584"/>
      <c r="M18" s="584"/>
      <c r="N18" s="585"/>
      <c r="O18" s="586"/>
      <c r="P18" s="587"/>
      <c r="Q18" s="587"/>
      <c r="R18" s="587"/>
      <c r="S18" s="588"/>
      <c r="T18" s="589"/>
      <c r="U18" s="6"/>
    </row>
    <row r="19" spans="2:21" s="5" customFormat="1" ht="33.75" customHeight="1" thickBot="1" thickTop="1">
      <c r="B19" s="50"/>
      <c r="C19" s="84" t="s">
        <v>13</v>
      </c>
      <c r="D19" s="86" t="s">
        <v>28</v>
      </c>
      <c r="E19" s="590" t="s">
        <v>29</v>
      </c>
      <c r="F19" s="591" t="s">
        <v>14</v>
      </c>
      <c r="G19" s="130" t="s">
        <v>16</v>
      </c>
      <c r="H19" s="85" t="s">
        <v>17</v>
      </c>
      <c r="I19" s="590" t="s">
        <v>18</v>
      </c>
      <c r="J19" s="592" t="s">
        <v>37</v>
      </c>
      <c r="K19" s="592" t="s">
        <v>32</v>
      </c>
      <c r="L19" s="88" t="s">
        <v>19</v>
      </c>
      <c r="M19" s="380" t="s">
        <v>33</v>
      </c>
      <c r="N19" s="136" t="s">
        <v>38</v>
      </c>
      <c r="O19" s="593" t="s">
        <v>97</v>
      </c>
      <c r="P19" s="381" t="s">
        <v>36</v>
      </c>
      <c r="Q19" s="594"/>
      <c r="R19" s="135" t="s">
        <v>22</v>
      </c>
      <c r="S19" s="133" t="s">
        <v>106</v>
      </c>
      <c r="T19" s="122" t="s">
        <v>25</v>
      </c>
      <c r="U19" s="6"/>
    </row>
    <row r="20" spans="2:21" s="5" customFormat="1" ht="16.5" customHeight="1" thickTop="1">
      <c r="B20" s="50"/>
      <c r="C20" s="7"/>
      <c r="D20" s="595"/>
      <c r="E20" s="595"/>
      <c r="F20" s="595"/>
      <c r="G20" s="429"/>
      <c r="H20" s="595"/>
      <c r="I20" s="595"/>
      <c r="J20" s="595"/>
      <c r="K20" s="595"/>
      <c r="L20" s="595"/>
      <c r="M20" s="595"/>
      <c r="N20" s="596"/>
      <c r="O20" s="597"/>
      <c r="P20" s="598"/>
      <c r="Q20" s="599"/>
      <c r="R20" s="600"/>
      <c r="S20" s="595"/>
      <c r="T20" s="601">
        <f>'SA-TIBA-10 (1)'!T43</f>
        <v>35992.87</v>
      </c>
      <c r="U20" s="6"/>
    </row>
    <row r="21" spans="2:21" s="5" customFormat="1" ht="16.5" customHeight="1">
      <c r="B21" s="50"/>
      <c r="C21" s="486"/>
      <c r="D21" s="602"/>
      <c r="E21" s="602"/>
      <c r="F21" s="602"/>
      <c r="G21" s="603"/>
      <c r="H21" s="602"/>
      <c r="I21" s="602"/>
      <c r="J21" s="602"/>
      <c r="K21" s="602"/>
      <c r="L21" s="602"/>
      <c r="M21" s="602"/>
      <c r="N21" s="604"/>
      <c r="O21" s="605"/>
      <c r="P21" s="393"/>
      <c r="Q21" s="606"/>
      <c r="R21" s="607"/>
      <c r="S21" s="602"/>
      <c r="T21" s="608"/>
      <c r="U21" s="6"/>
    </row>
    <row r="22" spans="2:21" s="5" customFormat="1" ht="16.5" customHeight="1">
      <c r="B22" s="50"/>
      <c r="C22" s="354">
        <v>93</v>
      </c>
      <c r="D22" s="609" t="s">
        <v>386</v>
      </c>
      <c r="E22" s="609" t="s">
        <v>398</v>
      </c>
      <c r="F22" s="610">
        <v>132</v>
      </c>
      <c r="G22" s="131">
        <f aca="true" t="shared" si="0" ref="G22:G41">IF(F22=500,$E$15,IF(F22=220,$E$16,$E$17))</f>
        <v>18.82</v>
      </c>
      <c r="H22" s="611">
        <v>39744.36875</v>
      </c>
      <c r="I22" s="350">
        <v>39744.865277777775</v>
      </c>
      <c r="J22" s="612">
        <f aca="true" t="shared" si="1" ref="J22:J41">IF(D22="","",(I22-H22)*24)</f>
        <v>11.916666666569654</v>
      </c>
      <c r="K22" s="613">
        <f aca="true" t="shared" si="2" ref="K22:K41">IF(D22="","",ROUND((I22-H22)*24*60,0))</f>
        <v>715</v>
      </c>
      <c r="L22" s="431" t="s">
        <v>292</v>
      </c>
      <c r="M22" s="352" t="str">
        <f aca="true" t="shared" si="3" ref="M22:M41">IF(D22="","",IF(L22="P","--","NO"))</f>
        <v>--</v>
      </c>
      <c r="N22" s="614">
        <f aca="true" t="shared" si="4" ref="N22:N41">IF(F22=500,$F$15,IF(F22=220,$F$16,$F$17))</f>
        <v>40</v>
      </c>
      <c r="O22" s="615">
        <f aca="true" t="shared" si="5" ref="O22:O41">IF(L22="P",G22*N22*ROUND(K22/60,2)*0.1,"--")</f>
        <v>897.3376000000001</v>
      </c>
      <c r="P22" s="616" t="str">
        <f aca="true" t="shared" si="6" ref="P22:P41">IF(AND(L22="F",M22="NO"),G22*N22,"--")</f>
        <v>--</v>
      </c>
      <c r="Q22" s="617" t="str">
        <f aca="true" t="shared" si="7" ref="Q22:Q41">IF(L22="F",G22*N22*ROUND(K22/60,2),"--")</f>
        <v>--</v>
      </c>
      <c r="R22" s="359" t="str">
        <f aca="true" t="shared" si="8" ref="R22:R41">IF(L22="RF",G22*N22*ROUND(K22/60,2),"--")</f>
        <v>--</v>
      </c>
      <c r="S22" s="352" t="str">
        <f aca="true" t="shared" si="9" ref="S22:S41">IF(D22="","","SI")</f>
        <v>SI</v>
      </c>
      <c r="T22" s="618">
        <f aca="true" t="shared" si="10" ref="T22:T41">IF(D22="","",SUM(O22:R22)*IF(S22="SI",1,2))</f>
        <v>897.3376000000001</v>
      </c>
      <c r="U22" s="6"/>
    </row>
    <row r="23" spans="2:21" s="5" customFormat="1" ht="16.5" customHeight="1">
      <c r="B23" s="50"/>
      <c r="C23" s="354">
        <v>94</v>
      </c>
      <c r="D23" s="609" t="s">
        <v>386</v>
      </c>
      <c r="E23" s="609" t="s">
        <v>401</v>
      </c>
      <c r="F23" s="610">
        <v>132</v>
      </c>
      <c r="G23" s="131">
        <f t="shared" si="0"/>
        <v>18.82</v>
      </c>
      <c r="H23" s="611">
        <v>39746.32986111111</v>
      </c>
      <c r="I23" s="350">
        <v>39746.73611111111</v>
      </c>
      <c r="J23" s="612">
        <f t="shared" si="1"/>
        <v>9.75</v>
      </c>
      <c r="K23" s="613">
        <f t="shared" si="2"/>
        <v>585</v>
      </c>
      <c r="L23" s="431" t="s">
        <v>292</v>
      </c>
      <c r="M23" s="352" t="str">
        <f t="shared" si="3"/>
        <v>--</v>
      </c>
      <c r="N23" s="614">
        <f t="shared" si="4"/>
        <v>40</v>
      </c>
      <c r="O23" s="615">
        <f t="shared" si="5"/>
        <v>733.98</v>
      </c>
      <c r="P23" s="616" t="str">
        <f t="shared" si="6"/>
        <v>--</v>
      </c>
      <c r="Q23" s="617" t="str">
        <f t="shared" si="7"/>
        <v>--</v>
      </c>
      <c r="R23" s="359" t="str">
        <f t="shared" si="8"/>
        <v>--</v>
      </c>
      <c r="S23" s="352" t="str">
        <f t="shared" si="9"/>
        <v>SI</v>
      </c>
      <c r="T23" s="618">
        <f t="shared" si="10"/>
        <v>733.98</v>
      </c>
      <c r="U23" s="6"/>
    </row>
    <row r="24" spans="2:21" s="5" customFormat="1" ht="16.5" customHeight="1">
      <c r="B24" s="50"/>
      <c r="C24" s="354">
        <v>95</v>
      </c>
      <c r="D24" s="609" t="s">
        <v>394</v>
      </c>
      <c r="E24" s="609" t="s">
        <v>395</v>
      </c>
      <c r="F24" s="610">
        <v>132</v>
      </c>
      <c r="G24" s="131">
        <f t="shared" si="0"/>
        <v>18.82</v>
      </c>
      <c r="H24" s="611">
        <v>39747.31458333333</v>
      </c>
      <c r="I24" s="350">
        <v>39747.76527777778</v>
      </c>
      <c r="J24" s="612">
        <f t="shared" si="1"/>
        <v>10.816666666651145</v>
      </c>
      <c r="K24" s="613">
        <f t="shared" si="2"/>
        <v>649</v>
      </c>
      <c r="L24" s="431" t="s">
        <v>292</v>
      </c>
      <c r="M24" s="352" t="str">
        <f t="shared" si="3"/>
        <v>--</v>
      </c>
      <c r="N24" s="614">
        <f t="shared" si="4"/>
        <v>40</v>
      </c>
      <c r="O24" s="615">
        <f t="shared" si="5"/>
        <v>814.5296</v>
      </c>
      <c r="P24" s="616" t="str">
        <f t="shared" si="6"/>
        <v>--</v>
      </c>
      <c r="Q24" s="617" t="str">
        <f t="shared" si="7"/>
        <v>--</v>
      </c>
      <c r="R24" s="359" t="str">
        <f t="shared" si="8"/>
        <v>--</v>
      </c>
      <c r="S24" s="352" t="str">
        <f t="shared" si="9"/>
        <v>SI</v>
      </c>
      <c r="T24" s="618">
        <f t="shared" si="10"/>
        <v>814.5296</v>
      </c>
      <c r="U24" s="6"/>
    </row>
    <row r="25" spans="2:21" s="5" customFormat="1" ht="16.5" customHeight="1">
      <c r="B25" s="50"/>
      <c r="C25" s="354">
        <v>96</v>
      </c>
      <c r="D25" s="609" t="s">
        <v>394</v>
      </c>
      <c r="E25" s="609" t="s">
        <v>395</v>
      </c>
      <c r="F25" s="610">
        <v>132</v>
      </c>
      <c r="G25" s="131">
        <f t="shared" si="0"/>
        <v>18.82</v>
      </c>
      <c r="H25" s="611">
        <v>39750.13055555556</v>
      </c>
      <c r="I25" s="350">
        <v>39750.236805555556</v>
      </c>
      <c r="J25" s="612">
        <f t="shared" si="1"/>
        <v>2.549999999930151</v>
      </c>
      <c r="K25" s="613">
        <f t="shared" si="2"/>
        <v>153</v>
      </c>
      <c r="L25" s="431" t="s">
        <v>292</v>
      </c>
      <c r="M25" s="352" t="str">
        <f t="shared" si="3"/>
        <v>--</v>
      </c>
      <c r="N25" s="614">
        <f t="shared" si="4"/>
        <v>40</v>
      </c>
      <c r="O25" s="615">
        <f t="shared" si="5"/>
        <v>191.96399999999997</v>
      </c>
      <c r="P25" s="616" t="str">
        <f t="shared" si="6"/>
        <v>--</v>
      </c>
      <c r="Q25" s="617" t="str">
        <f t="shared" si="7"/>
        <v>--</v>
      </c>
      <c r="R25" s="359" t="str">
        <f t="shared" si="8"/>
        <v>--</v>
      </c>
      <c r="S25" s="352" t="str">
        <f t="shared" si="9"/>
        <v>SI</v>
      </c>
      <c r="T25" s="618">
        <f t="shared" si="10"/>
        <v>191.96399999999997</v>
      </c>
      <c r="U25" s="6"/>
    </row>
    <row r="26" spans="2:21" s="5" customFormat="1" ht="16.5" customHeight="1">
      <c r="B26" s="50"/>
      <c r="C26" s="354">
        <v>97</v>
      </c>
      <c r="D26" s="609" t="s">
        <v>386</v>
      </c>
      <c r="E26" s="609" t="s">
        <v>402</v>
      </c>
      <c r="F26" s="610">
        <v>132</v>
      </c>
      <c r="G26" s="131">
        <f t="shared" si="0"/>
        <v>18.82</v>
      </c>
      <c r="H26" s="611">
        <v>39750.33888888889</v>
      </c>
      <c r="I26" s="350">
        <v>39750.3625</v>
      </c>
      <c r="J26" s="612">
        <f t="shared" si="1"/>
        <v>0.56666666676756</v>
      </c>
      <c r="K26" s="613">
        <f t="shared" si="2"/>
        <v>34</v>
      </c>
      <c r="L26" s="431" t="s">
        <v>292</v>
      </c>
      <c r="M26" s="352" t="str">
        <f t="shared" si="3"/>
        <v>--</v>
      </c>
      <c r="N26" s="614">
        <f t="shared" si="4"/>
        <v>40</v>
      </c>
      <c r="O26" s="615">
        <f t="shared" si="5"/>
        <v>42.9096</v>
      </c>
      <c r="P26" s="616" t="str">
        <f t="shared" si="6"/>
        <v>--</v>
      </c>
      <c r="Q26" s="617" t="str">
        <f t="shared" si="7"/>
        <v>--</v>
      </c>
      <c r="R26" s="359" t="str">
        <f t="shared" si="8"/>
        <v>--</v>
      </c>
      <c r="S26" s="352" t="str">
        <f t="shared" si="9"/>
        <v>SI</v>
      </c>
      <c r="T26" s="618">
        <f t="shared" si="10"/>
        <v>42.9096</v>
      </c>
      <c r="U26" s="6"/>
    </row>
    <row r="27" spans="2:21" s="5" customFormat="1" ht="16.5" customHeight="1">
      <c r="B27" s="50"/>
      <c r="C27" s="354">
        <v>98</v>
      </c>
      <c r="D27" s="609" t="s">
        <v>394</v>
      </c>
      <c r="E27" s="609" t="s">
        <v>403</v>
      </c>
      <c r="F27" s="610">
        <v>132</v>
      </c>
      <c r="G27" s="131">
        <f t="shared" si="0"/>
        <v>18.82</v>
      </c>
      <c r="H27" s="611">
        <v>39750.44861111111</v>
      </c>
      <c r="I27" s="350">
        <v>39750.52291666667</v>
      </c>
      <c r="J27" s="612">
        <f t="shared" si="1"/>
        <v>1.78333333338378</v>
      </c>
      <c r="K27" s="613">
        <f t="shared" si="2"/>
        <v>107</v>
      </c>
      <c r="L27" s="431" t="s">
        <v>292</v>
      </c>
      <c r="M27" s="352" t="str">
        <f t="shared" si="3"/>
        <v>--</v>
      </c>
      <c r="N27" s="614">
        <f t="shared" si="4"/>
        <v>40</v>
      </c>
      <c r="O27" s="615">
        <f t="shared" si="5"/>
        <v>133.9984</v>
      </c>
      <c r="P27" s="616" t="str">
        <f t="shared" si="6"/>
        <v>--</v>
      </c>
      <c r="Q27" s="617" t="str">
        <f t="shared" si="7"/>
        <v>--</v>
      </c>
      <c r="R27" s="359" t="str">
        <f t="shared" si="8"/>
        <v>--</v>
      </c>
      <c r="S27" s="352" t="str">
        <f t="shared" si="9"/>
        <v>SI</v>
      </c>
      <c r="T27" s="618">
        <f t="shared" si="10"/>
        <v>133.9984</v>
      </c>
      <c r="U27" s="6"/>
    </row>
    <row r="28" spans="2:21" s="5" customFormat="1" ht="16.5" customHeight="1">
      <c r="B28" s="50"/>
      <c r="C28" s="354">
        <v>99</v>
      </c>
      <c r="D28" s="609" t="s">
        <v>394</v>
      </c>
      <c r="E28" s="609" t="s">
        <v>403</v>
      </c>
      <c r="F28" s="610">
        <v>132</v>
      </c>
      <c r="G28" s="131">
        <f t="shared" si="0"/>
        <v>18.82</v>
      </c>
      <c r="H28" s="611">
        <v>39751.37013888889</v>
      </c>
      <c r="I28" s="350">
        <v>39751.61597222222</v>
      </c>
      <c r="J28" s="612">
        <f t="shared" si="1"/>
        <v>5.900000000023283</v>
      </c>
      <c r="K28" s="613">
        <f t="shared" si="2"/>
        <v>354</v>
      </c>
      <c r="L28" s="431" t="s">
        <v>292</v>
      </c>
      <c r="M28" s="352" t="str">
        <f t="shared" si="3"/>
        <v>--</v>
      </c>
      <c r="N28" s="614">
        <f t="shared" si="4"/>
        <v>40</v>
      </c>
      <c r="O28" s="615">
        <f t="shared" si="5"/>
        <v>444.15200000000004</v>
      </c>
      <c r="P28" s="616" t="str">
        <f t="shared" si="6"/>
        <v>--</v>
      </c>
      <c r="Q28" s="617" t="str">
        <f t="shared" si="7"/>
        <v>--</v>
      </c>
      <c r="R28" s="359" t="str">
        <f t="shared" si="8"/>
        <v>--</v>
      </c>
      <c r="S28" s="352" t="str">
        <f t="shared" si="9"/>
        <v>SI</v>
      </c>
      <c r="T28" s="618">
        <f t="shared" si="10"/>
        <v>444.15200000000004</v>
      </c>
      <c r="U28" s="6"/>
    </row>
    <row r="29" spans="2:21" s="5" customFormat="1" ht="16.5" customHeight="1">
      <c r="B29" s="50"/>
      <c r="C29" s="486"/>
      <c r="D29" s="609"/>
      <c r="E29" s="609"/>
      <c r="F29" s="610"/>
      <c r="G29" s="131">
        <f t="shared" si="0"/>
        <v>18.82</v>
      </c>
      <c r="H29" s="611"/>
      <c r="I29" s="350"/>
      <c r="J29" s="612">
        <f t="shared" si="1"/>
      </c>
      <c r="K29" s="613">
        <f t="shared" si="2"/>
      </c>
      <c r="L29" s="431"/>
      <c r="M29" s="352">
        <f t="shared" si="3"/>
      </c>
      <c r="N29" s="614">
        <f t="shared" si="4"/>
        <v>40</v>
      </c>
      <c r="O29" s="615" t="str">
        <f t="shared" si="5"/>
        <v>--</v>
      </c>
      <c r="P29" s="616" t="str">
        <f t="shared" si="6"/>
        <v>--</v>
      </c>
      <c r="Q29" s="617" t="str">
        <f t="shared" si="7"/>
        <v>--</v>
      </c>
      <c r="R29" s="359" t="str">
        <f t="shared" si="8"/>
        <v>--</v>
      </c>
      <c r="S29" s="352">
        <f t="shared" si="9"/>
      </c>
      <c r="T29" s="618">
        <f t="shared" si="10"/>
      </c>
      <c r="U29" s="6"/>
    </row>
    <row r="30" spans="2:21" s="5" customFormat="1" ht="16.5" customHeight="1">
      <c r="B30" s="50"/>
      <c r="C30" s="354"/>
      <c r="D30" s="609"/>
      <c r="E30" s="609"/>
      <c r="F30" s="610"/>
      <c r="G30" s="131">
        <f t="shared" si="0"/>
        <v>18.82</v>
      </c>
      <c r="H30" s="611"/>
      <c r="I30" s="350"/>
      <c r="J30" s="612">
        <f t="shared" si="1"/>
      </c>
      <c r="K30" s="613">
        <f t="shared" si="2"/>
      </c>
      <c r="L30" s="431"/>
      <c r="M30" s="352">
        <f t="shared" si="3"/>
      </c>
      <c r="N30" s="614">
        <f t="shared" si="4"/>
        <v>40</v>
      </c>
      <c r="O30" s="615" t="str">
        <f t="shared" si="5"/>
        <v>--</v>
      </c>
      <c r="P30" s="616" t="str">
        <f t="shared" si="6"/>
        <v>--</v>
      </c>
      <c r="Q30" s="617" t="str">
        <f t="shared" si="7"/>
        <v>--</v>
      </c>
      <c r="R30" s="359" t="str">
        <f t="shared" si="8"/>
        <v>--</v>
      </c>
      <c r="S30" s="352">
        <f t="shared" si="9"/>
      </c>
      <c r="T30" s="618">
        <f t="shared" si="10"/>
      </c>
      <c r="U30" s="6"/>
    </row>
    <row r="31" spans="2:21" s="5" customFormat="1" ht="16.5" customHeight="1">
      <c r="B31" s="50"/>
      <c r="C31" s="486"/>
      <c r="D31" s="609"/>
      <c r="E31" s="609"/>
      <c r="F31" s="610"/>
      <c r="G31" s="131">
        <f t="shared" si="0"/>
        <v>18.82</v>
      </c>
      <c r="H31" s="611"/>
      <c r="I31" s="350"/>
      <c r="J31" s="612">
        <f t="shared" si="1"/>
      </c>
      <c r="K31" s="613">
        <f t="shared" si="2"/>
      </c>
      <c r="L31" s="431"/>
      <c r="M31" s="352">
        <f t="shared" si="3"/>
      </c>
      <c r="N31" s="614">
        <f t="shared" si="4"/>
        <v>40</v>
      </c>
      <c r="O31" s="615" t="str">
        <f t="shared" si="5"/>
        <v>--</v>
      </c>
      <c r="P31" s="616" t="str">
        <f t="shared" si="6"/>
        <v>--</v>
      </c>
      <c r="Q31" s="617" t="str">
        <f t="shared" si="7"/>
        <v>--</v>
      </c>
      <c r="R31" s="359" t="str">
        <f t="shared" si="8"/>
        <v>--</v>
      </c>
      <c r="S31" s="352">
        <f t="shared" si="9"/>
      </c>
      <c r="T31" s="618">
        <f t="shared" si="10"/>
      </c>
      <c r="U31" s="6"/>
    </row>
    <row r="32" spans="2:21" s="5" customFormat="1" ht="16.5" customHeight="1">
      <c r="B32" s="50"/>
      <c r="C32" s="354"/>
      <c r="D32" s="609"/>
      <c r="E32" s="609"/>
      <c r="F32" s="610"/>
      <c r="G32" s="131">
        <f t="shared" si="0"/>
        <v>18.82</v>
      </c>
      <c r="H32" s="611"/>
      <c r="I32" s="350"/>
      <c r="J32" s="612">
        <f t="shared" si="1"/>
      </c>
      <c r="K32" s="613">
        <f t="shared" si="2"/>
      </c>
      <c r="L32" s="431"/>
      <c r="M32" s="352">
        <f t="shared" si="3"/>
      </c>
      <c r="N32" s="614">
        <f t="shared" si="4"/>
        <v>40</v>
      </c>
      <c r="O32" s="615" t="str">
        <f t="shared" si="5"/>
        <v>--</v>
      </c>
      <c r="P32" s="616" t="str">
        <f t="shared" si="6"/>
        <v>--</v>
      </c>
      <c r="Q32" s="617" t="str">
        <f t="shared" si="7"/>
        <v>--</v>
      </c>
      <c r="R32" s="359" t="str">
        <f t="shared" si="8"/>
        <v>--</v>
      </c>
      <c r="S32" s="352">
        <f t="shared" si="9"/>
      </c>
      <c r="T32" s="618">
        <f t="shared" si="10"/>
      </c>
      <c r="U32" s="6"/>
    </row>
    <row r="33" spans="2:21" s="5" customFormat="1" ht="16.5" customHeight="1">
      <c r="B33" s="50"/>
      <c r="C33" s="486"/>
      <c r="D33" s="609"/>
      <c r="E33" s="609"/>
      <c r="F33" s="610"/>
      <c r="G33" s="131">
        <f t="shared" si="0"/>
        <v>18.82</v>
      </c>
      <c r="H33" s="611"/>
      <c r="I33" s="350"/>
      <c r="J33" s="612">
        <f t="shared" si="1"/>
      </c>
      <c r="K33" s="613">
        <f t="shared" si="2"/>
      </c>
      <c r="L33" s="431"/>
      <c r="M33" s="352">
        <f t="shared" si="3"/>
      </c>
      <c r="N33" s="614">
        <f t="shared" si="4"/>
        <v>40</v>
      </c>
      <c r="O33" s="615" t="str">
        <f t="shared" si="5"/>
        <v>--</v>
      </c>
      <c r="P33" s="616" t="str">
        <f t="shared" si="6"/>
        <v>--</v>
      </c>
      <c r="Q33" s="617" t="str">
        <f t="shared" si="7"/>
        <v>--</v>
      </c>
      <c r="R33" s="359" t="str">
        <f t="shared" si="8"/>
        <v>--</v>
      </c>
      <c r="S33" s="352">
        <f t="shared" si="9"/>
      </c>
      <c r="T33" s="618">
        <f t="shared" si="10"/>
      </c>
      <c r="U33" s="6"/>
    </row>
    <row r="34" spans="2:21" s="5" customFormat="1" ht="16.5" customHeight="1">
      <c r="B34" s="50"/>
      <c r="C34" s="354"/>
      <c r="D34" s="609"/>
      <c r="E34" s="609"/>
      <c r="F34" s="610"/>
      <c r="G34" s="131">
        <f t="shared" si="0"/>
        <v>18.82</v>
      </c>
      <c r="H34" s="611"/>
      <c r="I34" s="350"/>
      <c r="J34" s="612">
        <f t="shared" si="1"/>
      </c>
      <c r="K34" s="613">
        <f t="shared" si="2"/>
      </c>
      <c r="L34" s="431"/>
      <c r="M34" s="352">
        <f t="shared" si="3"/>
      </c>
      <c r="N34" s="614">
        <f t="shared" si="4"/>
        <v>40</v>
      </c>
      <c r="O34" s="615" t="str">
        <f t="shared" si="5"/>
        <v>--</v>
      </c>
      <c r="P34" s="616" t="str">
        <f t="shared" si="6"/>
        <v>--</v>
      </c>
      <c r="Q34" s="617" t="str">
        <f t="shared" si="7"/>
        <v>--</v>
      </c>
      <c r="R34" s="359" t="str">
        <f t="shared" si="8"/>
        <v>--</v>
      </c>
      <c r="S34" s="352">
        <f t="shared" si="9"/>
      </c>
      <c r="T34" s="618">
        <f t="shared" si="10"/>
      </c>
      <c r="U34" s="6"/>
    </row>
    <row r="35" spans="2:21" s="5" customFormat="1" ht="16.5" customHeight="1">
      <c r="B35" s="50"/>
      <c r="C35" s="486"/>
      <c r="D35" s="609"/>
      <c r="E35" s="609"/>
      <c r="F35" s="610"/>
      <c r="G35" s="131">
        <f t="shared" si="0"/>
        <v>18.82</v>
      </c>
      <c r="H35" s="611"/>
      <c r="I35" s="350"/>
      <c r="J35" s="612">
        <f t="shared" si="1"/>
      </c>
      <c r="K35" s="613">
        <f t="shared" si="2"/>
      </c>
      <c r="L35" s="431"/>
      <c r="M35" s="352">
        <f t="shared" si="3"/>
      </c>
      <c r="N35" s="614">
        <f t="shared" si="4"/>
        <v>40</v>
      </c>
      <c r="O35" s="615" t="str">
        <f t="shared" si="5"/>
        <v>--</v>
      </c>
      <c r="P35" s="616" t="str">
        <f t="shared" si="6"/>
        <v>--</v>
      </c>
      <c r="Q35" s="617" t="str">
        <f t="shared" si="7"/>
        <v>--</v>
      </c>
      <c r="R35" s="359" t="str">
        <f t="shared" si="8"/>
        <v>--</v>
      </c>
      <c r="S35" s="352">
        <f t="shared" si="9"/>
      </c>
      <c r="T35" s="618">
        <f t="shared" si="10"/>
      </c>
      <c r="U35" s="6"/>
    </row>
    <row r="36" spans="2:21" s="5" customFormat="1" ht="16.5" customHeight="1">
      <c r="B36" s="50"/>
      <c r="C36" s="354"/>
      <c r="D36" s="609"/>
      <c r="E36" s="609"/>
      <c r="F36" s="610"/>
      <c r="G36" s="131">
        <f t="shared" si="0"/>
        <v>18.82</v>
      </c>
      <c r="H36" s="611"/>
      <c r="I36" s="350"/>
      <c r="J36" s="612">
        <f t="shared" si="1"/>
      </c>
      <c r="K36" s="613">
        <f t="shared" si="2"/>
      </c>
      <c r="L36" s="431"/>
      <c r="M36" s="352">
        <f t="shared" si="3"/>
      </c>
      <c r="N36" s="614">
        <f t="shared" si="4"/>
        <v>40</v>
      </c>
      <c r="O36" s="615" t="str">
        <f t="shared" si="5"/>
        <v>--</v>
      </c>
      <c r="P36" s="616" t="str">
        <f t="shared" si="6"/>
        <v>--</v>
      </c>
      <c r="Q36" s="617" t="str">
        <f t="shared" si="7"/>
        <v>--</v>
      </c>
      <c r="R36" s="359" t="str">
        <f t="shared" si="8"/>
        <v>--</v>
      </c>
      <c r="S36" s="352">
        <f t="shared" si="9"/>
      </c>
      <c r="T36" s="618">
        <f t="shared" si="10"/>
      </c>
      <c r="U36" s="6"/>
    </row>
    <row r="37" spans="2:21" s="5" customFormat="1" ht="16.5" customHeight="1">
      <c r="B37" s="50"/>
      <c r="C37" s="486"/>
      <c r="D37" s="609"/>
      <c r="E37" s="609"/>
      <c r="F37" s="610"/>
      <c r="G37" s="131">
        <f t="shared" si="0"/>
        <v>18.82</v>
      </c>
      <c r="H37" s="611"/>
      <c r="I37" s="350"/>
      <c r="J37" s="612">
        <f t="shared" si="1"/>
      </c>
      <c r="K37" s="613">
        <f t="shared" si="2"/>
      </c>
      <c r="L37" s="431"/>
      <c r="M37" s="352">
        <f t="shared" si="3"/>
      </c>
      <c r="N37" s="614">
        <f t="shared" si="4"/>
        <v>40</v>
      </c>
      <c r="O37" s="615" t="str">
        <f t="shared" si="5"/>
        <v>--</v>
      </c>
      <c r="P37" s="616" t="str">
        <f t="shared" si="6"/>
        <v>--</v>
      </c>
      <c r="Q37" s="617" t="str">
        <f t="shared" si="7"/>
        <v>--</v>
      </c>
      <c r="R37" s="359" t="str">
        <f t="shared" si="8"/>
        <v>--</v>
      </c>
      <c r="S37" s="352">
        <f t="shared" si="9"/>
      </c>
      <c r="T37" s="618">
        <f t="shared" si="10"/>
      </c>
      <c r="U37" s="6"/>
    </row>
    <row r="38" spans="2:21" s="5" customFormat="1" ht="16.5" customHeight="1">
      <c r="B38" s="50"/>
      <c r="C38" s="354"/>
      <c r="D38" s="609"/>
      <c r="E38" s="609"/>
      <c r="F38" s="610"/>
      <c r="G38" s="131">
        <f t="shared" si="0"/>
        <v>18.82</v>
      </c>
      <c r="H38" s="611"/>
      <c r="I38" s="350"/>
      <c r="J38" s="612">
        <f t="shared" si="1"/>
      </c>
      <c r="K38" s="613">
        <f t="shared" si="2"/>
      </c>
      <c r="L38" s="431"/>
      <c r="M38" s="352">
        <f t="shared" si="3"/>
      </c>
      <c r="N38" s="614">
        <f t="shared" si="4"/>
        <v>40</v>
      </c>
      <c r="O38" s="615" t="str">
        <f t="shared" si="5"/>
        <v>--</v>
      </c>
      <c r="P38" s="616" t="str">
        <f t="shared" si="6"/>
        <v>--</v>
      </c>
      <c r="Q38" s="617" t="str">
        <f t="shared" si="7"/>
        <v>--</v>
      </c>
      <c r="R38" s="359" t="str">
        <f t="shared" si="8"/>
        <v>--</v>
      </c>
      <c r="S38" s="352">
        <f t="shared" si="9"/>
      </c>
      <c r="T38" s="618">
        <f t="shared" si="10"/>
      </c>
      <c r="U38" s="6"/>
    </row>
    <row r="39" spans="2:21" s="5" customFormat="1" ht="16.5" customHeight="1">
      <c r="B39" s="50"/>
      <c r="C39" s="486"/>
      <c r="D39" s="609"/>
      <c r="E39" s="609"/>
      <c r="F39" s="610"/>
      <c r="G39" s="131">
        <f t="shared" si="0"/>
        <v>18.82</v>
      </c>
      <c r="H39" s="611"/>
      <c r="I39" s="350"/>
      <c r="J39" s="612">
        <f t="shared" si="1"/>
      </c>
      <c r="K39" s="613">
        <f t="shared" si="2"/>
      </c>
      <c r="L39" s="431"/>
      <c r="M39" s="352">
        <f t="shared" si="3"/>
      </c>
      <c r="N39" s="614">
        <f t="shared" si="4"/>
        <v>40</v>
      </c>
      <c r="O39" s="615" t="str">
        <f t="shared" si="5"/>
        <v>--</v>
      </c>
      <c r="P39" s="616" t="str">
        <f t="shared" si="6"/>
        <v>--</v>
      </c>
      <c r="Q39" s="617" t="str">
        <f t="shared" si="7"/>
        <v>--</v>
      </c>
      <c r="R39" s="359" t="str">
        <f t="shared" si="8"/>
        <v>--</v>
      </c>
      <c r="S39" s="352">
        <f t="shared" si="9"/>
      </c>
      <c r="T39" s="618">
        <f t="shared" si="10"/>
      </c>
      <c r="U39" s="6"/>
    </row>
    <row r="40" spans="2:21" s="5" customFormat="1" ht="16.5" customHeight="1">
      <c r="B40" s="50"/>
      <c r="C40" s="354"/>
      <c r="D40" s="609"/>
      <c r="E40" s="609"/>
      <c r="F40" s="610"/>
      <c r="G40" s="131">
        <f t="shared" si="0"/>
        <v>18.82</v>
      </c>
      <c r="H40" s="611"/>
      <c r="I40" s="350"/>
      <c r="J40" s="612">
        <f t="shared" si="1"/>
      </c>
      <c r="K40" s="613">
        <f t="shared" si="2"/>
      </c>
      <c r="L40" s="431"/>
      <c r="M40" s="352">
        <f t="shared" si="3"/>
      </c>
      <c r="N40" s="614">
        <f t="shared" si="4"/>
        <v>40</v>
      </c>
      <c r="O40" s="615" t="str">
        <f t="shared" si="5"/>
        <v>--</v>
      </c>
      <c r="P40" s="616" t="str">
        <f t="shared" si="6"/>
        <v>--</v>
      </c>
      <c r="Q40" s="617" t="str">
        <f t="shared" si="7"/>
        <v>--</v>
      </c>
      <c r="R40" s="359" t="str">
        <f t="shared" si="8"/>
        <v>--</v>
      </c>
      <c r="S40" s="352">
        <f t="shared" si="9"/>
      </c>
      <c r="T40" s="618">
        <f t="shared" si="10"/>
      </c>
      <c r="U40" s="6"/>
    </row>
    <row r="41" spans="2:21" s="5" customFormat="1" ht="16.5" customHeight="1">
      <c r="B41" s="50"/>
      <c r="C41" s="486"/>
      <c r="D41" s="609"/>
      <c r="E41" s="609"/>
      <c r="F41" s="610"/>
      <c r="G41" s="131">
        <f t="shared" si="0"/>
        <v>18.82</v>
      </c>
      <c r="H41" s="611"/>
      <c r="I41" s="350"/>
      <c r="J41" s="612">
        <f t="shared" si="1"/>
      </c>
      <c r="K41" s="613">
        <f t="shared" si="2"/>
      </c>
      <c r="L41" s="431"/>
      <c r="M41" s="352">
        <f t="shared" si="3"/>
      </c>
      <c r="N41" s="614">
        <f t="shared" si="4"/>
        <v>40</v>
      </c>
      <c r="O41" s="615" t="str">
        <f t="shared" si="5"/>
        <v>--</v>
      </c>
      <c r="P41" s="616" t="str">
        <f t="shared" si="6"/>
        <v>--</v>
      </c>
      <c r="Q41" s="617" t="str">
        <f t="shared" si="7"/>
        <v>--</v>
      </c>
      <c r="R41" s="359" t="str">
        <f t="shared" si="8"/>
        <v>--</v>
      </c>
      <c r="S41" s="352">
        <f t="shared" si="9"/>
      </c>
      <c r="T41" s="618">
        <f t="shared" si="10"/>
      </c>
      <c r="U41" s="6"/>
    </row>
    <row r="42" spans="2:21" s="5" customFormat="1" ht="16.5" customHeight="1" thickBot="1">
      <c r="B42" s="50"/>
      <c r="C42" s="354"/>
      <c r="D42" s="346"/>
      <c r="E42" s="346"/>
      <c r="F42" s="440"/>
      <c r="G42" s="132"/>
      <c r="H42" s="619"/>
      <c r="I42" s="619"/>
      <c r="J42" s="620"/>
      <c r="K42" s="620"/>
      <c r="L42" s="619"/>
      <c r="M42" s="351"/>
      <c r="N42" s="621"/>
      <c r="O42" s="622"/>
      <c r="P42" s="623"/>
      <c r="Q42" s="624"/>
      <c r="R42" s="361"/>
      <c r="S42" s="351"/>
      <c r="T42" s="625"/>
      <c r="U42" s="6"/>
    </row>
    <row r="43" spans="2:21" s="5" customFormat="1" ht="16.5" customHeight="1" thickBot="1" thickTop="1">
      <c r="B43" s="50"/>
      <c r="C43" s="128" t="s">
        <v>26</v>
      </c>
      <c r="D43" s="129" t="s">
        <v>407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626">
        <f>SUM(O20:O42)</f>
        <v>3258.8712</v>
      </c>
      <c r="P43" s="627">
        <f>SUM(P20:P42)</f>
        <v>0</v>
      </c>
      <c r="Q43" s="628">
        <f>SUM(Q20:Q42)</f>
        <v>0</v>
      </c>
      <c r="R43" s="629">
        <f>SUM(R20:R42)</f>
        <v>0</v>
      </c>
      <c r="S43" s="630"/>
      <c r="T43" s="101">
        <f>ROUND(SUM(T20:T42),2)</f>
        <v>39251.74</v>
      </c>
      <c r="U43" s="6"/>
    </row>
    <row r="44" spans="2:21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</row>
    <row r="45" spans="21:23" ht="16.5" customHeight="1" thickTop="1">
      <c r="U45" s="376"/>
      <c r="V45" s="376"/>
      <c r="W45" s="376"/>
    </row>
    <row r="46" spans="21:23" ht="16.5" customHeight="1">
      <c r="U46" s="376"/>
      <c r="V46" s="376"/>
      <c r="W46" s="376"/>
    </row>
    <row r="47" spans="21:23" ht="16.5" customHeight="1">
      <c r="U47" s="376"/>
      <c r="V47" s="376"/>
      <c r="W47" s="376"/>
    </row>
    <row r="48" spans="21:23" ht="16.5" customHeight="1">
      <c r="U48" s="376"/>
      <c r="V48" s="376"/>
      <c r="W48" s="376"/>
    </row>
    <row r="49" spans="21:23" ht="16.5" customHeight="1">
      <c r="U49" s="376"/>
      <c r="V49" s="376"/>
      <c r="W49" s="376"/>
    </row>
    <row r="50" spans="4:23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</row>
    <row r="51" spans="4:23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</row>
    <row r="52" spans="4:23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</row>
    <row r="53" spans="4:23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</row>
    <row r="54" spans="4:23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</row>
    <row r="55" spans="4:23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</row>
    <row r="56" spans="4:23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</row>
    <row r="57" spans="4:23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</row>
    <row r="58" spans="4:23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</row>
    <row r="59" spans="4:23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</row>
    <row r="60" spans="4:23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</row>
    <row r="61" spans="4:23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</row>
    <row r="62" spans="4:23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</row>
    <row r="63" spans="4:23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</row>
    <row r="64" spans="4:23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</row>
    <row r="65" spans="4:23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</row>
    <row r="66" spans="4:23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</row>
    <row r="67" spans="4:23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</row>
    <row r="68" spans="4:23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</row>
    <row r="69" spans="4:23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</row>
    <row r="70" spans="4:23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</row>
    <row r="71" spans="4:23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</row>
    <row r="72" spans="4:23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</row>
    <row r="73" spans="4:23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</row>
    <row r="74" spans="4:23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</row>
    <row r="75" spans="4:23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</row>
    <row r="76" spans="4:23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</row>
    <row r="77" spans="4:23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</row>
    <row r="78" spans="4:23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</row>
    <row r="79" spans="4:23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</row>
    <row r="80" spans="4:23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</row>
    <row r="81" spans="4:23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</row>
    <row r="82" spans="4:23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</row>
    <row r="83" spans="4:23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</row>
    <row r="84" spans="4:23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</row>
    <row r="85" spans="4:23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</row>
    <row r="86" spans="4:23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</row>
    <row r="87" spans="4:23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</row>
    <row r="88" spans="4:23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</row>
    <row r="89" spans="4:23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</row>
    <row r="90" spans="4:23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</row>
    <row r="91" spans="4:23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</row>
    <row r="92" spans="4:23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</row>
    <row r="93" spans="4:23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</row>
    <row r="94" spans="4:23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</row>
    <row r="95" spans="4:23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</row>
    <row r="96" spans="4:23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</row>
    <row r="97" spans="4:23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</row>
    <row r="98" spans="4:23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</row>
    <row r="99" spans="4:23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</row>
    <row r="100" spans="4:23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</row>
    <row r="101" spans="4:23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</row>
    <row r="102" spans="4:23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</row>
    <row r="103" spans="4:23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</row>
    <row r="104" spans="4:23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</row>
    <row r="105" spans="4:23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</row>
    <row r="106" spans="4:23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</row>
    <row r="107" spans="4:23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</row>
    <row r="108" spans="4:23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</row>
    <row r="109" spans="4:23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</row>
    <row r="110" spans="4:23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</row>
    <row r="111" spans="4:23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</row>
    <row r="112" spans="4:23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</row>
    <row r="113" spans="4:23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</row>
    <row r="114" spans="4:23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</row>
    <row r="115" spans="4:23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</row>
    <row r="116" spans="4:23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</row>
    <row r="117" spans="4:23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</row>
    <row r="118" spans="4:23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</row>
    <row r="119" spans="4:23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</row>
    <row r="120" spans="4:23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</row>
    <row r="121" spans="4:23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</row>
    <row r="122" spans="4:23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</row>
    <row r="123" spans="4:23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</row>
    <row r="124" spans="4:23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</row>
    <row r="125" spans="4:23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</row>
    <row r="126" spans="4:23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</row>
    <row r="127" spans="4:23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</row>
    <row r="128" spans="4:23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</row>
    <row r="129" spans="4:23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</row>
    <row r="130" spans="4:23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</row>
    <row r="131" spans="4:23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</row>
    <row r="132" spans="4:23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</row>
    <row r="133" spans="4:23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</row>
    <row r="134" spans="4:23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</row>
    <row r="135" spans="4:23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</row>
    <row r="136" spans="4:23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</row>
    <row r="137" spans="4:23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</row>
    <row r="138" spans="4:23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</row>
    <row r="139" spans="4:23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</row>
    <row r="140" spans="4:23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</row>
    <row r="141" spans="4:23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</row>
    <row r="142" spans="4:23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</row>
    <row r="143" spans="4:23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</row>
    <row r="144" spans="4:23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</row>
    <row r="145" spans="4:23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</row>
    <row r="146" spans="4:23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</row>
    <row r="147" spans="4:23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</row>
    <row r="148" spans="4:23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</row>
    <row r="149" spans="4:23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</row>
    <row r="150" spans="4:23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</row>
    <row r="151" spans="4:23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</row>
    <row r="152" spans="4:23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</row>
    <row r="153" spans="4:23" ht="16.5" customHeight="1"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</row>
    <row r="154" spans="4:23" ht="16.5" customHeight="1"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</row>
    <row r="155" spans="4:23" ht="16.5" customHeight="1"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</row>
    <row r="156" spans="4:23" ht="16.5" customHeight="1"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</row>
    <row r="157" spans="4:23" ht="16.5" customHeight="1"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4">
    <pageSetUpPr fitToPage="1"/>
  </sheetPr>
  <dimension ref="A1:AC154"/>
  <sheetViews>
    <sheetView zoomScale="75" zoomScaleNormal="75" workbookViewId="0" topLeftCell="B1">
      <selection activeCell="D21" sqref="D2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455" t="str">
        <f>+'TOT-1008'!B2</f>
        <v>ANEXO V al Memorándum D.T.E.E. N°  366 / 2010        </v>
      </c>
      <c r="C2" s="455"/>
      <c r="D2" s="455"/>
      <c r="E2" s="19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456" t="s">
        <v>107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456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457" t="s">
        <v>96</v>
      </c>
      <c r="E8" s="106"/>
      <c r="F8" s="106"/>
      <c r="G8" s="45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459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159" customFormat="1" ht="33" customHeight="1">
      <c r="A10" s="1182"/>
      <c r="B10" s="1190"/>
      <c r="C10" s="1182"/>
      <c r="D10" s="1191" t="s">
        <v>306</v>
      </c>
      <c r="E10" s="1182"/>
      <c r="F10" s="1192"/>
      <c r="G10" s="1193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93"/>
      <c r="S10" s="1193"/>
      <c r="T10" s="1193"/>
      <c r="U10" s="1193"/>
      <c r="V10" s="1193"/>
      <c r="W10" s="1193"/>
      <c r="X10" s="1193"/>
      <c r="Y10" s="1193"/>
      <c r="Z10" s="1193"/>
      <c r="AA10" s="1193"/>
      <c r="AB10" s="1161"/>
    </row>
    <row r="11" spans="1:28" s="1162" customFormat="1" ht="33" customHeight="1">
      <c r="A11" s="1186"/>
      <c r="B11" s="1194"/>
      <c r="C11" s="1186"/>
      <c r="D11" s="1195" t="s">
        <v>111</v>
      </c>
      <c r="E11" s="1196"/>
      <c r="F11" s="1196"/>
      <c r="G11" s="1197"/>
      <c r="H11" s="1196"/>
      <c r="I11" s="1196"/>
      <c r="J11" s="1196"/>
      <c r="K11" s="1196"/>
      <c r="L11" s="1196"/>
      <c r="M11" s="1186"/>
      <c r="N11" s="1186"/>
      <c r="O11" s="1186"/>
      <c r="P11" s="1186"/>
      <c r="Q11" s="1186"/>
      <c r="R11" s="1196"/>
      <c r="S11" s="1196"/>
      <c r="T11" s="1196"/>
      <c r="U11" s="1196"/>
      <c r="V11" s="1196"/>
      <c r="W11" s="1196"/>
      <c r="X11" s="1196"/>
      <c r="Y11" s="1196"/>
      <c r="Z11" s="1196"/>
      <c r="AA11" s="1196"/>
      <c r="AB11" s="1165"/>
    </row>
    <row r="12" spans="1:28" s="36" customFormat="1" ht="19.5">
      <c r="A12" s="110"/>
      <c r="B12" s="37" t="str">
        <f>'TOT-1008'!B14</f>
        <v>Desde el 01 al 31 de octubre de 2008</v>
      </c>
      <c r="C12" s="460"/>
      <c r="D12" s="113"/>
      <c r="E12" s="113"/>
      <c r="F12" s="113"/>
      <c r="G12" s="113"/>
      <c r="H12" s="113"/>
      <c r="I12" s="113"/>
      <c r="J12" s="113"/>
      <c r="K12" s="113"/>
      <c r="L12" s="113"/>
      <c r="M12" s="460"/>
      <c r="N12" s="460"/>
      <c r="O12" s="460"/>
      <c r="P12" s="460"/>
      <c r="Q12" s="460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461"/>
    </row>
    <row r="13" spans="1:28" s="5" customFormat="1" ht="13.5" thickBot="1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5" customFormat="1" ht="16.5" customHeight="1" thickBot="1" thickTop="1">
      <c r="A14" s="90"/>
      <c r="B14" s="95"/>
      <c r="C14" s="90"/>
      <c r="D14" s="462" t="s">
        <v>108</v>
      </c>
      <c r="E14" s="463"/>
      <c r="F14" s="464">
        <v>0.319</v>
      </c>
      <c r="H14" s="90"/>
      <c r="I14" s="90"/>
      <c r="J14" s="90"/>
      <c r="K14" s="90"/>
      <c r="L14" s="90"/>
      <c r="M14" s="90"/>
      <c r="N14" s="9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s="5" customFormat="1" ht="16.5" customHeight="1" thickBot="1" thickTop="1">
      <c r="A15" s="90"/>
      <c r="B15" s="95"/>
      <c r="C15" s="90"/>
      <c r="D15" s="111" t="s">
        <v>27</v>
      </c>
      <c r="E15" s="112"/>
      <c r="F15" s="1146">
        <v>200</v>
      </c>
      <c r="G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99"/>
      <c r="V15" s="99"/>
      <c r="W15" s="99"/>
      <c r="X15" s="99"/>
      <c r="Y15" s="99"/>
      <c r="Z15" s="99"/>
      <c r="AA15" s="90"/>
      <c r="AB15" s="17"/>
    </row>
    <row r="16" spans="1:28" s="5" customFormat="1" ht="16.5" customHeight="1" thickBot="1" thickTop="1">
      <c r="A16" s="90"/>
      <c r="B16" s="95"/>
      <c r="C16" s="90"/>
      <c r="D16" s="15"/>
      <c r="E16" s="15"/>
      <c r="F16" s="15"/>
      <c r="G16" s="10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33.75" customHeight="1" thickBot="1" thickTop="1">
      <c r="A17" s="90"/>
      <c r="B17" s="95"/>
      <c r="C17" s="124" t="s">
        <v>13</v>
      </c>
      <c r="D17" s="120" t="s">
        <v>28</v>
      </c>
      <c r="E17" s="119" t="s">
        <v>29</v>
      </c>
      <c r="F17" s="121" t="s">
        <v>30</v>
      </c>
      <c r="G17" s="122" t="s">
        <v>14</v>
      </c>
      <c r="H17" s="130" t="s">
        <v>16</v>
      </c>
      <c r="I17" s="119" t="s">
        <v>17</v>
      </c>
      <c r="J17" s="119" t="s">
        <v>18</v>
      </c>
      <c r="K17" s="120" t="s">
        <v>31</v>
      </c>
      <c r="L17" s="120" t="s">
        <v>32</v>
      </c>
      <c r="M17" s="88" t="s">
        <v>19</v>
      </c>
      <c r="N17" s="88" t="s">
        <v>65</v>
      </c>
      <c r="O17" s="123" t="s">
        <v>33</v>
      </c>
      <c r="P17" s="119" t="s">
        <v>34</v>
      </c>
      <c r="Q17" s="465" t="s">
        <v>38</v>
      </c>
      <c r="R17" s="466" t="s">
        <v>20</v>
      </c>
      <c r="S17" s="467" t="s">
        <v>21</v>
      </c>
      <c r="T17" s="419" t="s">
        <v>109</v>
      </c>
      <c r="U17" s="421"/>
      <c r="V17" s="468" t="s">
        <v>110</v>
      </c>
      <c r="W17" s="469"/>
      <c r="X17" s="470" t="s">
        <v>22</v>
      </c>
      <c r="Y17" s="471" t="s">
        <v>105</v>
      </c>
      <c r="Z17" s="133" t="s">
        <v>106</v>
      </c>
      <c r="AA17" s="122" t="s">
        <v>25</v>
      </c>
      <c r="AB17" s="17"/>
    </row>
    <row r="18" spans="1:28" s="5" customFormat="1" ht="16.5" customHeight="1" thickTop="1">
      <c r="A18" s="90"/>
      <c r="B18" s="95"/>
      <c r="C18" s="472"/>
      <c r="D18" s="472"/>
      <c r="E18" s="472"/>
      <c r="F18" s="472"/>
      <c r="G18" s="473"/>
      <c r="H18" s="474"/>
      <c r="I18" s="472"/>
      <c r="J18" s="472"/>
      <c r="K18" s="472"/>
      <c r="L18" s="472"/>
      <c r="M18" s="472"/>
      <c r="N18" s="382"/>
      <c r="O18" s="475"/>
      <c r="P18" s="472"/>
      <c r="Q18" s="476"/>
      <c r="R18" s="477"/>
      <c r="S18" s="478"/>
      <c r="T18" s="479"/>
      <c r="U18" s="480"/>
      <c r="V18" s="481"/>
      <c r="W18" s="482"/>
      <c r="X18" s="483"/>
      <c r="Y18" s="484"/>
      <c r="Z18" s="475"/>
      <c r="AA18" s="485"/>
      <c r="AB18" s="17"/>
    </row>
    <row r="19" spans="1:28" s="5" customFormat="1" ht="16.5" customHeight="1">
      <c r="A19" s="90"/>
      <c r="B19" s="95"/>
      <c r="C19" s="486"/>
      <c r="D19" s="486"/>
      <c r="E19" s="486"/>
      <c r="F19" s="486"/>
      <c r="G19" s="487"/>
      <c r="H19" s="488"/>
      <c r="I19" s="486"/>
      <c r="J19" s="486"/>
      <c r="K19" s="486"/>
      <c r="L19" s="486"/>
      <c r="M19" s="486"/>
      <c r="N19" s="385"/>
      <c r="O19" s="489"/>
      <c r="P19" s="486"/>
      <c r="Q19" s="490"/>
      <c r="R19" s="491"/>
      <c r="S19" s="492"/>
      <c r="T19" s="493"/>
      <c r="U19" s="494"/>
      <c r="V19" s="495"/>
      <c r="W19" s="496"/>
      <c r="X19" s="497"/>
      <c r="Y19" s="498"/>
      <c r="Z19" s="489"/>
      <c r="AA19" s="499"/>
      <c r="AB19" s="17"/>
    </row>
    <row r="20" spans="1:28" s="5" customFormat="1" ht="16.5" customHeight="1">
      <c r="A20" s="90"/>
      <c r="B20" s="95"/>
      <c r="C20" s="354">
        <v>100</v>
      </c>
      <c r="D20" s="348" t="s">
        <v>404</v>
      </c>
      <c r="E20" s="500" t="s">
        <v>405</v>
      </c>
      <c r="F20" s="501">
        <v>300</v>
      </c>
      <c r="G20" s="502" t="s">
        <v>179</v>
      </c>
      <c r="H20" s="503">
        <f aca="true" t="shared" si="0" ref="H20:H39">F20*$F$14</f>
        <v>95.7</v>
      </c>
      <c r="I20" s="355">
        <v>39750.23333333333</v>
      </c>
      <c r="J20" s="355">
        <v>39750.54375</v>
      </c>
      <c r="K20" s="504">
        <f aca="true" t="shared" si="1" ref="K20:K39">IF(D20="","",(J20-I20)*24)</f>
        <v>7.4500000000116415</v>
      </c>
      <c r="L20" s="14">
        <f aca="true" t="shared" si="2" ref="L20:L39">IF(D20="","",ROUND((J20-I20)*24*60,0))</f>
        <v>447</v>
      </c>
      <c r="M20" s="356" t="s">
        <v>292</v>
      </c>
      <c r="N20" s="432" t="str">
        <f aca="true" t="shared" si="3" ref="N20:N39">IF(D20="","","--")</f>
        <v>--</v>
      </c>
      <c r="O20" s="353" t="str">
        <f>IF(D20="","",IF(OR(M20="P",M20="RP"),"--","NO"))</f>
        <v>--</v>
      </c>
      <c r="P20" s="352" t="str">
        <f aca="true" t="shared" si="4" ref="P20:P39">IF(D20="","","NO")</f>
        <v>NO</v>
      </c>
      <c r="Q20" s="564">
        <f aca="true" t="shared" si="5" ref="Q20:Q39">$F$15*IF(OR(M20="P",M20="RP"),0.1,1)*IF(P20="SI",1,0.1)</f>
        <v>2</v>
      </c>
      <c r="R20" s="546">
        <f aca="true" t="shared" si="6" ref="R20:R39">IF(M20="P",H20*Q20*ROUND(L20/60,2),"--")</f>
        <v>1425.93</v>
      </c>
      <c r="S20" s="547" t="str">
        <f aca="true" t="shared" si="7" ref="S20:S39">IF(M20="RP",H20*Q20*N20/100*ROUND(L20/60,2),"--")</f>
        <v>--</v>
      </c>
      <c r="T20" s="548" t="str">
        <f aca="true" t="shared" si="8" ref="T20:T39">IF(AND(M20="F",O20="NO"),H20*Q20,"--")</f>
        <v>--</v>
      </c>
      <c r="U20" s="549" t="str">
        <f aca="true" t="shared" si="9" ref="U20:U39">IF(M20="F",H20*Q20*ROUND(L20/60,2),"--")</f>
        <v>--</v>
      </c>
      <c r="V20" s="550" t="str">
        <f aca="true" t="shared" si="10" ref="V20:V39">IF(AND(M20="R",O20="NO"),H20*Q20*N20/100,"--")</f>
        <v>--</v>
      </c>
      <c r="W20" s="551" t="str">
        <f aca="true" t="shared" si="11" ref="W20:W39">IF(M20="R",H20*Q20*N20/100*ROUND(L20/60,2),"--")</f>
        <v>--</v>
      </c>
      <c r="X20" s="552" t="str">
        <f aca="true" t="shared" si="12" ref="X20:X39">IF(M20="RF",H20*Q20*ROUND(L20/60,2),"--")</f>
        <v>--</v>
      </c>
      <c r="Y20" s="553" t="str">
        <f aca="true" t="shared" si="13" ref="Y20:Y39">IF(M20="RR",H20*Q20*N20/100*ROUND(L20/60,2),"--")</f>
        <v>--</v>
      </c>
      <c r="Z20" s="358" t="s">
        <v>289</v>
      </c>
      <c r="AA20" s="515">
        <f aca="true" t="shared" si="14" ref="AA20:AA39">IF(D20="","",SUM(R20:Y20)*IF(Z20="SI",1,2)*IF(AND(N22&lt;&gt;"--",M22="RF"),N22/100,1))</f>
        <v>1425.93</v>
      </c>
      <c r="AB20" s="17"/>
    </row>
    <row r="21" spans="1:28" s="5" customFormat="1" ht="16.5" customHeight="1">
      <c r="A21" s="90"/>
      <c r="B21" s="95"/>
      <c r="C21" s="486">
        <v>101</v>
      </c>
      <c r="D21" s="348" t="s">
        <v>404</v>
      </c>
      <c r="E21" s="500" t="s">
        <v>405</v>
      </c>
      <c r="F21" s="501">
        <v>300</v>
      </c>
      <c r="G21" s="502" t="s">
        <v>179</v>
      </c>
      <c r="H21" s="503">
        <f t="shared" si="0"/>
        <v>95.7</v>
      </c>
      <c r="I21" s="355">
        <v>39751.23402777778</v>
      </c>
      <c r="J21" s="355">
        <v>39751.53958333333</v>
      </c>
      <c r="K21" s="504">
        <f t="shared" si="1"/>
        <v>7.333333333313931</v>
      </c>
      <c r="L21" s="14">
        <f t="shared" si="2"/>
        <v>440</v>
      </c>
      <c r="M21" s="356" t="s">
        <v>292</v>
      </c>
      <c r="N21" s="432" t="str">
        <f t="shared" si="3"/>
        <v>--</v>
      </c>
      <c r="O21" s="353" t="str">
        <f aca="true" t="shared" si="15" ref="O21:O39">IF(D21="","",IF(M21="P","--","NO"))</f>
        <v>--</v>
      </c>
      <c r="P21" s="352" t="str">
        <f t="shared" si="4"/>
        <v>NO</v>
      </c>
      <c r="Q21" s="564">
        <f t="shared" si="5"/>
        <v>2</v>
      </c>
      <c r="R21" s="546">
        <f t="shared" si="6"/>
        <v>1402.962</v>
      </c>
      <c r="S21" s="547" t="str">
        <f t="shared" si="7"/>
        <v>--</v>
      </c>
      <c r="T21" s="548" t="str">
        <f t="shared" si="8"/>
        <v>--</v>
      </c>
      <c r="U21" s="549" t="str">
        <f t="shared" si="9"/>
        <v>--</v>
      </c>
      <c r="V21" s="550" t="str">
        <f t="shared" si="10"/>
        <v>--</v>
      </c>
      <c r="W21" s="551" t="str">
        <f t="shared" si="11"/>
        <v>--</v>
      </c>
      <c r="X21" s="552" t="str">
        <f t="shared" si="12"/>
        <v>--</v>
      </c>
      <c r="Y21" s="553" t="str">
        <f t="shared" si="13"/>
        <v>--</v>
      </c>
      <c r="Z21" s="358" t="s">
        <v>289</v>
      </c>
      <c r="AA21" s="515">
        <f t="shared" si="14"/>
        <v>1402.962</v>
      </c>
      <c r="AB21" s="17"/>
    </row>
    <row r="22" spans="1:28" s="5" customFormat="1" ht="16.5" customHeight="1">
      <c r="A22" s="90"/>
      <c r="B22" s="95"/>
      <c r="C22" s="354">
        <v>102</v>
      </c>
      <c r="D22" s="348" t="s">
        <v>404</v>
      </c>
      <c r="E22" s="500" t="s">
        <v>405</v>
      </c>
      <c r="F22" s="501">
        <v>300</v>
      </c>
      <c r="G22" s="502" t="s">
        <v>179</v>
      </c>
      <c r="H22" s="503">
        <f t="shared" si="0"/>
        <v>95.7</v>
      </c>
      <c r="I22" s="355">
        <v>39752.22430555556</v>
      </c>
      <c r="J22" s="355">
        <v>39752.55694444444</v>
      </c>
      <c r="K22" s="504">
        <f t="shared" si="1"/>
        <v>7.983333333162591</v>
      </c>
      <c r="L22" s="14">
        <f t="shared" si="2"/>
        <v>479</v>
      </c>
      <c r="M22" s="356" t="s">
        <v>292</v>
      </c>
      <c r="N22" s="432" t="str">
        <f t="shared" si="3"/>
        <v>--</v>
      </c>
      <c r="O22" s="353" t="str">
        <f t="shared" si="15"/>
        <v>--</v>
      </c>
      <c r="P22" s="352" t="str">
        <f t="shared" si="4"/>
        <v>NO</v>
      </c>
      <c r="Q22" s="564">
        <f t="shared" si="5"/>
        <v>2</v>
      </c>
      <c r="R22" s="546">
        <f t="shared" si="6"/>
        <v>1527.372</v>
      </c>
      <c r="S22" s="547" t="str">
        <f t="shared" si="7"/>
        <v>--</v>
      </c>
      <c r="T22" s="548" t="str">
        <f t="shared" si="8"/>
        <v>--</v>
      </c>
      <c r="U22" s="549" t="str">
        <f t="shared" si="9"/>
        <v>--</v>
      </c>
      <c r="V22" s="550" t="str">
        <f t="shared" si="10"/>
        <v>--</v>
      </c>
      <c r="W22" s="551" t="str">
        <f t="shared" si="11"/>
        <v>--</v>
      </c>
      <c r="X22" s="552" t="str">
        <f t="shared" si="12"/>
        <v>--</v>
      </c>
      <c r="Y22" s="553" t="str">
        <f t="shared" si="13"/>
        <v>--</v>
      </c>
      <c r="Z22" s="358" t="s">
        <v>289</v>
      </c>
      <c r="AA22" s="515">
        <f t="shared" si="14"/>
        <v>1527.372</v>
      </c>
      <c r="AB22" s="17"/>
    </row>
    <row r="23" spans="1:28" s="5" customFormat="1" ht="16.5" customHeight="1">
      <c r="A23" s="90"/>
      <c r="B23" s="95"/>
      <c r="C23" s="486"/>
      <c r="D23" s="348"/>
      <c r="E23" s="500"/>
      <c r="F23" s="501"/>
      <c r="G23" s="502"/>
      <c r="H23" s="503">
        <f t="shared" si="0"/>
        <v>0</v>
      </c>
      <c r="I23" s="355"/>
      <c r="J23" s="355"/>
      <c r="K23" s="504">
        <f t="shared" si="1"/>
      </c>
      <c r="L23" s="14">
        <f t="shared" si="2"/>
      </c>
      <c r="M23" s="356"/>
      <c r="N23" s="432">
        <f t="shared" si="3"/>
      </c>
      <c r="O23" s="353">
        <f t="shared" si="15"/>
      </c>
      <c r="P23" s="352">
        <f t="shared" si="4"/>
      </c>
      <c r="Q23" s="564">
        <f t="shared" si="5"/>
        <v>20</v>
      </c>
      <c r="R23" s="546" t="str">
        <f t="shared" si="6"/>
        <v>--</v>
      </c>
      <c r="S23" s="547" t="str">
        <f t="shared" si="7"/>
        <v>--</v>
      </c>
      <c r="T23" s="548" t="str">
        <f t="shared" si="8"/>
        <v>--</v>
      </c>
      <c r="U23" s="549" t="str">
        <f t="shared" si="9"/>
        <v>--</v>
      </c>
      <c r="V23" s="550" t="str">
        <f t="shared" si="10"/>
        <v>--</v>
      </c>
      <c r="W23" s="551" t="str">
        <f t="shared" si="11"/>
        <v>--</v>
      </c>
      <c r="X23" s="552" t="str">
        <f t="shared" si="12"/>
        <v>--</v>
      </c>
      <c r="Y23" s="553" t="str">
        <f t="shared" si="13"/>
        <v>--</v>
      </c>
      <c r="Z23" s="358">
        <f aca="true" t="shared" si="16" ref="Z23:Z39">IF(D23="","","SI")</f>
      </c>
      <c r="AA23" s="515">
        <f t="shared" si="14"/>
      </c>
      <c r="AB23" s="17"/>
    </row>
    <row r="24" spans="1:28" s="5" customFormat="1" ht="16.5" customHeight="1">
      <c r="A24" s="90"/>
      <c r="B24" s="95"/>
      <c r="C24" s="354"/>
      <c r="D24" s="348"/>
      <c r="E24" s="500"/>
      <c r="F24" s="501"/>
      <c r="G24" s="502"/>
      <c r="H24" s="503">
        <f t="shared" si="0"/>
        <v>0</v>
      </c>
      <c r="I24" s="355"/>
      <c r="J24" s="355"/>
      <c r="K24" s="504">
        <f t="shared" si="1"/>
      </c>
      <c r="L24" s="14">
        <f t="shared" si="2"/>
      </c>
      <c r="M24" s="356"/>
      <c r="N24" s="432">
        <f t="shared" si="3"/>
      </c>
      <c r="O24" s="353">
        <f t="shared" si="15"/>
      </c>
      <c r="P24" s="352">
        <f t="shared" si="4"/>
      </c>
      <c r="Q24" s="564">
        <f t="shared" si="5"/>
        <v>20</v>
      </c>
      <c r="R24" s="546" t="str">
        <f t="shared" si="6"/>
        <v>--</v>
      </c>
      <c r="S24" s="547" t="str">
        <f t="shared" si="7"/>
        <v>--</v>
      </c>
      <c r="T24" s="548" t="str">
        <f t="shared" si="8"/>
        <v>--</v>
      </c>
      <c r="U24" s="549" t="str">
        <f t="shared" si="9"/>
        <v>--</v>
      </c>
      <c r="V24" s="550" t="str">
        <f t="shared" si="10"/>
        <v>--</v>
      </c>
      <c r="W24" s="551" t="str">
        <f t="shared" si="11"/>
        <v>--</v>
      </c>
      <c r="X24" s="552" t="str">
        <f t="shared" si="12"/>
        <v>--</v>
      </c>
      <c r="Y24" s="553" t="str">
        <f t="shared" si="13"/>
        <v>--</v>
      </c>
      <c r="Z24" s="358">
        <f t="shared" si="16"/>
      </c>
      <c r="AA24" s="515">
        <f t="shared" si="14"/>
      </c>
      <c r="AB24" s="17"/>
    </row>
    <row r="25" spans="1:28" s="5" customFormat="1" ht="16.5" customHeight="1">
      <c r="A25" s="90"/>
      <c r="B25" s="95"/>
      <c r="C25" s="486"/>
      <c r="D25" s="348"/>
      <c r="E25" s="500"/>
      <c r="F25" s="501"/>
      <c r="G25" s="502"/>
      <c r="H25" s="503">
        <f t="shared" si="0"/>
        <v>0</v>
      </c>
      <c r="I25" s="355"/>
      <c r="J25" s="355"/>
      <c r="K25" s="504">
        <f t="shared" si="1"/>
      </c>
      <c r="L25" s="14">
        <f t="shared" si="2"/>
      </c>
      <c r="M25" s="356"/>
      <c r="N25" s="432">
        <f t="shared" si="3"/>
      </c>
      <c r="O25" s="353">
        <f t="shared" si="15"/>
      </c>
      <c r="P25" s="352">
        <f t="shared" si="4"/>
      </c>
      <c r="Q25" s="564">
        <f t="shared" si="5"/>
        <v>20</v>
      </c>
      <c r="R25" s="546" t="str">
        <f t="shared" si="6"/>
        <v>--</v>
      </c>
      <c r="S25" s="547" t="str">
        <f t="shared" si="7"/>
        <v>--</v>
      </c>
      <c r="T25" s="548" t="str">
        <f t="shared" si="8"/>
        <v>--</v>
      </c>
      <c r="U25" s="549" t="str">
        <f t="shared" si="9"/>
        <v>--</v>
      </c>
      <c r="V25" s="550" t="str">
        <f t="shared" si="10"/>
        <v>--</v>
      </c>
      <c r="W25" s="551" t="str">
        <f t="shared" si="11"/>
        <v>--</v>
      </c>
      <c r="X25" s="552" t="str">
        <f t="shared" si="12"/>
        <v>--</v>
      </c>
      <c r="Y25" s="553" t="str">
        <f t="shared" si="13"/>
        <v>--</v>
      </c>
      <c r="Z25" s="358">
        <f t="shared" si="16"/>
      </c>
      <c r="AA25" s="515">
        <f t="shared" si="14"/>
      </c>
      <c r="AB25" s="17"/>
    </row>
    <row r="26" spans="1:29" s="5" customFormat="1" ht="16.5" customHeight="1">
      <c r="A26" s="90"/>
      <c r="B26" s="95"/>
      <c r="C26" s="354"/>
      <c r="D26" s="348"/>
      <c r="E26" s="500"/>
      <c r="F26" s="501"/>
      <c r="G26" s="502"/>
      <c r="H26" s="503">
        <f t="shared" si="0"/>
        <v>0</v>
      </c>
      <c r="I26" s="355"/>
      <c r="J26" s="355"/>
      <c r="K26" s="504">
        <f t="shared" si="1"/>
      </c>
      <c r="L26" s="14">
        <f t="shared" si="2"/>
      </c>
      <c r="M26" s="356"/>
      <c r="N26" s="432">
        <f t="shared" si="3"/>
      </c>
      <c r="O26" s="353">
        <f t="shared" si="15"/>
      </c>
      <c r="P26" s="352">
        <f t="shared" si="4"/>
      </c>
      <c r="Q26" s="564">
        <f t="shared" si="5"/>
        <v>20</v>
      </c>
      <c r="R26" s="546" t="str">
        <f t="shared" si="6"/>
        <v>--</v>
      </c>
      <c r="S26" s="547" t="str">
        <f t="shared" si="7"/>
        <v>--</v>
      </c>
      <c r="T26" s="548" t="str">
        <f t="shared" si="8"/>
        <v>--</v>
      </c>
      <c r="U26" s="549" t="str">
        <f t="shared" si="9"/>
        <v>--</v>
      </c>
      <c r="V26" s="550" t="str">
        <f t="shared" si="10"/>
        <v>--</v>
      </c>
      <c r="W26" s="551" t="str">
        <f t="shared" si="11"/>
        <v>--</v>
      </c>
      <c r="X26" s="552" t="str">
        <f t="shared" si="12"/>
        <v>--</v>
      </c>
      <c r="Y26" s="553" t="str">
        <f t="shared" si="13"/>
        <v>--</v>
      </c>
      <c r="Z26" s="358">
        <f t="shared" si="16"/>
      </c>
      <c r="AA26" s="515">
        <f t="shared" si="14"/>
      </c>
      <c r="AB26" s="17"/>
      <c r="AC26" s="15"/>
    </row>
    <row r="27" spans="1:28" s="5" customFormat="1" ht="16.5" customHeight="1">
      <c r="A27" s="90"/>
      <c r="B27" s="95"/>
      <c r="C27" s="486"/>
      <c r="D27" s="348"/>
      <c r="E27" s="500"/>
      <c r="F27" s="501"/>
      <c r="G27" s="502"/>
      <c r="H27" s="503">
        <f t="shared" si="0"/>
        <v>0</v>
      </c>
      <c r="I27" s="355"/>
      <c r="J27" s="355"/>
      <c r="K27" s="504">
        <f t="shared" si="1"/>
      </c>
      <c r="L27" s="14">
        <f t="shared" si="2"/>
      </c>
      <c r="M27" s="356"/>
      <c r="N27" s="432">
        <f t="shared" si="3"/>
      </c>
      <c r="O27" s="353">
        <f t="shared" si="15"/>
      </c>
      <c r="P27" s="352">
        <f t="shared" si="4"/>
      </c>
      <c r="Q27" s="564">
        <f t="shared" si="5"/>
        <v>20</v>
      </c>
      <c r="R27" s="546" t="str">
        <f t="shared" si="6"/>
        <v>--</v>
      </c>
      <c r="S27" s="547" t="str">
        <f t="shared" si="7"/>
        <v>--</v>
      </c>
      <c r="T27" s="548" t="str">
        <f t="shared" si="8"/>
        <v>--</v>
      </c>
      <c r="U27" s="549" t="str">
        <f t="shared" si="9"/>
        <v>--</v>
      </c>
      <c r="V27" s="550" t="str">
        <f t="shared" si="10"/>
        <v>--</v>
      </c>
      <c r="W27" s="551" t="str">
        <f t="shared" si="11"/>
        <v>--</v>
      </c>
      <c r="X27" s="552" t="str">
        <f t="shared" si="12"/>
        <v>--</v>
      </c>
      <c r="Y27" s="553" t="str">
        <f t="shared" si="13"/>
        <v>--</v>
      </c>
      <c r="Z27" s="358">
        <f t="shared" si="16"/>
      </c>
      <c r="AA27" s="515">
        <f t="shared" si="14"/>
      </c>
      <c r="AB27" s="17"/>
    </row>
    <row r="28" spans="1:28" s="5" customFormat="1" ht="16.5" customHeight="1">
      <c r="A28" s="90"/>
      <c r="B28" s="95"/>
      <c r="C28" s="354"/>
      <c r="D28" s="348"/>
      <c r="E28" s="500"/>
      <c r="F28" s="501"/>
      <c r="G28" s="502"/>
      <c r="H28" s="503">
        <f t="shared" si="0"/>
        <v>0</v>
      </c>
      <c r="I28" s="355"/>
      <c r="J28" s="355"/>
      <c r="K28" s="504">
        <f t="shared" si="1"/>
      </c>
      <c r="L28" s="14">
        <f t="shared" si="2"/>
      </c>
      <c r="M28" s="356"/>
      <c r="N28" s="432">
        <f t="shared" si="3"/>
      </c>
      <c r="O28" s="353">
        <f t="shared" si="15"/>
      </c>
      <c r="P28" s="352">
        <f t="shared" si="4"/>
      </c>
      <c r="Q28" s="564">
        <f t="shared" si="5"/>
        <v>20</v>
      </c>
      <c r="R28" s="546" t="str">
        <f t="shared" si="6"/>
        <v>--</v>
      </c>
      <c r="S28" s="547" t="str">
        <f t="shared" si="7"/>
        <v>--</v>
      </c>
      <c r="T28" s="548" t="str">
        <f t="shared" si="8"/>
        <v>--</v>
      </c>
      <c r="U28" s="549" t="str">
        <f t="shared" si="9"/>
        <v>--</v>
      </c>
      <c r="V28" s="550" t="str">
        <f t="shared" si="10"/>
        <v>--</v>
      </c>
      <c r="W28" s="551" t="str">
        <f t="shared" si="11"/>
        <v>--</v>
      </c>
      <c r="X28" s="552" t="str">
        <f t="shared" si="12"/>
        <v>--</v>
      </c>
      <c r="Y28" s="553" t="str">
        <f t="shared" si="13"/>
        <v>--</v>
      </c>
      <c r="Z28" s="358">
        <f t="shared" si="16"/>
      </c>
      <c r="AA28" s="515">
        <f t="shared" si="14"/>
      </c>
      <c r="AB28" s="17"/>
    </row>
    <row r="29" spans="1:28" s="5" customFormat="1" ht="16.5" customHeight="1">
      <c r="A29" s="90"/>
      <c r="B29" s="95"/>
      <c r="C29" s="486"/>
      <c r="D29" s="348"/>
      <c r="E29" s="500"/>
      <c r="F29" s="501"/>
      <c r="G29" s="502"/>
      <c r="H29" s="503">
        <f t="shared" si="0"/>
        <v>0</v>
      </c>
      <c r="I29" s="355"/>
      <c r="J29" s="355"/>
      <c r="K29" s="504">
        <f t="shared" si="1"/>
      </c>
      <c r="L29" s="14">
        <f t="shared" si="2"/>
      </c>
      <c r="M29" s="356"/>
      <c r="N29" s="432">
        <f t="shared" si="3"/>
      </c>
      <c r="O29" s="353">
        <f t="shared" si="15"/>
      </c>
      <c r="P29" s="352">
        <f t="shared" si="4"/>
      </c>
      <c r="Q29" s="564">
        <f t="shared" si="5"/>
        <v>20</v>
      </c>
      <c r="R29" s="546" t="str">
        <f t="shared" si="6"/>
        <v>--</v>
      </c>
      <c r="S29" s="547" t="str">
        <f t="shared" si="7"/>
        <v>--</v>
      </c>
      <c r="T29" s="548" t="str">
        <f t="shared" si="8"/>
        <v>--</v>
      </c>
      <c r="U29" s="549" t="str">
        <f t="shared" si="9"/>
        <v>--</v>
      </c>
      <c r="V29" s="550" t="str">
        <f t="shared" si="10"/>
        <v>--</v>
      </c>
      <c r="W29" s="551" t="str">
        <f t="shared" si="11"/>
        <v>--</v>
      </c>
      <c r="X29" s="552" t="str">
        <f t="shared" si="12"/>
        <v>--</v>
      </c>
      <c r="Y29" s="553" t="str">
        <f t="shared" si="13"/>
        <v>--</v>
      </c>
      <c r="Z29" s="358">
        <f t="shared" si="16"/>
      </c>
      <c r="AA29" s="515">
        <f t="shared" si="14"/>
      </c>
      <c r="AB29" s="17"/>
    </row>
    <row r="30" spans="1:28" s="5" customFormat="1" ht="16.5" customHeight="1">
      <c r="A30" s="90"/>
      <c r="B30" s="95"/>
      <c r="C30" s="354"/>
      <c r="D30" s="348"/>
      <c r="E30" s="516"/>
      <c r="F30" s="501"/>
      <c r="G30" s="502"/>
      <c r="H30" s="503">
        <f t="shared" si="0"/>
        <v>0</v>
      </c>
      <c r="I30" s="355"/>
      <c r="J30" s="355"/>
      <c r="K30" s="504">
        <f t="shared" si="1"/>
      </c>
      <c r="L30" s="14">
        <f t="shared" si="2"/>
      </c>
      <c r="M30" s="356"/>
      <c r="N30" s="432">
        <f t="shared" si="3"/>
      </c>
      <c r="O30" s="353">
        <f t="shared" si="15"/>
      </c>
      <c r="P30" s="352">
        <f t="shared" si="4"/>
      </c>
      <c r="Q30" s="564">
        <f t="shared" si="5"/>
        <v>20</v>
      </c>
      <c r="R30" s="546" t="str">
        <f t="shared" si="6"/>
        <v>--</v>
      </c>
      <c r="S30" s="547" t="str">
        <f t="shared" si="7"/>
        <v>--</v>
      </c>
      <c r="T30" s="548" t="str">
        <f t="shared" si="8"/>
        <v>--</v>
      </c>
      <c r="U30" s="549" t="str">
        <f t="shared" si="9"/>
        <v>--</v>
      </c>
      <c r="V30" s="550" t="str">
        <f t="shared" si="10"/>
        <v>--</v>
      </c>
      <c r="W30" s="551" t="str">
        <f t="shared" si="11"/>
        <v>--</v>
      </c>
      <c r="X30" s="552" t="str">
        <f t="shared" si="12"/>
        <v>--</v>
      </c>
      <c r="Y30" s="553" t="str">
        <f t="shared" si="13"/>
        <v>--</v>
      </c>
      <c r="Z30" s="358">
        <f t="shared" si="16"/>
      </c>
      <c r="AA30" s="515">
        <f t="shared" si="14"/>
      </c>
      <c r="AB30" s="17"/>
    </row>
    <row r="31" spans="1:28" s="5" customFormat="1" ht="16.5" customHeight="1">
      <c r="A31" s="90"/>
      <c r="B31" s="95"/>
      <c r="C31" s="486"/>
      <c r="D31" s="348"/>
      <c r="E31" s="516"/>
      <c r="F31" s="501"/>
      <c r="G31" s="502"/>
      <c r="H31" s="503">
        <f t="shared" si="0"/>
        <v>0</v>
      </c>
      <c r="I31" s="355"/>
      <c r="J31" s="355"/>
      <c r="K31" s="504">
        <f t="shared" si="1"/>
      </c>
      <c r="L31" s="14">
        <f t="shared" si="2"/>
      </c>
      <c r="M31" s="356"/>
      <c r="N31" s="432">
        <f t="shared" si="3"/>
      </c>
      <c r="O31" s="353">
        <f t="shared" si="15"/>
      </c>
      <c r="P31" s="352">
        <f t="shared" si="4"/>
      </c>
      <c r="Q31" s="564">
        <f t="shared" si="5"/>
        <v>20</v>
      </c>
      <c r="R31" s="546" t="str">
        <f t="shared" si="6"/>
        <v>--</v>
      </c>
      <c r="S31" s="547" t="str">
        <f t="shared" si="7"/>
        <v>--</v>
      </c>
      <c r="T31" s="548" t="str">
        <f t="shared" si="8"/>
        <v>--</v>
      </c>
      <c r="U31" s="549" t="str">
        <f t="shared" si="9"/>
        <v>--</v>
      </c>
      <c r="V31" s="550" t="str">
        <f t="shared" si="10"/>
        <v>--</v>
      </c>
      <c r="W31" s="551" t="str">
        <f t="shared" si="11"/>
        <v>--</v>
      </c>
      <c r="X31" s="552" t="str">
        <f t="shared" si="12"/>
        <v>--</v>
      </c>
      <c r="Y31" s="553" t="str">
        <f t="shared" si="13"/>
        <v>--</v>
      </c>
      <c r="Z31" s="358">
        <f t="shared" si="16"/>
      </c>
      <c r="AA31" s="515">
        <f t="shared" si="14"/>
      </c>
      <c r="AB31" s="17"/>
    </row>
    <row r="32" spans="1:28" s="5" customFormat="1" ht="16.5" customHeight="1">
      <c r="A32" s="90"/>
      <c r="B32" s="95"/>
      <c r="C32" s="354"/>
      <c r="D32" s="348"/>
      <c r="E32" s="516"/>
      <c r="F32" s="501"/>
      <c r="G32" s="502"/>
      <c r="H32" s="503">
        <f t="shared" si="0"/>
        <v>0</v>
      </c>
      <c r="I32" s="355"/>
      <c r="J32" s="355"/>
      <c r="K32" s="504">
        <f t="shared" si="1"/>
      </c>
      <c r="L32" s="14">
        <f t="shared" si="2"/>
      </c>
      <c r="M32" s="356"/>
      <c r="N32" s="432">
        <f t="shared" si="3"/>
      </c>
      <c r="O32" s="353">
        <f t="shared" si="15"/>
      </c>
      <c r="P32" s="352">
        <f t="shared" si="4"/>
      </c>
      <c r="Q32" s="564">
        <f t="shared" si="5"/>
        <v>20</v>
      </c>
      <c r="R32" s="546" t="str">
        <f t="shared" si="6"/>
        <v>--</v>
      </c>
      <c r="S32" s="547" t="str">
        <f t="shared" si="7"/>
        <v>--</v>
      </c>
      <c r="T32" s="548" t="str">
        <f t="shared" si="8"/>
        <v>--</v>
      </c>
      <c r="U32" s="549" t="str">
        <f t="shared" si="9"/>
        <v>--</v>
      </c>
      <c r="V32" s="550" t="str">
        <f t="shared" si="10"/>
        <v>--</v>
      </c>
      <c r="W32" s="551" t="str">
        <f t="shared" si="11"/>
        <v>--</v>
      </c>
      <c r="X32" s="552" t="str">
        <f t="shared" si="12"/>
        <v>--</v>
      </c>
      <c r="Y32" s="553" t="str">
        <f t="shared" si="13"/>
        <v>--</v>
      </c>
      <c r="Z32" s="358">
        <f t="shared" si="16"/>
      </c>
      <c r="AA32" s="515">
        <f t="shared" si="14"/>
      </c>
      <c r="AB32" s="17"/>
    </row>
    <row r="33" spans="1:28" s="5" customFormat="1" ht="16.5" customHeight="1">
      <c r="A33" s="90"/>
      <c r="B33" s="95"/>
      <c r="C33" s="486"/>
      <c r="D33" s="348"/>
      <c r="E33" s="516"/>
      <c r="F33" s="501"/>
      <c r="G33" s="502"/>
      <c r="H33" s="503">
        <f t="shared" si="0"/>
        <v>0</v>
      </c>
      <c r="I33" s="355"/>
      <c r="J33" s="355"/>
      <c r="K33" s="504">
        <f t="shared" si="1"/>
      </c>
      <c r="L33" s="14">
        <f t="shared" si="2"/>
      </c>
      <c r="M33" s="356"/>
      <c r="N33" s="432">
        <f t="shared" si="3"/>
      </c>
      <c r="O33" s="353">
        <f t="shared" si="15"/>
      </c>
      <c r="P33" s="352">
        <f t="shared" si="4"/>
      </c>
      <c r="Q33" s="564">
        <f t="shared" si="5"/>
        <v>20</v>
      </c>
      <c r="R33" s="546" t="str">
        <f t="shared" si="6"/>
        <v>--</v>
      </c>
      <c r="S33" s="547" t="str">
        <f t="shared" si="7"/>
        <v>--</v>
      </c>
      <c r="T33" s="548" t="str">
        <f t="shared" si="8"/>
        <v>--</v>
      </c>
      <c r="U33" s="549" t="str">
        <f t="shared" si="9"/>
        <v>--</v>
      </c>
      <c r="V33" s="550" t="str">
        <f t="shared" si="10"/>
        <v>--</v>
      </c>
      <c r="W33" s="551" t="str">
        <f t="shared" si="11"/>
        <v>--</v>
      </c>
      <c r="X33" s="552" t="str">
        <f t="shared" si="12"/>
        <v>--</v>
      </c>
      <c r="Y33" s="553" t="str">
        <f t="shared" si="13"/>
        <v>--</v>
      </c>
      <c r="Z33" s="358">
        <f t="shared" si="16"/>
      </c>
      <c r="AA33" s="515">
        <f t="shared" si="14"/>
      </c>
      <c r="AB33" s="17"/>
    </row>
    <row r="34" spans="1:28" s="5" customFormat="1" ht="16.5" customHeight="1">
      <c r="A34" s="90"/>
      <c r="B34" s="95"/>
      <c r="C34" s="354"/>
      <c r="D34" s="348"/>
      <c r="E34" s="516"/>
      <c r="F34" s="501"/>
      <c r="G34" s="502"/>
      <c r="H34" s="503">
        <f t="shared" si="0"/>
        <v>0</v>
      </c>
      <c r="I34" s="355"/>
      <c r="J34" s="355"/>
      <c r="K34" s="504">
        <f t="shared" si="1"/>
      </c>
      <c r="L34" s="14">
        <f t="shared" si="2"/>
      </c>
      <c r="M34" s="356"/>
      <c r="N34" s="432">
        <f t="shared" si="3"/>
      </c>
      <c r="O34" s="353">
        <f t="shared" si="15"/>
      </c>
      <c r="P34" s="352">
        <f t="shared" si="4"/>
      </c>
      <c r="Q34" s="564">
        <f t="shared" si="5"/>
        <v>20</v>
      </c>
      <c r="R34" s="546" t="str">
        <f t="shared" si="6"/>
        <v>--</v>
      </c>
      <c r="S34" s="547" t="str">
        <f t="shared" si="7"/>
        <v>--</v>
      </c>
      <c r="T34" s="548" t="str">
        <f t="shared" si="8"/>
        <v>--</v>
      </c>
      <c r="U34" s="549" t="str">
        <f t="shared" si="9"/>
        <v>--</v>
      </c>
      <c r="V34" s="550" t="str">
        <f t="shared" si="10"/>
        <v>--</v>
      </c>
      <c r="W34" s="551" t="str">
        <f t="shared" si="11"/>
        <v>--</v>
      </c>
      <c r="X34" s="552" t="str">
        <f t="shared" si="12"/>
        <v>--</v>
      </c>
      <c r="Y34" s="553" t="str">
        <f t="shared" si="13"/>
        <v>--</v>
      </c>
      <c r="Z34" s="358">
        <f t="shared" si="16"/>
      </c>
      <c r="AA34" s="515">
        <f t="shared" si="14"/>
      </c>
      <c r="AB34" s="17"/>
    </row>
    <row r="35" spans="1:28" s="5" customFormat="1" ht="16.5" customHeight="1">
      <c r="A35" s="90"/>
      <c r="B35" s="95"/>
      <c r="C35" s="486"/>
      <c r="D35" s="348"/>
      <c r="E35" s="516"/>
      <c r="F35" s="501"/>
      <c r="G35" s="502"/>
      <c r="H35" s="503">
        <f t="shared" si="0"/>
        <v>0</v>
      </c>
      <c r="I35" s="355"/>
      <c r="J35" s="355"/>
      <c r="K35" s="504">
        <f t="shared" si="1"/>
      </c>
      <c r="L35" s="14">
        <f t="shared" si="2"/>
      </c>
      <c r="M35" s="356"/>
      <c r="N35" s="432">
        <f t="shared" si="3"/>
      </c>
      <c r="O35" s="353">
        <f t="shared" si="15"/>
      </c>
      <c r="P35" s="352">
        <f t="shared" si="4"/>
      </c>
      <c r="Q35" s="564">
        <f t="shared" si="5"/>
        <v>20</v>
      </c>
      <c r="R35" s="546" t="str">
        <f t="shared" si="6"/>
        <v>--</v>
      </c>
      <c r="S35" s="547" t="str">
        <f t="shared" si="7"/>
        <v>--</v>
      </c>
      <c r="T35" s="548" t="str">
        <f t="shared" si="8"/>
        <v>--</v>
      </c>
      <c r="U35" s="549" t="str">
        <f t="shared" si="9"/>
        <v>--</v>
      </c>
      <c r="V35" s="550" t="str">
        <f t="shared" si="10"/>
        <v>--</v>
      </c>
      <c r="W35" s="551" t="str">
        <f t="shared" si="11"/>
        <v>--</v>
      </c>
      <c r="X35" s="552" t="str">
        <f t="shared" si="12"/>
        <v>--</v>
      </c>
      <c r="Y35" s="553" t="str">
        <f t="shared" si="13"/>
        <v>--</v>
      </c>
      <c r="Z35" s="358">
        <f t="shared" si="16"/>
      </c>
      <c r="AA35" s="515">
        <f t="shared" si="14"/>
      </c>
      <c r="AB35" s="17"/>
    </row>
    <row r="36" spans="1:28" s="5" customFormat="1" ht="16.5" customHeight="1">
      <c r="A36" s="90"/>
      <c r="B36" s="95"/>
      <c r="C36" s="354"/>
      <c r="D36" s="348"/>
      <c r="E36" s="516"/>
      <c r="F36" s="501"/>
      <c r="G36" s="502"/>
      <c r="H36" s="503">
        <f t="shared" si="0"/>
        <v>0</v>
      </c>
      <c r="I36" s="355"/>
      <c r="J36" s="355"/>
      <c r="K36" s="504">
        <f t="shared" si="1"/>
      </c>
      <c r="L36" s="14">
        <f t="shared" si="2"/>
      </c>
      <c r="M36" s="356"/>
      <c r="N36" s="432">
        <f t="shared" si="3"/>
      </c>
      <c r="O36" s="353">
        <f t="shared" si="15"/>
      </c>
      <c r="P36" s="352">
        <f t="shared" si="4"/>
      </c>
      <c r="Q36" s="564">
        <f t="shared" si="5"/>
        <v>20</v>
      </c>
      <c r="R36" s="546" t="str">
        <f t="shared" si="6"/>
        <v>--</v>
      </c>
      <c r="S36" s="547" t="str">
        <f t="shared" si="7"/>
        <v>--</v>
      </c>
      <c r="T36" s="548" t="str">
        <f t="shared" si="8"/>
        <v>--</v>
      </c>
      <c r="U36" s="549" t="str">
        <f t="shared" si="9"/>
        <v>--</v>
      </c>
      <c r="V36" s="550" t="str">
        <f t="shared" si="10"/>
        <v>--</v>
      </c>
      <c r="W36" s="551" t="str">
        <f t="shared" si="11"/>
        <v>--</v>
      </c>
      <c r="X36" s="552" t="str">
        <f t="shared" si="12"/>
        <v>--</v>
      </c>
      <c r="Y36" s="553" t="str">
        <f t="shared" si="13"/>
        <v>--</v>
      </c>
      <c r="Z36" s="358">
        <f t="shared" si="16"/>
      </c>
      <c r="AA36" s="515">
        <f t="shared" si="14"/>
      </c>
      <c r="AB36" s="17"/>
    </row>
    <row r="37" spans="1:28" s="5" customFormat="1" ht="16.5" customHeight="1">
      <c r="A37" s="90"/>
      <c r="B37" s="95"/>
      <c r="C37" s="486"/>
      <c r="D37" s="348"/>
      <c r="E37" s="516"/>
      <c r="F37" s="501"/>
      <c r="G37" s="502"/>
      <c r="H37" s="503">
        <f t="shared" si="0"/>
        <v>0</v>
      </c>
      <c r="I37" s="355"/>
      <c r="J37" s="355"/>
      <c r="K37" s="504">
        <f t="shared" si="1"/>
      </c>
      <c r="L37" s="14">
        <f t="shared" si="2"/>
      </c>
      <c r="M37" s="356"/>
      <c r="N37" s="432">
        <f t="shared" si="3"/>
      </c>
      <c r="O37" s="353">
        <f t="shared" si="15"/>
      </c>
      <c r="P37" s="352">
        <f t="shared" si="4"/>
      </c>
      <c r="Q37" s="564">
        <f t="shared" si="5"/>
        <v>20</v>
      </c>
      <c r="R37" s="546" t="str">
        <f t="shared" si="6"/>
        <v>--</v>
      </c>
      <c r="S37" s="547" t="str">
        <f t="shared" si="7"/>
        <v>--</v>
      </c>
      <c r="T37" s="548" t="str">
        <f t="shared" si="8"/>
        <v>--</v>
      </c>
      <c r="U37" s="549" t="str">
        <f t="shared" si="9"/>
        <v>--</v>
      </c>
      <c r="V37" s="550" t="str">
        <f t="shared" si="10"/>
        <v>--</v>
      </c>
      <c r="W37" s="551" t="str">
        <f t="shared" si="11"/>
        <v>--</v>
      </c>
      <c r="X37" s="552" t="str">
        <f t="shared" si="12"/>
        <v>--</v>
      </c>
      <c r="Y37" s="553" t="str">
        <f t="shared" si="13"/>
        <v>--</v>
      </c>
      <c r="Z37" s="358">
        <f t="shared" si="16"/>
      </c>
      <c r="AA37" s="515">
        <f t="shared" si="14"/>
      </c>
      <c r="AB37" s="17"/>
    </row>
    <row r="38" spans="1:28" s="5" customFormat="1" ht="16.5" customHeight="1">
      <c r="A38" s="90"/>
      <c r="B38" s="95"/>
      <c r="C38" s="354"/>
      <c r="D38" s="348"/>
      <c r="E38" s="516"/>
      <c r="F38" s="501"/>
      <c r="G38" s="502"/>
      <c r="H38" s="503">
        <f t="shared" si="0"/>
        <v>0</v>
      </c>
      <c r="I38" s="355"/>
      <c r="J38" s="355"/>
      <c r="K38" s="504">
        <f t="shared" si="1"/>
      </c>
      <c r="L38" s="14">
        <f t="shared" si="2"/>
      </c>
      <c r="M38" s="356"/>
      <c r="N38" s="432">
        <f t="shared" si="3"/>
      </c>
      <c r="O38" s="353">
        <f t="shared" si="15"/>
      </c>
      <c r="P38" s="352">
        <f t="shared" si="4"/>
      </c>
      <c r="Q38" s="564">
        <f t="shared" si="5"/>
        <v>20</v>
      </c>
      <c r="R38" s="546" t="str">
        <f t="shared" si="6"/>
        <v>--</v>
      </c>
      <c r="S38" s="547" t="str">
        <f t="shared" si="7"/>
        <v>--</v>
      </c>
      <c r="T38" s="548" t="str">
        <f t="shared" si="8"/>
        <v>--</v>
      </c>
      <c r="U38" s="549" t="str">
        <f t="shared" si="9"/>
        <v>--</v>
      </c>
      <c r="V38" s="550" t="str">
        <f t="shared" si="10"/>
        <v>--</v>
      </c>
      <c r="W38" s="551" t="str">
        <f t="shared" si="11"/>
        <v>--</v>
      </c>
      <c r="X38" s="552" t="str">
        <f t="shared" si="12"/>
        <v>--</v>
      </c>
      <c r="Y38" s="553" t="str">
        <f t="shared" si="13"/>
        <v>--</v>
      </c>
      <c r="Z38" s="358">
        <f t="shared" si="16"/>
      </c>
      <c r="AA38" s="515">
        <f t="shared" si="14"/>
      </c>
      <c r="AB38" s="17"/>
    </row>
    <row r="39" spans="1:28" s="5" customFormat="1" ht="16.5" customHeight="1">
      <c r="A39" s="90"/>
      <c r="B39" s="95"/>
      <c r="C39" s="486"/>
      <c r="D39" s="348"/>
      <c r="E39" s="516"/>
      <c r="F39" s="501"/>
      <c r="G39" s="502"/>
      <c r="H39" s="503">
        <f t="shared" si="0"/>
        <v>0</v>
      </c>
      <c r="I39" s="355"/>
      <c r="J39" s="355"/>
      <c r="K39" s="504">
        <f t="shared" si="1"/>
      </c>
      <c r="L39" s="14">
        <f t="shared" si="2"/>
      </c>
      <c r="M39" s="356"/>
      <c r="N39" s="432">
        <f t="shared" si="3"/>
      </c>
      <c r="O39" s="353">
        <f t="shared" si="15"/>
      </c>
      <c r="P39" s="352">
        <f t="shared" si="4"/>
      </c>
      <c r="Q39" s="564">
        <f t="shared" si="5"/>
        <v>20</v>
      </c>
      <c r="R39" s="546" t="str">
        <f t="shared" si="6"/>
        <v>--</v>
      </c>
      <c r="S39" s="547" t="str">
        <f t="shared" si="7"/>
        <v>--</v>
      </c>
      <c r="T39" s="548" t="str">
        <f t="shared" si="8"/>
        <v>--</v>
      </c>
      <c r="U39" s="549" t="str">
        <f t="shared" si="9"/>
        <v>--</v>
      </c>
      <c r="V39" s="550" t="str">
        <f t="shared" si="10"/>
        <v>--</v>
      </c>
      <c r="W39" s="551" t="str">
        <f t="shared" si="11"/>
        <v>--</v>
      </c>
      <c r="X39" s="552" t="str">
        <f t="shared" si="12"/>
        <v>--</v>
      </c>
      <c r="Y39" s="553" t="str">
        <f t="shared" si="13"/>
        <v>--</v>
      </c>
      <c r="Z39" s="358">
        <f t="shared" si="16"/>
      </c>
      <c r="AA39" s="515">
        <f t="shared" si="14"/>
      </c>
      <c r="AB39" s="17"/>
    </row>
    <row r="40" spans="1:28" s="5" customFormat="1" ht="16.5" customHeight="1" thickBot="1">
      <c r="A40" s="90"/>
      <c r="B40" s="95"/>
      <c r="C40" s="354"/>
      <c r="D40" s="517"/>
      <c r="E40" s="518"/>
      <c r="F40" s="517"/>
      <c r="G40" s="519"/>
      <c r="H40" s="132"/>
      <c r="I40" s="357"/>
      <c r="J40" s="520"/>
      <c r="K40" s="521"/>
      <c r="L40" s="522"/>
      <c r="M40" s="362"/>
      <c r="N40" s="394"/>
      <c r="O40" s="360"/>
      <c r="P40" s="362"/>
      <c r="Q40" s="565"/>
      <c r="R40" s="554"/>
      <c r="S40" s="555"/>
      <c r="T40" s="556"/>
      <c r="U40" s="557"/>
      <c r="V40" s="558"/>
      <c r="W40" s="559"/>
      <c r="X40" s="560"/>
      <c r="Y40" s="561"/>
      <c r="Z40" s="562"/>
      <c r="AA40" s="533"/>
      <c r="AB40" s="17"/>
    </row>
    <row r="41" spans="1:28" s="5" customFormat="1" ht="16.5" customHeight="1" thickBot="1" thickTop="1">
      <c r="A41" s="90"/>
      <c r="B41" s="95"/>
      <c r="C41" s="128" t="s">
        <v>26</v>
      </c>
      <c r="D41" s="129" t="s">
        <v>407</v>
      </c>
      <c r="E41" s="15"/>
      <c r="F41" s="15"/>
      <c r="G41" s="15"/>
      <c r="H41" s="15"/>
      <c r="I41" s="15"/>
      <c r="J41" s="99"/>
      <c r="K41" s="15"/>
      <c r="L41" s="15"/>
      <c r="M41" s="15"/>
      <c r="N41" s="15"/>
      <c r="O41" s="15"/>
      <c r="P41" s="15"/>
      <c r="Q41" s="15"/>
      <c r="R41" s="534">
        <f aca="true" t="shared" si="17" ref="R41:Y41">SUM(R18:R40)</f>
        <v>4356.264</v>
      </c>
      <c r="S41" s="535">
        <f t="shared" si="17"/>
        <v>0</v>
      </c>
      <c r="T41" s="536">
        <f t="shared" si="17"/>
        <v>0</v>
      </c>
      <c r="U41" s="537">
        <f t="shared" si="17"/>
        <v>0</v>
      </c>
      <c r="V41" s="538">
        <f t="shared" si="17"/>
        <v>0</v>
      </c>
      <c r="W41" s="539">
        <f t="shared" si="17"/>
        <v>0</v>
      </c>
      <c r="X41" s="540">
        <f t="shared" si="17"/>
        <v>0</v>
      </c>
      <c r="Y41" s="541">
        <f t="shared" si="17"/>
        <v>0</v>
      </c>
      <c r="Z41" s="90"/>
      <c r="AA41" s="542">
        <f>ROUND(SUM(AA18:AA40),2)</f>
        <v>4356.26</v>
      </c>
      <c r="AB41" s="17"/>
    </row>
    <row r="42" spans="1:28" s="5" customFormat="1" ht="16.5" customHeight="1" thickBot="1" thickTop="1">
      <c r="A42" s="90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1:29" ht="16.5" customHeight="1" thickTop="1">
      <c r="A43" s="2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</row>
    <row r="44" spans="1:29" ht="16.5" customHeight="1">
      <c r="A44" s="2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</row>
    <row r="45" spans="1:29" ht="16.5" customHeight="1">
      <c r="A45" s="2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</row>
    <row r="46" spans="1:29" ht="16.5" customHeight="1">
      <c r="A46" s="2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</row>
    <row r="47" spans="4:29" ht="16.5" customHeight="1"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</row>
    <row r="48" spans="4:29" ht="16.5" customHeight="1"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</row>
    <row r="49" spans="4:29" ht="16.5" customHeight="1"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</row>
    <row r="50" spans="4:29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</row>
    <row r="51" spans="4:29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</row>
    <row r="52" spans="4:29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</row>
    <row r="53" spans="4:29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</row>
    <row r="54" spans="4:29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</row>
    <row r="55" spans="4:29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</row>
    <row r="56" spans="4:29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</row>
    <row r="57" spans="4:29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</row>
    <row r="58" spans="4:29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</row>
    <row r="59" spans="4:29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</row>
    <row r="60" spans="4:29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</row>
    <row r="61" spans="4:29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</row>
    <row r="62" spans="4:29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</row>
    <row r="63" spans="4:29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</row>
    <row r="64" spans="4:29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</row>
    <row r="65" spans="4:29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</row>
    <row r="66" spans="4:29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</row>
    <row r="67" spans="4:29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</row>
    <row r="68" spans="4:29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</row>
    <row r="69" spans="4:29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</row>
    <row r="70" spans="4:29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</row>
    <row r="71" spans="4:29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</row>
    <row r="72" spans="4:29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</row>
    <row r="73" spans="4:29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</row>
    <row r="74" spans="4:29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</row>
    <row r="75" spans="4:29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</row>
    <row r="76" spans="4:29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</row>
    <row r="77" spans="4:29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</row>
    <row r="78" spans="4:29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</row>
    <row r="79" spans="4:29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</row>
    <row r="80" spans="4:29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</row>
    <row r="81" spans="4:29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</row>
    <row r="82" spans="4:29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</row>
    <row r="83" spans="4:29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</row>
    <row r="84" spans="4:29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</row>
    <row r="85" spans="4:29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</row>
    <row r="86" spans="4:29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</row>
    <row r="87" spans="4:29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</row>
    <row r="88" spans="4:29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</row>
    <row r="89" spans="4:29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</row>
    <row r="90" spans="4:29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</row>
    <row r="91" spans="4:29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</row>
    <row r="92" spans="4:29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</row>
    <row r="93" spans="4:29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</row>
    <row r="94" spans="4:29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</row>
    <row r="95" spans="4:29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</row>
    <row r="96" spans="4:29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</row>
    <row r="97" spans="4:29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</row>
    <row r="98" spans="4:29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</row>
    <row r="99" spans="4:29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</row>
    <row r="100" spans="4:29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</row>
    <row r="101" spans="4:29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</row>
    <row r="102" spans="4:29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</row>
    <row r="103" spans="4:29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</row>
    <row r="104" spans="4:29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</row>
    <row r="105" spans="4:29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</row>
    <row r="106" spans="4:29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</row>
    <row r="107" spans="4:29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</row>
    <row r="108" spans="4:29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</row>
    <row r="109" spans="4:29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</row>
    <row r="110" spans="4:29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</row>
    <row r="111" spans="4:29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</row>
    <row r="112" spans="4:29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</row>
    <row r="113" spans="4:29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</row>
    <row r="114" spans="4:29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</row>
    <row r="115" spans="4:29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</row>
    <row r="116" spans="4:29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</row>
    <row r="117" spans="4:29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</row>
    <row r="118" spans="4:29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</row>
    <row r="119" spans="4:29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</row>
    <row r="120" spans="4:29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</row>
    <row r="121" spans="4:29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</row>
    <row r="122" spans="4:29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</row>
    <row r="123" spans="4:29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</row>
    <row r="124" spans="4:29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</row>
    <row r="125" spans="4:29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</row>
    <row r="126" spans="4:29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</row>
    <row r="127" spans="4:29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</row>
    <row r="128" spans="4:29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</row>
    <row r="129" spans="4:29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</row>
    <row r="130" spans="4:29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</row>
    <row r="131" spans="4:29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</row>
    <row r="132" spans="4:29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</row>
    <row r="133" spans="4:29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</row>
    <row r="134" spans="4:29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</row>
    <row r="135" spans="4:29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</row>
    <row r="136" spans="4:29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</row>
    <row r="137" spans="4:29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</row>
    <row r="138" spans="4:29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</row>
    <row r="139" spans="4:29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</row>
    <row r="140" spans="4:29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</row>
    <row r="141" spans="4:29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</row>
    <row r="142" spans="4:29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</row>
    <row r="143" spans="4:29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</row>
    <row r="144" spans="4:29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</row>
    <row r="145" spans="4:29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</row>
    <row r="146" spans="4:29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</row>
    <row r="147" spans="4:29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</row>
    <row r="148" spans="4:29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</row>
    <row r="149" spans="4:29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</row>
    <row r="150" spans="4:29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</row>
    <row r="151" ht="16.5" customHeight="1">
      <c r="AC151" s="376"/>
    </row>
    <row r="152" ht="16.5" customHeight="1">
      <c r="AC152" s="376"/>
    </row>
    <row r="153" ht="16.5" customHeight="1">
      <c r="AC153" s="376"/>
    </row>
    <row r="154" ht="16.5" customHeight="1">
      <c r="AC154" s="376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76"/>
  <sheetViews>
    <sheetView zoomScale="50" zoomScaleNormal="50" workbookViewId="0" topLeftCell="A1">
      <selection activeCell="AD65" sqref="AD65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0.14062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140625" style="0" hidden="1" customWidth="1"/>
    <col min="20" max="22" width="8.421875" style="0" hidden="1" customWidth="1"/>
    <col min="23" max="23" width="15.574218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6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773" customFormat="1" ht="30.75">
      <c r="A3" s="770"/>
      <c r="B3" s="771" t="str">
        <f>+'TOT-1008'!B2</f>
        <v>ANEXO V al Memorándum D.T.E.E. N°  366 / 2010        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AB3" s="772"/>
      <c r="AC3" s="772"/>
      <c r="AD3" s="772"/>
    </row>
    <row r="4" spans="1:2" s="25" customFormat="1" ht="11.25">
      <c r="A4" s="1003" t="s">
        <v>2</v>
      </c>
      <c r="B4" s="1004"/>
    </row>
    <row r="5" spans="1:2" s="25" customFormat="1" ht="12" thickBot="1">
      <c r="A5" s="1003" t="s">
        <v>3</v>
      </c>
      <c r="B5" s="1003"/>
    </row>
    <row r="6" spans="1:30" ht="16.5" customHeight="1" thickTop="1">
      <c r="A6" s="5"/>
      <c r="B6" s="69"/>
      <c r="C6" s="70"/>
      <c r="D6" s="70"/>
      <c r="E6" s="39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377"/>
      <c r="X6" s="377"/>
      <c r="Y6" s="377"/>
      <c r="Z6" s="377"/>
      <c r="AA6" s="377"/>
      <c r="AB6" s="377"/>
      <c r="AC6" s="377"/>
      <c r="AD6" s="94"/>
    </row>
    <row r="7" spans="1:30" ht="20.25">
      <c r="A7" s="5"/>
      <c r="B7" s="50"/>
      <c r="C7" s="4"/>
      <c r="D7" s="375" t="s">
        <v>128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375" t="s">
        <v>129</v>
      </c>
      <c r="E9" s="43"/>
      <c r="F9" s="43"/>
      <c r="G9" s="43"/>
      <c r="H9" s="43"/>
      <c r="N9" s="43"/>
      <c r="O9" s="43"/>
      <c r="P9" s="399"/>
      <c r="Q9" s="399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400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375" t="s">
        <v>146</v>
      </c>
      <c r="E11" s="43"/>
      <c r="F11" s="43"/>
      <c r="G11" s="43"/>
      <c r="H11" s="43"/>
      <c r="N11" s="43"/>
      <c r="O11" s="43"/>
      <c r="P11" s="399"/>
      <c r="Q11" s="399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400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'TOT-1008'!B14</f>
        <v>Desde el 01 al 31 de octubre de 2008</v>
      </c>
      <c r="C13" s="38"/>
      <c r="D13" s="40"/>
      <c r="E13" s="40"/>
      <c r="F13" s="40"/>
      <c r="G13" s="40"/>
      <c r="H13" s="40"/>
      <c r="I13" s="41"/>
      <c r="J13" s="37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/>
      <c r="X13" s="774"/>
      <c r="Y13" s="774"/>
      <c r="Z13" s="774"/>
      <c r="AA13" s="774"/>
      <c r="AB13" s="127"/>
      <c r="AC13" s="373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775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363" t="s">
        <v>130</v>
      </c>
      <c r="D17" s="54" t="s">
        <v>131</v>
      </c>
      <c r="E17" s="66"/>
      <c r="F17" s="66"/>
      <c r="G17" s="4"/>
      <c r="H17" s="4"/>
      <c r="I17" s="4"/>
      <c r="J17" s="775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776"/>
      <c r="C18" s="33"/>
      <c r="D18" s="777"/>
      <c r="E18" s="778"/>
      <c r="F18" s="779"/>
      <c r="G18" s="33"/>
      <c r="H18" s="33"/>
      <c r="I18" s="33"/>
      <c r="J18" s="780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781"/>
    </row>
    <row r="19" spans="2:30" s="32" customFormat="1" ht="16.5" customHeight="1">
      <c r="B19" s="776"/>
      <c r="C19" s="33"/>
      <c r="D19" s="782" t="s">
        <v>132</v>
      </c>
      <c r="F19" s="783">
        <v>117.179</v>
      </c>
      <c r="G19" s="782" t="s">
        <v>133</v>
      </c>
      <c r="H19" s="33"/>
      <c r="I19" s="33"/>
      <c r="J19" s="784"/>
      <c r="K19" s="785" t="s">
        <v>41</v>
      </c>
      <c r="L19" s="786">
        <v>0.04</v>
      </c>
      <c r="R19" s="33"/>
      <c r="S19" s="33"/>
      <c r="T19" s="33"/>
      <c r="U19" s="33"/>
      <c r="V19" s="33"/>
      <c r="W19"/>
      <c r="AD19" s="781"/>
    </row>
    <row r="20" spans="2:30" s="32" customFormat="1" ht="16.5" customHeight="1">
      <c r="B20" s="776"/>
      <c r="C20" s="33"/>
      <c r="D20" s="782" t="s">
        <v>147</v>
      </c>
      <c r="F20" s="783">
        <v>0.319</v>
      </c>
      <c r="G20" s="782" t="s">
        <v>148</v>
      </c>
      <c r="H20" s="33"/>
      <c r="I20" s="33"/>
      <c r="J20" s="33"/>
      <c r="K20" s="777" t="s">
        <v>39</v>
      </c>
      <c r="L20" s="33">
        <f>MID(B13,16,2)*24</f>
        <v>744</v>
      </c>
      <c r="M20" s="33" t="s">
        <v>40</v>
      </c>
      <c r="N20" s="33"/>
      <c r="O20" s="33"/>
      <c r="P20" s="1005"/>
      <c r="Q20" s="33"/>
      <c r="R20" s="33"/>
      <c r="S20" s="33"/>
      <c r="T20" s="33"/>
      <c r="U20" s="33"/>
      <c r="V20" s="33"/>
      <c r="W20"/>
      <c r="AD20" s="781"/>
    </row>
    <row r="21" spans="2:30" s="32" customFormat="1" ht="16.5" customHeight="1">
      <c r="B21" s="776"/>
      <c r="C21" s="33"/>
      <c r="D21" s="782" t="s">
        <v>149</v>
      </c>
      <c r="F21" s="783">
        <v>51.126</v>
      </c>
      <c r="G21" s="782" t="s">
        <v>150</v>
      </c>
      <c r="H21" s="33"/>
      <c r="I21" s="33"/>
      <c r="J21" s="33"/>
      <c r="K21" s="411"/>
      <c r="L21" s="412"/>
      <c r="M21" s="33"/>
      <c r="N21" s="33"/>
      <c r="O21" s="33"/>
      <c r="P21" s="1005"/>
      <c r="Q21" s="33"/>
      <c r="R21" s="33"/>
      <c r="S21" s="33"/>
      <c r="T21" s="33"/>
      <c r="U21" s="33"/>
      <c r="V21" s="33"/>
      <c r="W21"/>
      <c r="AD21" s="781"/>
    </row>
    <row r="22" spans="2:30" s="32" customFormat="1" ht="16.5" customHeight="1">
      <c r="B22" s="776"/>
      <c r="C22" s="33"/>
      <c r="D22" s="782" t="s">
        <v>151</v>
      </c>
      <c r="F22" s="783">
        <v>63.904</v>
      </c>
      <c r="G22" s="782" t="s">
        <v>150</v>
      </c>
      <c r="H22" s="33"/>
      <c r="I22" s="33"/>
      <c r="J22" s="33"/>
      <c r="K22" s="411"/>
      <c r="L22" s="412"/>
      <c r="M22" s="33"/>
      <c r="N22" s="33"/>
      <c r="O22" s="33"/>
      <c r="P22" s="1005"/>
      <c r="Q22" s="33"/>
      <c r="R22" s="33"/>
      <c r="S22" s="33"/>
      <c r="T22" s="33"/>
      <c r="U22" s="33"/>
      <c r="V22" s="33"/>
      <c r="W22"/>
      <c r="AD22" s="781"/>
    </row>
    <row r="23" spans="2:30" s="32" customFormat="1" ht="8.25" customHeight="1">
      <c r="B23" s="776"/>
      <c r="C23" s="33"/>
      <c r="D23" s="33"/>
      <c r="E23" s="78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781"/>
    </row>
    <row r="24" spans="1:30" ht="16.5" customHeight="1">
      <c r="A24" s="5"/>
      <c r="B24" s="50"/>
      <c r="C24" s="363" t="s">
        <v>134</v>
      </c>
      <c r="D24" s="3" t="s">
        <v>182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776"/>
      <c r="C26" s="779"/>
      <c r="D26"/>
      <c r="E26"/>
      <c r="F26"/>
      <c r="G26"/>
      <c r="H26"/>
      <c r="I26"/>
      <c r="J26" s="789" t="s">
        <v>46</v>
      </c>
      <c r="K26" s="790">
        <f>L19*AC68</f>
        <v>42106.638006400004</v>
      </c>
      <c r="L26"/>
      <c r="S26"/>
      <c r="T26"/>
      <c r="U26"/>
      <c r="W26"/>
      <c r="AD26" s="781"/>
    </row>
    <row r="27" spans="2:30" s="32" customFormat="1" ht="11.25" customHeight="1" thickTop="1">
      <c r="B27" s="776"/>
      <c r="C27" s="779"/>
      <c r="D27" s="33"/>
      <c r="E27" s="78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781"/>
    </row>
    <row r="28" spans="1:30" ht="16.5" customHeight="1">
      <c r="A28" s="5"/>
      <c r="B28" s="50"/>
      <c r="C28" s="363" t="s">
        <v>135</v>
      </c>
      <c r="D28" s="3" t="s">
        <v>183</v>
      </c>
      <c r="E28" s="4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4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416" t="s">
        <v>0</v>
      </c>
      <c r="E30" s="379" t="s">
        <v>14</v>
      </c>
      <c r="F30" s="87" t="s">
        <v>15</v>
      </c>
      <c r="G30" s="417" t="s">
        <v>103</v>
      </c>
      <c r="H30" s="418" t="s">
        <v>38</v>
      </c>
      <c r="I30" s="136" t="s">
        <v>16</v>
      </c>
      <c r="J30" s="85" t="s">
        <v>17</v>
      </c>
      <c r="K30" s="380" t="s">
        <v>18</v>
      </c>
      <c r="L30" s="88" t="s">
        <v>37</v>
      </c>
      <c r="M30" s="86" t="s">
        <v>32</v>
      </c>
      <c r="N30" s="88" t="s">
        <v>136</v>
      </c>
      <c r="O30" s="88" t="s">
        <v>65</v>
      </c>
      <c r="P30" s="380" t="s">
        <v>66</v>
      </c>
      <c r="Q30" s="85" t="s">
        <v>33</v>
      </c>
      <c r="R30" s="138" t="s">
        <v>20</v>
      </c>
      <c r="S30" s="791" t="s">
        <v>21</v>
      </c>
      <c r="T30" s="792" t="s">
        <v>104</v>
      </c>
      <c r="U30" s="793"/>
      <c r="V30" s="794"/>
      <c r="W30" s="795" t="s">
        <v>137</v>
      </c>
      <c r="X30" s="796"/>
      <c r="Y30" s="797"/>
      <c r="Z30" s="798" t="s">
        <v>22</v>
      </c>
      <c r="AA30" s="799" t="s">
        <v>23</v>
      </c>
      <c r="AB30" s="89" t="s">
        <v>106</v>
      </c>
      <c r="AC30" s="122" t="s">
        <v>25</v>
      </c>
      <c r="AD30" s="424"/>
      <c r="AE30"/>
    </row>
    <row r="31" spans="1:30" ht="16.5" customHeight="1" thickTop="1">
      <c r="A31" s="5"/>
      <c r="B31" s="50"/>
      <c r="C31" s="7"/>
      <c r="D31" s="800"/>
      <c r="E31" s="801"/>
      <c r="F31" s="802"/>
      <c r="G31" s="803"/>
      <c r="H31" s="804"/>
      <c r="I31" s="805"/>
      <c r="J31" s="806"/>
      <c r="K31" s="807"/>
      <c r="L31" s="7"/>
      <c r="M31" s="7"/>
      <c r="N31" s="386"/>
      <c r="O31" s="386"/>
      <c r="P31" s="7"/>
      <c r="Q31" s="383"/>
      <c r="R31" s="808"/>
      <c r="S31" s="809"/>
      <c r="T31" s="810"/>
      <c r="U31" s="811"/>
      <c r="V31" s="812"/>
      <c r="W31" s="813"/>
      <c r="X31" s="814"/>
      <c r="Y31" s="815"/>
      <c r="Z31" s="816"/>
      <c r="AA31" s="817"/>
      <c r="AB31" s="818"/>
      <c r="AC31" s="819"/>
      <c r="AD31" s="17"/>
    </row>
    <row r="32" spans="1:30" ht="16.5" customHeight="1">
      <c r="A32" s="5"/>
      <c r="B32" s="50"/>
      <c r="C32" s="1142" t="s">
        <v>260</v>
      </c>
      <c r="D32" s="7"/>
      <c r="E32" s="743"/>
      <c r="F32" s="820"/>
      <c r="G32" s="821"/>
      <c r="H32" s="822">
        <f>IF(G32="A",200,IF(G32="B",60,20))</f>
        <v>20</v>
      </c>
      <c r="I32" s="823">
        <f>IF(F32&gt;100,F32,100)*$F$19/100</f>
        <v>117.179</v>
      </c>
      <c r="J32" s="824"/>
      <c r="K32" s="744"/>
      <c r="L32" s="825">
        <f>IF(D32="","",(K32-J32)*24)</f>
      </c>
      <c r="M32" s="613">
        <f>IF(D32="","",ROUND((K32-J32)*24*60,0))</f>
      </c>
      <c r="N32" s="826"/>
      <c r="O32" s="827">
        <f>IF(D32="","","--")</f>
      </c>
      <c r="P32" s="433">
        <f>IF(D32="","","NO")</f>
      </c>
      <c r="Q32" s="433">
        <f>IF(D32="","",IF(OR(N32="P",N32="RP"),"--","NO"))</f>
      </c>
      <c r="R32" s="828" t="str">
        <f>IF(N32="P",+I32*H32*ROUND(M32/60,2)/100,"--")</f>
        <v>--</v>
      </c>
      <c r="S32" s="829" t="str">
        <f>IF(N32="RP",I32*H32*ROUND(M32/60,2)*0.01*O32/100,"--")</f>
        <v>--</v>
      </c>
      <c r="T32" s="830" t="str">
        <f>IF(AND(N32="F",Q32="NO"),IF(P32="SI",1.2,1)*I32*H32,"--")</f>
        <v>--</v>
      </c>
      <c r="U32" s="831" t="str">
        <f>IF(AND(M32&gt;10,N32="F"),IF(M32&lt;=300,ROUND(M32/60,2),5)*I32*H32*IF(P32="SI",1.2,1),"--")</f>
        <v>--</v>
      </c>
      <c r="V32" s="832" t="str">
        <f>IF(AND(N32="F",M32&gt;300),IF(P32="SI",1.2,1)*(ROUND(M32/60,2)-5)*I32*H32*0.1,"--")</f>
        <v>--</v>
      </c>
      <c r="W32" s="833" t="str">
        <f>IF(AND(N32="R",Q32="NO"),IF(P32="SI",1.2,1)*I32*H32*O32/100,"--")</f>
        <v>--</v>
      </c>
      <c r="X32" s="834" t="str">
        <f>IF(AND(M32&gt;10,N32="R"),IF(M32&lt;=300,ROUND(M32/60,2),5)*I32*H32*O32/100*IF(P32="SI",1.2,1),"--")</f>
        <v>--</v>
      </c>
      <c r="Y32" s="835" t="str">
        <f>IF(AND(N32="R",M32&gt;300),IF(P32="SI",1.2,1)*(ROUND(M32/60,2)-5)*I32*H32*O32/100*0.1,"--")</f>
        <v>--</v>
      </c>
      <c r="Z32" s="836" t="str">
        <f>IF(N32="RF",IF(P32="SI",1.2,1)*ROUND(M32/60,2)*I32*H32*0.1,"--")</f>
        <v>--</v>
      </c>
      <c r="AA32" s="837" t="str">
        <f>IF(N32="RR",IF(P32="SI",1.2,1)*ROUND(M32/60,2)*I32*H32*O32/100*0.1,"--")</f>
        <v>--</v>
      </c>
      <c r="AB32" s="838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1142" t="s">
        <v>261</v>
      </c>
      <c r="D33" s="7"/>
      <c r="E33" s="743"/>
      <c r="F33" s="820"/>
      <c r="G33" s="821"/>
      <c r="H33" s="822">
        <f>IF(G33="A",200,IF(G33="B",60,20))</f>
        <v>20</v>
      </c>
      <c r="I33" s="823">
        <f>IF(F33&gt;100,F33,100)*$F$19/100</f>
        <v>117.179</v>
      </c>
      <c r="J33" s="824"/>
      <c r="K33" s="744"/>
      <c r="L33" s="825">
        <f>IF(D33="","",(K33-J33)*24)</f>
      </c>
      <c r="M33" s="613">
        <f>IF(D33="","",ROUND((K33-J33)*24*60,0))</f>
      </c>
      <c r="N33" s="826"/>
      <c r="O33" s="827">
        <f>IF(D33="","","--")</f>
      </c>
      <c r="P33" s="433">
        <f>IF(D33="","","NO")</f>
      </c>
      <c r="Q33" s="433">
        <f>IF(D33="","",IF(OR(N33="P",N33="RP"),"--","NO"))</f>
      </c>
      <c r="R33" s="828" t="str">
        <f>IF(N33="P",+I33*H33*ROUND(M33/60,2)/100,"--")</f>
        <v>--</v>
      </c>
      <c r="S33" s="829" t="str">
        <f>IF(N33="RP",I33*H33*ROUND(M33/60,2)*0.01*O33/100,"--")</f>
        <v>--</v>
      </c>
      <c r="T33" s="830" t="str">
        <f>IF(AND(N33="F",Q33="NO"),IF(P33="SI",1.2,1)*I33*H33,"--")</f>
        <v>--</v>
      </c>
      <c r="U33" s="831" t="str">
        <f>IF(AND(M33&gt;10,N33="F"),IF(M33&lt;=300,ROUND(M33/60,2),5)*I33*H33*IF(P33="SI",1.2,1),"--")</f>
        <v>--</v>
      </c>
      <c r="V33" s="832" t="str">
        <f>IF(AND(N33="F",M33&gt;300),IF(P33="SI",1.2,1)*(ROUND(M33/60,2)-5)*I33*H33*0.1,"--")</f>
        <v>--</v>
      </c>
      <c r="W33" s="833" t="str">
        <f>IF(AND(N33="R",Q33="NO"),IF(P33="SI",1.2,1)*I33*H33*O33/100,"--")</f>
        <v>--</v>
      </c>
      <c r="X33" s="834" t="str">
        <f>IF(AND(M33&gt;10,N33="R"),IF(M33&lt;=300,ROUND(M33/60,2),5)*I33*H33*O33/100*IF(P33="SI",1.2,1),"--")</f>
        <v>--</v>
      </c>
      <c r="Y33" s="835" t="str">
        <f>IF(AND(N33="R",M33&gt;300),IF(P33="SI",1.2,1)*(ROUND(M33/60,2)-5)*I33*H33*O33/100*0.1,"--")</f>
        <v>--</v>
      </c>
      <c r="Z33" s="836" t="str">
        <f>IF(N33="RF",IF(P33="SI",1.2,1)*ROUND(M33/60,2)*I33*H33*0.1,"--")</f>
        <v>--</v>
      </c>
      <c r="AA33" s="837" t="str">
        <f>IF(N33="RR",IF(P33="SI",1.2,1)*ROUND(M33/60,2)*I33*H33*O33/100*0.1,"--")</f>
        <v>--</v>
      </c>
      <c r="AB33" s="838">
        <f>IF(D33="","","SI")</f>
      </c>
      <c r="AC33" s="16">
        <f>IF(D33="","",SUM(R33:AA33)*IF(AB33="SI",1,2))</f>
      </c>
      <c r="AD33" s="17"/>
    </row>
    <row r="34" spans="1:30" ht="16.5" customHeight="1" thickBot="1">
      <c r="A34" s="32"/>
      <c r="B34" s="50"/>
      <c r="C34" s="916"/>
      <c r="D34" s="839"/>
      <c r="E34" s="840"/>
      <c r="F34" s="841"/>
      <c r="G34" s="842"/>
      <c r="H34" s="843"/>
      <c r="I34" s="844"/>
      <c r="J34" s="845"/>
      <c r="K34" s="845"/>
      <c r="L34" s="9"/>
      <c r="M34" s="9"/>
      <c r="N34" s="9"/>
      <c r="O34" s="846"/>
      <c r="P34" s="9"/>
      <c r="Q34" s="9"/>
      <c r="R34" s="847"/>
      <c r="S34" s="848"/>
      <c r="T34" s="849"/>
      <c r="U34" s="850"/>
      <c r="V34" s="851"/>
      <c r="W34" s="852"/>
      <c r="X34" s="853"/>
      <c r="Y34" s="854"/>
      <c r="Z34" s="855"/>
      <c r="AA34" s="856"/>
      <c r="AB34" s="857"/>
      <c r="AC34" s="858"/>
      <c r="AD34" s="439"/>
    </row>
    <row r="35" spans="1:30" ht="16.5" customHeight="1" thickBot="1" thickTop="1">
      <c r="A35" s="32"/>
      <c r="B35" s="50"/>
      <c r="C35" s="779"/>
      <c r="D35" s="779"/>
      <c r="E35" s="859"/>
      <c r="F35" s="788"/>
      <c r="G35" s="860"/>
      <c r="H35" s="860"/>
      <c r="I35" s="861"/>
      <c r="J35" s="861"/>
      <c r="K35" s="861"/>
      <c r="L35" s="861"/>
      <c r="M35" s="861"/>
      <c r="N35" s="861"/>
      <c r="O35" s="862"/>
      <c r="P35" s="861"/>
      <c r="Q35" s="861"/>
      <c r="R35" s="863">
        <f aca="true" t="shared" si="0" ref="R35:AA35">SUM(R31:R34)</f>
        <v>0</v>
      </c>
      <c r="S35" s="864">
        <f t="shared" si="0"/>
        <v>0</v>
      </c>
      <c r="T35" s="865">
        <f t="shared" si="0"/>
        <v>0</v>
      </c>
      <c r="U35" s="865">
        <f t="shared" si="0"/>
        <v>0</v>
      </c>
      <c r="V35" s="865">
        <f t="shared" si="0"/>
        <v>0</v>
      </c>
      <c r="W35" s="866">
        <f t="shared" si="0"/>
        <v>0</v>
      </c>
      <c r="X35" s="866">
        <f t="shared" si="0"/>
        <v>0</v>
      </c>
      <c r="Y35" s="866">
        <f t="shared" si="0"/>
        <v>0</v>
      </c>
      <c r="Z35" s="867">
        <f t="shared" si="0"/>
        <v>0</v>
      </c>
      <c r="AA35" s="868">
        <f t="shared" si="0"/>
        <v>0</v>
      </c>
      <c r="AB35" s="869"/>
      <c r="AC35" s="870">
        <f>SUM(AC31:AC34)</f>
        <v>0</v>
      </c>
      <c r="AD35" s="439"/>
    </row>
    <row r="36" spans="1:30" ht="13.5" customHeight="1" thickBot="1" thickTop="1">
      <c r="A36" s="32"/>
      <c r="B36" s="50"/>
      <c r="C36" s="779"/>
      <c r="D36" s="779"/>
      <c r="E36" s="859"/>
      <c r="F36" s="788"/>
      <c r="G36" s="860"/>
      <c r="H36" s="860"/>
      <c r="I36" s="861"/>
      <c r="J36" s="861"/>
      <c r="K36" s="861"/>
      <c r="L36" s="861"/>
      <c r="M36" s="861"/>
      <c r="N36" s="861"/>
      <c r="O36" s="862"/>
      <c r="P36" s="861"/>
      <c r="Q36" s="861"/>
      <c r="R36" s="871"/>
      <c r="S36" s="872"/>
      <c r="T36" s="873"/>
      <c r="U36" s="873"/>
      <c r="V36" s="873"/>
      <c r="W36" s="871"/>
      <c r="X36" s="871"/>
      <c r="Y36" s="871"/>
      <c r="Z36" s="871"/>
      <c r="AA36" s="871"/>
      <c r="AB36" s="874"/>
      <c r="AC36" s="875"/>
      <c r="AD36" s="439"/>
    </row>
    <row r="37" spans="1:33" s="5" customFormat="1" ht="33.75" customHeight="1" thickBot="1" thickTop="1">
      <c r="A37" s="90"/>
      <c r="B37" s="95"/>
      <c r="C37" s="124" t="s">
        <v>13</v>
      </c>
      <c r="D37" s="120" t="s">
        <v>28</v>
      </c>
      <c r="E37" s="119" t="s">
        <v>29</v>
      </c>
      <c r="F37" s="121" t="s">
        <v>30</v>
      </c>
      <c r="G37" s="122" t="s">
        <v>14</v>
      </c>
      <c r="H37" s="130" t="s">
        <v>16</v>
      </c>
      <c r="I37" s="876"/>
      <c r="J37" s="119" t="s">
        <v>17</v>
      </c>
      <c r="K37" s="119" t="s">
        <v>18</v>
      </c>
      <c r="L37" s="120" t="s">
        <v>31</v>
      </c>
      <c r="M37" s="120" t="s">
        <v>32</v>
      </c>
      <c r="N37" s="88" t="s">
        <v>138</v>
      </c>
      <c r="O37" s="119" t="s">
        <v>33</v>
      </c>
      <c r="P37" s="877" t="s">
        <v>34</v>
      </c>
      <c r="Q37" s="878"/>
      <c r="R37" s="130" t="s">
        <v>35</v>
      </c>
      <c r="S37" s="879" t="s">
        <v>20</v>
      </c>
      <c r="T37" s="880" t="s">
        <v>139</v>
      </c>
      <c r="U37" s="881"/>
      <c r="V37" s="882" t="s">
        <v>22</v>
      </c>
      <c r="W37" s="883"/>
      <c r="X37" s="884"/>
      <c r="Y37" s="884"/>
      <c r="Z37" s="884"/>
      <c r="AA37" s="885"/>
      <c r="AB37" s="133" t="s">
        <v>106</v>
      </c>
      <c r="AC37" s="122" t="s">
        <v>25</v>
      </c>
      <c r="AD37" s="17"/>
      <c r="AF37"/>
      <c r="AG37"/>
    </row>
    <row r="38" spans="1:30" ht="16.5" customHeight="1" thickTop="1">
      <c r="A38" s="5"/>
      <c r="B38" s="50"/>
      <c r="C38" s="7"/>
      <c r="D38" s="10"/>
      <c r="E38" s="10"/>
      <c r="F38" s="10"/>
      <c r="G38" s="886"/>
      <c r="H38" s="887"/>
      <c r="I38" s="888"/>
      <c r="J38" s="10"/>
      <c r="K38" s="10"/>
      <c r="L38" s="10"/>
      <c r="M38" s="10"/>
      <c r="N38" s="10"/>
      <c r="O38" s="889"/>
      <c r="P38" s="890"/>
      <c r="Q38" s="891"/>
      <c r="R38" s="134"/>
      <c r="S38" s="892"/>
      <c r="T38" s="893"/>
      <c r="U38" s="894"/>
      <c r="V38" s="895"/>
      <c r="W38" s="896"/>
      <c r="X38" s="897"/>
      <c r="Y38" s="897"/>
      <c r="Z38" s="897"/>
      <c r="AA38" s="898"/>
      <c r="AB38" s="889"/>
      <c r="AC38" s="899"/>
      <c r="AD38" s="17"/>
    </row>
    <row r="39" spans="1:30" ht="16.5" customHeight="1">
      <c r="A39" s="5"/>
      <c r="B39" s="50"/>
      <c r="C39" s="1142" t="s">
        <v>260</v>
      </c>
      <c r="D39" s="900" t="s">
        <v>388</v>
      </c>
      <c r="E39" s="901" t="s">
        <v>389</v>
      </c>
      <c r="F39" s="902">
        <v>80</v>
      </c>
      <c r="G39" s="903"/>
      <c r="H39" s="904">
        <f>F39*$F$20</f>
        <v>25.52</v>
      </c>
      <c r="I39" s="905"/>
      <c r="J39" s="906">
        <v>39746.1625</v>
      </c>
      <c r="K39" s="906">
        <v>39746.29375</v>
      </c>
      <c r="L39" s="504">
        <f>IF(D39="","",(K39-J39)*24)</f>
        <v>3.1499999999650754</v>
      </c>
      <c r="M39" s="14">
        <f>IF(D39="","",(K39-J39)*24*60)</f>
        <v>188.99999999790452</v>
      </c>
      <c r="N39" s="13" t="s">
        <v>325</v>
      </c>
      <c r="O39" s="8" t="str">
        <f>IF(D39="","",IF(OR(N39="P",N39="RP"),"--","NO"))</f>
        <v>NO</v>
      </c>
      <c r="P39" s="907" t="str">
        <f>IF(D39="","","NO")</f>
        <v>NO</v>
      </c>
      <c r="Q39" s="908"/>
      <c r="R39" s="909">
        <f>200*IF(P39="SI",1,0.1)*IF(N39="P",0.1,1)</f>
        <v>20</v>
      </c>
      <c r="S39" s="910" t="str">
        <f>IF(N39="P",H39*R39*ROUND(M39/60,2),"--")</f>
        <v>--</v>
      </c>
      <c r="T39" s="911">
        <f>IF(AND(N39="F",O39="NO"),H39*R39,"--")</f>
        <v>510.4</v>
      </c>
      <c r="U39" s="912">
        <f>IF(N39="F",H39*R39*ROUND(M39/60,2),"--")</f>
        <v>1607.76</v>
      </c>
      <c r="V39" s="607" t="str">
        <f>IF(N39="RF",H39*R39*ROUND(M39/60,2),"--")</f>
        <v>--</v>
      </c>
      <c r="W39" s="913"/>
      <c r="X39" s="914"/>
      <c r="Y39" s="914"/>
      <c r="Z39" s="914"/>
      <c r="AA39" s="915"/>
      <c r="AB39" s="514" t="str">
        <f>IF(D39="","","SI")</f>
        <v>SI</v>
      </c>
      <c r="AC39" s="515">
        <f>IF(D39="","",SUM(S39:V39)*IF(AB39="SI",1,2))</f>
        <v>2118.16</v>
      </c>
      <c r="AD39" s="17"/>
    </row>
    <row r="40" spans="1:30" ht="16.5" customHeight="1">
      <c r="A40" s="5"/>
      <c r="B40" s="50"/>
      <c r="C40" s="1142" t="s">
        <v>261</v>
      </c>
      <c r="D40" s="900" t="s">
        <v>388</v>
      </c>
      <c r="E40" s="901" t="s">
        <v>389</v>
      </c>
      <c r="F40" s="902">
        <v>80</v>
      </c>
      <c r="G40" s="903"/>
      <c r="H40" s="904">
        <f>F40*$F$20</f>
        <v>25.52</v>
      </c>
      <c r="I40" s="905"/>
      <c r="J40" s="906">
        <v>39748.35138888889</v>
      </c>
      <c r="K40" s="906">
        <v>39748.64791666667</v>
      </c>
      <c r="L40" s="504">
        <f>IF(D40="","",(K40-J40)*24)</f>
        <v>7.116666666639503</v>
      </c>
      <c r="M40" s="14">
        <f>IF(D40="","",(K40-J40)*24*60)</f>
        <v>426.9999999983702</v>
      </c>
      <c r="N40" s="13" t="s">
        <v>292</v>
      </c>
      <c r="O40" s="8" t="str">
        <f>IF(D40="","",IF(OR(N40="P",N40="RP"),"--","NO"))</f>
        <v>--</v>
      </c>
      <c r="P40" s="907" t="str">
        <f>IF(D40="","","NO")</f>
        <v>NO</v>
      </c>
      <c r="Q40" s="908"/>
      <c r="R40" s="909">
        <f>200*IF(P40="SI",1,0.1)*IF(N40="P",0.1,1)</f>
        <v>2</v>
      </c>
      <c r="S40" s="910">
        <f>IF(N40="P",H40*R40*ROUND(M40/60,2),"--")</f>
        <v>363.4048</v>
      </c>
      <c r="T40" s="911" t="str">
        <f>IF(AND(N40="F",O40="NO"),H40*R40,"--")</f>
        <v>--</v>
      </c>
      <c r="U40" s="912" t="str">
        <f>IF(N40="F",H40*R40*ROUND(M40/60,2),"--")</f>
        <v>--</v>
      </c>
      <c r="V40" s="607" t="str">
        <f>IF(N40="RF",H40*R40*ROUND(M40/60,2),"--")</f>
        <v>--</v>
      </c>
      <c r="W40" s="913"/>
      <c r="X40" s="914"/>
      <c r="Y40" s="914"/>
      <c r="Z40" s="914"/>
      <c r="AA40" s="915"/>
      <c r="AB40" s="514" t="str">
        <f>IF(D40="","","SI")</f>
        <v>SI</v>
      </c>
      <c r="AC40" s="515">
        <f>IF(D40="","",SUM(S40:V40)*IF(AB40="SI",1,2))</f>
        <v>363.4048</v>
      </c>
      <c r="AD40" s="17"/>
    </row>
    <row r="41" spans="1:30" ht="16.5" customHeight="1" thickBot="1">
      <c r="A41" s="32"/>
      <c r="B41" s="50"/>
      <c r="C41" s="916"/>
      <c r="D41" s="917"/>
      <c r="E41" s="918"/>
      <c r="F41" s="919"/>
      <c r="G41" s="920"/>
      <c r="H41" s="921"/>
      <c r="I41" s="922"/>
      <c r="J41" s="923"/>
      <c r="K41" s="924"/>
      <c r="L41" s="925"/>
      <c r="M41" s="926"/>
      <c r="N41" s="927"/>
      <c r="O41" s="9"/>
      <c r="P41" s="928"/>
      <c r="Q41" s="929"/>
      <c r="R41" s="930"/>
      <c r="S41" s="931"/>
      <c r="T41" s="932"/>
      <c r="U41" s="933"/>
      <c r="V41" s="934"/>
      <c r="W41" s="935"/>
      <c r="X41" s="936"/>
      <c r="Y41" s="936"/>
      <c r="Z41" s="936"/>
      <c r="AA41" s="937"/>
      <c r="AB41" s="938"/>
      <c r="AC41" s="939"/>
      <c r="AD41" s="439"/>
    </row>
    <row r="42" spans="1:30" ht="16.5" customHeight="1" thickBot="1" thickTop="1">
      <c r="A42" s="32"/>
      <c r="B42" s="50"/>
      <c r="C42" s="98"/>
      <c r="D42" s="414"/>
      <c r="E42" s="414"/>
      <c r="F42" s="644"/>
      <c r="G42" s="940"/>
      <c r="H42" s="941"/>
      <c r="I42" s="942"/>
      <c r="J42" s="943"/>
      <c r="K42" s="944"/>
      <c r="L42" s="945"/>
      <c r="M42" s="941"/>
      <c r="N42" s="946"/>
      <c r="O42" s="395"/>
      <c r="P42" s="1204"/>
      <c r="Q42" s="1205"/>
      <c r="R42" s="1198"/>
      <c r="S42" s="1198"/>
      <c r="T42" s="1198"/>
      <c r="U42" s="1199"/>
      <c r="V42" s="1199"/>
      <c r="W42" s="1199"/>
      <c r="X42" s="1199"/>
      <c r="Y42" s="1199"/>
      <c r="Z42" s="1199"/>
      <c r="AA42" s="1199"/>
      <c r="AB42" s="1199"/>
      <c r="AC42" s="950">
        <f>SUM(AC38:AC41)</f>
        <v>2481.5648</v>
      </c>
      <c r="AD42" s="439"/>
    </row>
    <row r="43" spans="1:30" ht="13.5" customHeight="1" thickBot="1" thickTop="1">
      <c r="A43" s="32"/>
      <c r="B43" s="50"/>
      <c r="C43" s="779"/>
      <c r="D43" s="779"/>
      <c r="E43" s="859"/>
      <c r="F43" s="788"/>
      <c r="G43" s="860"/>
      <c r="H43" s="860"/>
      <c r="I43" s="861"/>
      <c r="J43" s="861"/>
      <c r="K43" s="861"/>
      <c r="L43" s="861"/>
      <c r="M43" s="861"/>
      <c r="N43" s="861"/>
      <c r="O43" s="862"/>
      <c r="P43" s="1206"/>
      <c r="Q43" s="1206"/>
      <c r="R43" s="1026"/>
      <c r="S43" s="1027"/>
      <c r="T43" s="1028"/>
      <c r="U43" s="1028"/>
      <c r="V43" s="1028"/>
      <c r="W43" s="1026"/>
      <c r="X43" s="1026"/>
      <c r="Y43" s="1026"/>
      <c r="Z43" s="1026"/>
      <c r="AA43" s="1026"/>
      <c r="AB43" s="1207"/>
      <c r="AC43" s="875"/>
      <c r="AD43" s="439"/>
    </row>
    <row r="44" spans="1:33" s="5" customFormat="1" ht="33.75" customHeight="1" thickBot="1" thickTop="1">
      <c r="A44" s="90"/>
      <c r="B44" s="95"/>
      <c r="C44" s="124" t="s">
        <v>13</v>
      </c>
      <c r="D44" s="120" t="s">
        <v>28</v>
      </c>
      <c r="E44" s="119" t="s">
        <v>29</v>
      </c>
      <c r="F44" s="1331" t="s">
        <v>320</v>
      </c>
      <c r="G44" s="1332"/>
      <c r="H44" s="130" t="s">
        <v>16</v>
      </c>
      <c r="I44" s="876"/>
      <c r="J44" s="119" t="s">
        <v>17</v>
      </c>
      <c r="K44" s="119" t="s">
        <v>18</v>
      </c>
      <c r="L44" s="120" t="s">
        <v>31</v>
      </c>
      <c r="M44" s="120" t="s">
        <v>32</v>
      </c>
      <c r="N44" s="88" t="s">
        <v>138</v>
      </c>
      <c r="O44" s="119" t="s">
        <v>33</v>
      </c>
      <c r="P44" s="877" t="s">
        <v>34</v>
      </c>
      <c r="Q44" s="878"/>
      <c r="R44" s="130" t="s">
        <v>35</v>
      </c>
      <c r="S44" s="879" t="s">
        <v>20</v>
      </c>
      <c r="T44" s="880" t="s">
        <v>139</v>
      </c>
      <c r="U44" s="881"/>
      <c r="V44" s="882" t="s">
        <v>22</v>
      </c>
      <c r="W44" s="1200" t="s">
        <v>308</v>
      </c>
      <c r="X44" s="884"/>
      <c r="Y44" s="884"/>
      <c r="Z44" s="884"/>
      <c r="AA44" s="885"/>
      <c r="AB44" s="133" t="s">
        <v>106</v>
      </c>
      <c r="AC44" s="122" t="s">
        <v>25</v>
      </c>
      <c r="AD44" s="17"/>
      <c r="AF44"/>
      <c r="AG44"/>
    </row>
    <row r="45" spans="1:30" ht="16.5" customHeight="1" thickTop="1">
      <c r="A45" s="5"/>
      <c r="B45" s="50"/>
      <c r="C45" s="7"/>
      <c r="D45" s="10"/>
      <c r="E45" s="10"/>
      <c r="F45" s="1333"/>
      <c r="G45" s="1334"/>
      <c r="H45" s="887"/>
      <c r="I45" s="888"/>
      <c r="J45" s="10"/>
      <c r="K45" s="10"/>
      <c r="L45" s="10"/>
      <c r="M45" s="10"/>
      <c r="N45" s="10"/>
      <c r="O45" s="889"/>
      <c r="P45" s="890"/>
      <c r="Q45" s="891"/>
      <c r="R45" s="134"/>
      <c r="S45" s="892"/>
      <c r="T45" s="893"/>
      <c r="U45" s="894"/>
      <c r="V45" s="895"/>
      <c r="W45" s="1201"/>
      <c r="X45" s="897"/>
      <c r="Y45" s="897"/>
      <c r="Z45" s="897"/>
      <c r="AA45" s="898"/>
      <c r="AB45" s="889"/>
      <c r="AC45" s="899"/>
      <c r="AD45" s="17"/>
    </row>
    <row r="46" spans="1:30" ht="15">
      <c r="A46" s="5"/>
      <c r="B46" s="50"/>
      <c r="C46" s="1142" t="s">
        <v>260</v>
      </c>
      <c r="D46" s="900"/>
      <c r="E46" s="901"/>
      <c r="F46" s="1329"/>
      <c r="G46" s="1330"/>
      <c r="H46" s="904">
        <f>F46*$F$20</f>
        <v>0</v>
      </c>
      <c r="I46" s="905"/>
      <c r="J46" s="611"/>
      <c r="K46" s="389"/>
      <c r="L46" s="504">
        <f>IF(D46="","",(K46-J46)*24)</f>
      </c>
      <c r="M46" s="14">
        <f>IF(D46="","",(K46-J46)*24*60)</f>
      </c>
      <c r="N46" s="13"/>
      <c r="O46" s="8">
        <f>IF(D46="","",IF(N46="P","--","NO"))</f>
      </c>
      <c r="P46" s="1325">
        <f>IF(D46="","","--")</f>
      </c>
      <c r="Q46" s="1326"/>
      <c r="R46" s="683">
        <f>IF(OR(N46="P",N46="RP"),20/10,20)</f>
        <v>20</v>
      </c>
      <c r="S46" s="910" t="str">
        <f>IF(N46="P",H46*R46*ROUND(M46/60,2),"--")</f>
        <v>--</v>
      </c>
      <c r="T46" s="911" t="str">
        <f>IF(AND(N46="F",O46="NO"),H46*R46,"--")</f>
        <v>--</v>
      </c>
      <c r="U46" s="912" t="str">
        <f>IF(N46="F",H46*R46*ROUND(M46/60,2),"--")</f>
        <v>--</v>
      </c>
      <c r="V46" s="607" t="str">
        <f>IF(N46="RF",H46*R46*ROUND(M46/60,2),"--")</f>
        <v>--</v>
      </c>
      <c r="W46" s="1202" t="str">
        <f>IF(N46="RP",H46*R46*P46/100*ROUND(M46/60,2),"--")</f>
        <v>--</v>
      </c>
      <c r="X46" s="914"/>
      <c r="Y46" s="914"/>
      <c r="Z46" s="914"/>
      <c r="AA46" s="915"/>
      <c r="AB46" s="514">
        <f>IF(D46="","","SI")</f>
      </c>
      <c r="AC46" s="515">
        <f>IF(D46="","",SUM(S46:W46)*IF(AB46="SI",1,2)*IF(AND(P46&lt;&gt;"--",N46="RF"),P46/100,1))</f>
      </c>
      <c r="AD46" s="439"/>
    </row>
    <row r="47" spans="1:30" ht="16.5" customHeight="1">
      <c r="A47" s="5"/>
      <c r="B47" s="50"/>
      <c r="C47" s="1142" t="s">
        <v>261</v>
      </c>
      <c r="D47" s="900"/>
      <c r="E47" s="901"/>
      <c r="F47" s="1329"/>
      <c r="G47" s="1330"/>
      <c r="H47" s="904">
        <f>F47*$F$20</f>
        <v>0</v>
      </c>
      <c r="I47" s="905"/>
      <c r="J47" s="906"/>
      <c r="K47" s="906"/>
      <c r="L47" s="504">
        <f>IF(D47="","",(K47-J47)*24)</f>
      </c>
      <c r="M47" s="14">
        <f>IF(D47="","",(K47-J47)*24*60)</f>
      </c>
      <c r="N47" s="13"/>
      <c r="O47" s="8">
        <f>IF(D47="","",IF(OR(N47="P",N47="RP"),"--","NO"))</f>
      </c>
      <c r="P47" s="907">
        <f>IF(D47="","","NO")</f>
      </c>
      <c r="Q47" s="908"/>
      <c r="R47" s="683">
        <f>IF(OR(N47="P",N47="RP"),20/10,20)</f>
        <v>20</v>
      </c>
      <c r="S47" s="910" t="str">
        <f>IF(N47="P",H47*R47*ROUND(M47/60,2),"--")</f>
        <v>--</v>
      </c>
      <c r="T47" s="911" t="str">
        <f>IF(AND(N47="F",O47="NO"),H47*R47,"--")</f>
        <v>--</v>
      </c>
      <c r="U47" s="912" t="str">
        <f>IF(N47="F",H47*R47*ROUND(M47/60,2),"--")</f>
        <v>--</v>
      </c>
      <c r="V47" s="607" t="str">
        <f>IF(N47="RF",H47*R47*ROUND(M47/60,2),"--")</f>
        <v>--</v>
      </c>
      <c r="W47" s="1202" t="str">
        <f>IF(N47="RP",H47*R47*P47/100*ROUND(M47/60,2),"--")</f>
        <v>--</v>
      </c>
      <c r="X47" s="914"/>
      <c r="Y47" s="914"/>
      <c r="Z47" s="914"/>
      <c r="AA47" s="915"/>
      <c r="AB47" s="514">
        <f>IF(D47="","","SI")</f>
      </c>
      <c r="AC47" s="515">
        <f>IF(D47="","",SUM(S47:V47)*IF(AB47="SI",1,2))</f>
      </c>
      <c r="AD47" s="17"/>
    </row>
    <row r="48" spans="1:30" ht="16.5" customHeight="1">
      <c r="A48" s="5"/>
      <c r="B48" s="50"/>
      <c r="C48" s="1142" t="s">
        <v>262</v>
      </c>
      <c r="D48" s="900"/>
      <c r="E48" s="901"/>
      <c r="F48" s="1329"/>
      <c r="G48" s="1330"/>
      <c r="H48" s="904">
        <f>F48*$F$20</f>
        <v>0</v>
      </c>
      <c r="I48" s="905"/>
      <c r="J48" s="906"/>
      <c r="K48" s="906"/>
      <c r="L48" s="504">
        <f>IF(D48="","",(K48-J48)*24)</f>
      </c>
      <c r="M48" s="14">
        <f>IF(D48="","",(K48-J48)*24*60)</f>
      </c>
      <c r="N48" s="13"/>
      <c r="O48" s="8">
        <f>IF(D48="","",IF(OR(N48="P",N48="RP"),"--","NO"))</f>
      </c>
      <c r="P48" s="907">
        <f>IF(D48="","","NO")</f>
      </c>
      <c r="Q48" s="908"/>
      <c r="R48" s="683">
        <f>IF(OR(N48="P",N48="RP"),20/10,20)</f>
        <v>20</v>
      </c>
      <c r="S48" s="910" t="str">
        <f>IF(N48="P",H48*R48*ROUND(M48/60,2),"--")</f>
        <v>--</v>
      </c>
      <c r="T48" s="911" t="str">
        <f>IF(AND(N48="F",O48="NO"),H48*R48,"--")</f>
        <v>--</v>
      </c>
      <c r="U48" s="912" t="str">
        <f>IF(N48="F",H48*R48*ROUND(M48/60,2),"--")</f>
        <v>--</v>
      </c>
      <c r="V48" s="607" t="str">
        <f>IF(N48="RF",H48*R48*ROUND(M48/60,2),"--")</f>
        <v>--</v>
      </c>
      <c r="W48" s="1202" t="str">
        <f>IF(N48="RP",H48*R48*P48/100*ROUND(M48/60,2),"--")</f>
        <v>--</v>
      </c>
      <c r="X48" s="914"/>
      <c r="Y48" s="914"/>
      <c r="Z48" s="914"/>
      <c r="AA48" s="915"/>
      <c r="AB48" s="514">
        <f>IF(D48="","","SI")</f>
      </c>
      <c r="AC48" s="515">
        <f>IF(D48="","",SUM(S48:V48)*IF(AB48="SI",1,2))</f>
      </c>
      <c r="AD48" s="17"/>
    </row>
    <row r="49" spans="1:30" ht="16.5" customHeight="1">
      <c r="A49" s="5"/>
      <c r="B49" s="50"/>
      <c r="C49" s="1142" t="s">
        <v>263</v>
      </c>
      <c r="D49" s="900"/>
      <c r="E49" s="901"/>
      <c r="F49" s="1329"/>
      <c r="G49" s="1330"/>
      <c r="H49" s="904">
        <f>F49*$F$20</f>
        <v>0</v>
      </c>
      <c r="I49" s="905"/>
      <c r="J49" s="906"/>
      <c r="K49" s="906"/>
      <c r="L49" s="504">
        <f>IF(D49="","",(K49-J49)*24)</f>
      </c>
      <c r="M49" s="14">
        <f>IF(D49="","",(K49-J49)*24*60)</f>
      </c>
      <c r="N49" s="13"/>
      <c r="O49" s="8">
        <f>IF(D49="","",IF(OR(N49="P",N49="RP"),"--","NO"))</f>
      </c>
      <c r="P49" s="907">
        <f>IF(D49="","","NO")</f>
      </c>
      <c r="Q49" s="908"/>
      <c r="R49" s="683">
        <f>IF(OR(N49="P",N49="RP"),20/10,20)</f>
        <v>20</v>
      </c>
      <c r="S49" s="910" t="str">
        <f>IF(N49="P",H49*R49*ROUND(M49/60,2),"--")</f>
        <v>--</v>
      </c>
      <c r="T49" s="911" t="str">
        <f>IF(AND(N49="F",O49="NO"),H49*R49,"--")</f>
        <v>--</v>
      </c>
      <c r="U49" s="912" t="str">
        <f>IF(N49="F",H49*R49*ROUND(M49/60,2),"--")</f>
        <v>--</v>
      </c>
      <c r="V49" s="607" t="str">
        <f>IF(N49="RF",H49*R49*ROUND(M49/60,2),"--")</f>
        <v>--</v>
      </c>
      <c r="W49" s="1202" t="str">
        <f>IF(N49="RP",H49*R49*P49/100*ROUND(M49/60,2),"--")</f>
        <v>--</v>
      </c>
      <c r="X49" s="914"/>
      <c r="Y49" s="914"/>
      <c r="Z49" s="914"/>
      <c r="AA49" s="915"/>
      <c r="AB49" s="514">
        <f>IF(D49="","","SI")</f>
      </c>
      <c r="AC49" s="515">
        <f>IF(D49="","",SUM(S49:V49)*IF(AB49="SI",1,2))</f>
      </c>
      <c r="AD49" s="17"/>
    </row>
    <row r="50" spans="1:30" ht="16.5" customHeight="1">
      <c r="A50" s="5"/>
      <c r="B50" s="50"/>
      <c r="C50" s="1142" t="s">
        <v>264</v>
      </c>
      <c r="D50" s="900"/>
      <c r="E50" s="901"/>
      <c r="F50" s="1329"/>
      <c r="G50" s="1330"/>
      <c r="H50" s="904">
        <f>F50*$F$20</f>
        <v>0</v>
      </c>
      <c r="I50" s="905"/>
      <c r="J50" s="906"/>
      <c r="K50" s="906"/>
      <c r="L50" s="504">
        <f>IF(D50="","",(K50-J50)*24)</f>
      </c>
      <c r="M50" s="14">
        <f>IF(D50="","",(K50-J50)*24*60)</f>
      </c>
      <c r="N50" s="13"/>
      <c r="O50" s="8">
        <f>IF(D50="","",IF(OR(N50="P",N50="RP"),"--","NO"))</f>
      </c>
      <c r="P50" s="907">
        <f>IF(D50="","","NO")</f>
      </c>
      <c r="Q50" s="908"/>
      <c r="R50" s="683">
        <f>IF(OR(N50="P",N50="RP"),20/10,20)</f>
        <v>20</v>
      </c>
      <c r="S50" s="910" t="str">
        <f>IF(N50="P",H50*R50*ROUND(M50/60,2),"--")</f>
        <v>--</v>
      </c>
      <c r="T50" s="911" t="str">
        <f>IF(AND(N50="F",O50="NO"),H50*R50,"--")</f>
        <v>--</v>
      </c>
      <c r="U50" s="912" t="str">
        <f>IF(N50="F",H50*R50*ROUND(M50/60,2),"--")</f>
        <v>--</v>
      </c>
      <c r="V50" s="607" t="str">
        <f>IF(N50="RF",H50*R50*ROUND(M50/60,2),"--")</f>
        <v>--</v>
      </c>
      <c r="W50" s="1202" t="str">
        <f>IF(N50="RP",H50*R50*P50/100*ROUND(M50/60,2),"--")</f>
        <v>--</v>
      </c>
      <c r="X50" s="914"/>
      <c r="Y50" s="914"/>
      <c r="Z50" s="914"/>
      <c r="AA50" s="915"/>
      <c r="AB50" s="514">
        <f>IF(D50="","","SI")</f>
      </c>
      <c r="AC50" s="515">
        <f>IF(D50="","",SUM(S50:V50)*IF(AB50="SI",1,2))</f>
      </c>
      <c r="AD50" s="17"/>
    </row>
    <row r="51" spans="1:30" ht="16.5" customHeight="1" thickBot="1">
      <c r="A51" s="32"/>
      <c r="B51" s="50"/>
      <c r="C51" s="916"/>
      <c r="D51" s="917"/>
      <c r="E51" s="918"/>
      <c r="F51" s="1327"/>
      <c r="G51" s="1328"/>
      <c r="H51" s="921"/>
      <c r="I51" s="922"/>
      <c r="J51" s="923"/>
      <c r="K51" s="924"/>
      <c r="L51" s="925"/>
      <c r="M51" s="926"/>
      <c r="N51" s="927"/>
      <c r="O51" s="9"/>
      <c r="P51" s="928"/>
      <c r="Q51" s="929"/>
      <c r="R51" s="930"/>
      <c r="S51" s="931"/>
      <c r="T51" s="932"/>
      <c r="U51" s="933"/>
      <c r="V51" s="934"/>
      <c r="W51" s="1208"/>
      <c r="X51" s="936"/>
      <c r="Y51" s="936"/>
      <c r="Z51" s="936"/>
      <c r="AA51" s="937"/>
      <c r="AB51" s="938"/>
      <c r="AC51" s="939"/>
      <c r="AD51" s="439"/>
    </row>
    <row r="52" spans="1:30" ht="16.5" customHeight="1" thickBot="1" thickTop="1">
      <c r="A52" s="32"/>
      <c r="B52" s="50"/>
      <c r="C52" s="98"/>
      <c r="D52" s="414"/>
      <c r="E52" s="414"/>
      <c r="F52" s="644"/>
      <c r="G52" s="940"/>
      <c r="H52" s="941"/>
      <c r="I52" s="942"/>
      <c r="J52" s="943"/>
      <c r="K52" s="944"/>
      <c r="L52" s="945"/>
      <c r="M52" s="941"/>
      <c r="N52" s="946"/>
      <c r="O52" s="395"/>
      <c r="P52" s="947"/>
      <c r="Q52" s="948"/>
      <c r="R52" s="949"/>
      <c r="S52" s="949"/>
      <c r="T52" s="949"/>
      <c r="U52" s="396"/>
      <c r="V52" s="396"/>
      <c r="W52" s="396"/>
      <c r="X52" s="396"/>
      <c r="Y52" s="396"/>
      <c r="Z52" s="396"/>
      <c r="AA52" s="396"/>
      <c r="AB52" s="396"/>
      <c r="AC52" s="950">
        <f>SUM(AC45:AC51)</f>
        <v>0</v>
      </c>
      <c r="AD52" s="439"/>
    </row>
    <row r="53" spans="1:30" ht="16.5" customHeight="1" thickBot="1" thickTop="1">
      <c r="A53" s="32"/>
      <c r="B53" s="50"/>
      <c r="C53" s="98"/>
      <c r="D53" s="414"/>
      <c r="E53" s="414"/>
      <c r="F53" s="644"/>
      <c r="G53" s="940"/>
      <c r="H53" s="941"/>
      <c r="I53" s="942"/>
      <c r="J53" s="789" t="s">
        <v>43</v>
      </c>
      <c r="K53" s="790">
        <f>+AC42+AC35+AC52</f>
        <v>2481.5648</v>
      </c>
      <c r="L53" s="945"/>
      <c r="M53" s="941"/>
      <c r="N53" s="951"/>
      <c r="O53" s="952"/>
      <c r="P53" s="947"/>
      <c r="Q53" s="948"/>
      <c r="R53" s="949"/>
      <c r="S53" s="949"/>
      <c r="T53" s="949"/>
      <c r="U53" s="396"/>
      <c r="V53" s="396"/>
      <c r="W53" s="396"/>
      <c r="X53" s="396"/>
      <c r="Y53" s="396"/>
      <c r="Z53" s="396"/>
      <c r="AA53" s="396"/>
      <c r="AB53" s="396"/>
      <c r="AC53" s="953"/>
      <c r="AD53" s="439"/>
    </row>
    <row r="54" spans="1:30" ht="13.5" customHeight="1" thickTop="1">
      <c r="A54" s="32"/>
      <c r="B54" s="776"/>
      <c r="C54" s="779"/>
      <c r="D54" s="954"/>
      <c r="E54" s="955"/>
      <c r="F54" s="956"/>
      <c r="G54" s="957"/>
      <c r="H54" s="957"/>
      <c r="I54" s="955"/>
      <c r="J54" s="739"/>
      <c r="K54" s="739"/>
      <c r="L54" s="955"/>
      <c r="M54" s="955"/>
      <c r="N54" s="955"/>
      <c r="O54" s="958"/>
      <c r="P54" s="955"/>
      <c r="Q54" s="955"/>
      <c r="R54" s="959"/>
      <c r="S54" s="960"/>
      <c r="T54" s="960"/>
      <c r="U54" s="961"/>
      <c r="AC54" s="961"/>
      <c r="AD54" s="962"/>
    </row>
    <row r="55" spans="1:30" ht="16.5" customHeight="1">
      <c r="A55" s="32"/>
      <c r="B55" s="776"/>
      <c r="C55" s="963" t="s">
        <v>140</v>
      </c>
      <c r="D55" s="964" t="s">
        <v>184</v>
      </c>
      <c r="E55" s="955"/>
      <c r="F55" s="956"/>
      <c r="G55" s="957"/>
      <c r="H55" s="957"/>
      <c r="I55" s="955"/>
      <c r="J55" s="739"/>
      <c r="K55" s="739"/>
      <c r="L55" s="955"/>
      <c r="M55" s="955"/>
      <c r="N55" s="955"/>
      <c r="O55" s="958"/>
      <c r="P55" s="955"/>
      <c r="Q55" s="955"/>
      <c r="R55" s="959"/>
      <c r="S55" s="960"/>
      <c r="T55" s="960"/>
      <c r="U55" s="961"/>
      <c r="AC55" s="961"/>
      <c r="AD55" s="962"/>
    </row>
    <row r="56" spans="1:30" ht="16.5" customHeight="1">
      <c r="A56" s="32"/>
      <c r="B56" s="776"/>
      <c r="C56" s="963"/>
      <c r="D56" s="954"/>
      <c r="E56" s="955"/>
      <c r="F56" s="956"/>
      <c r="G56" s="957"/>
      <c r="H56" s="957"/>
      <c r="I56" s="955"/>
      <c r="J56" s="739"/>
      <c r="K56" s="739"/>
      <c r="L56" s="955"/>
      <c r="M56" s="955"/>
      <c r="N56" s="955"/>
      <c r="O56" s="958"/>
      <c r="P56" s="955"/>
      <c r="Q56" s="955"/>
      <c r="R56" s="955"/>
      <c r="S56" s="959"/>
      <c r="T56" s="960"/>
      <c r="AD56" s="962"/>
    </row>
    <row r="57" spans="2:30" s="32" customFormat="1" ht="16.5" customHeight="1">
      <c r="B57" s="776"/>
      <c r="C57" s="779"/>
      <c r="D57" s="965" t="s">
        <v>0</v>
      </c>
      <c r="E57" s="861" t="s">
        <v>141</v>
      </c>
      <c r="F57" s="861" t="s">
        <v>44</v>
      </c>
      <c r="G57" s="966" t="s">
        <v>185</v>
      </c>
      <c r="H57" s="862"/>
      <c r="I57" s="861"/>
      <c r="J57"/>
      <c r="K57"/>
      <c r="L57" s="967" t="s">
        <v>186</v>
      </c>
      <c r="M57"/>
      <c r="N57"/>
      <c r="O57"/>
      <c r="P57"/>
      <c r="Q57" s="970"/>
      <c r="R57" s="970"/>
      <c r="S57" s="33"/>
      <c r="T57"/>
      <c r="U57"/>
      <c r="V57"/>
      <c r="W57"/>
      <c r="X57" s="33"/>
      <c r="Y57" s="33"/>
      <c r="Z57" s="33"/>
      <c r="AA57" s="33"/>
      <c r="AB57" s="33"/>
      <c r="AC57" s="971" t="s">
        <v>188</v>
      </c>
      <c r="AD57" s="962"/>
    </row>
    <row r="58" spans="2:30" s="32" customFormat="1" ht="16.5" customHeight="1">
      <c r="B58" s="776"/>
      <c r="C58" s="779"/>
      <c r="D58" s="861" t="s">
        <v>152</v>
      </c>
      <c r="E58" s="972">
        <v>506</v>
      </c>
      <c r="F58" s="972">
        <v>500</v>
      </c>
      <c r="G58" s="973">
        <f>E58*$F$19*$L$20/100</f>
        <v>441136.75056</v>
      </c>
      <c r="H58" s="973"/>
      <c r="I58" s="973"/>
      <c r="J58" s="373"/>
      <c r="K58"/>
      <c r="L58" s="974">
        <v>426557</v>
      </c>
      <c r="M58" s="373"/>
      <c r="N58" s="975" t="str">
        <f>"(DTE "&amp;DATO!$G$14&amp;DATO!$H$14&amp;")"</f>
        <v>(DTE 1008)</v>
      </c>
      <c r="O58"/>
      <c r="P58"/>
      <c r="Q58" s="970"/>
      <c r="R58" s="970"/>
      <c r="S58" s="33"/>
      <c r="T58"/>
      <c r="U58"/>
      <c r="V58"/>
      <c r="W58"/>
      <c r="X58" s="33"/>
      <c r="Y58" s="33"/>
      <c r="Z58" s="33"/>
      <c r="AA58" s="33"/>
      <c r="AB58" s="976"/>
      <c r="AC58" s="787">
        <f>L58+G58</f>
        <v>867693.7505600001</v>
      </c>
      <c r="AD58" s="962"/>
    </row>
    <row r="59" spans="2:30" s="32" customFormat="1" ht="16.5" customHeight="1">
      <c r="B59" s="776"/>
      <c r="C59" s="779"/>
      <c r="D59" s="977" t="s">
        <v>153</v>
      </c>
      <c r="E59" s="972">
        <v>85</v>
      </c>
      <c r="F59" s="972">
        <v>500</v>
      </c>
      <c r="G59" s="973">
        <f>E59*$F$19*$L$20/100</f>
        <v>74103.9996</v>
      </c>
      <c r="H59" s="977"/>
      <c r="I59" s="978"/>
      <c r="J59" s="373"/>
      <c r="K59"/>
      <c r="L59" s="973">
        <v>4067</v>
      </c>
      <c r="M59" s="373"/>
      <c r="N59" s="975" t="str">
        <f>"(DTE "&amp;DATO!$G$14&amp;DATO!$H$14&amp;")"</f>
        <v>(DTE 1008)</v>
      </c>
      <c r="O59" s="979"/>
      <c r="P59"/>
      <c r="Q59" s="970"/>
      <c r="R59" s="970"/>
      <c r="S59" s="33"/>
      <c r="T59"/>
      <c r="U59"/>
      <c r="V59"/>
      <c r="W59"/>
      <c r="X59" s="33"/>
      <c r="Y59" s="33"/>
      <c r="Z59" s="33"/>
      <c r="AA59" s="33"/>
      <c r="AB59" s="33"/>
      <c r="AC59" s="787">
        <f>L59+G59</f>
        <v>78170.9996</v>
      </c>
      <c r="AD59" s="962"/>
    </row>
    <row r="60" spans="2:30" s="32" customFormat="1" ht="16.5" customHeight="1">
      <c r="B60" s="776"/>
      <c r="C60" s="779"/>
      <c r="E60" s="784"/>
      <c r="F60" s="861"/>
      <c r="G60" s="862"/>
      <c r="H60"/>
      <c r="I60" s="861"/>
      <c r="J60" s="861"/>
      <c r="K60"/>
      <c r="L60" s="787"/>
      <c r="M60" s="969"/>
      <c r="N60" s="969"/>
      <c r="O60" s="970"/>
      <c r="P60" s="970"/>
      <c r="Q60" s="970"/>
      <c r="R60" s="970"/>
      <c r="S60" s="33"/>
      <c r="T60"/>
      <c r="U60"/>
      <c r="V60"/>
      <c r="W60"/>
      <c r="X60" s="33"/>
      <c r="Y60" s="33"/>
      <c r="Z60" s="33"/>
      <c r="AA60" s="33"/>
      <c r="AB60" s="33"/>
      <c r="AC60" s="787"/>
      <c r="AD60" s="962"/>
    </row>
    <row r="61" spans="1:30" ht="16.5" customHeight="1">
      <c r="A61" s="32"/>
      <c r="B61" s="776"/>
      <c r="C61" s="779"/>
      <c r="D61" s="965" t="s">
        <v>154</v>
      </c>
      <c r="E61" s="861" t="s">
        <v>155</v>
      </c>
      <c r="F61" s="861" t="s">
        <v>44</v>
      </c>
      <c r="G61" s="966" t="s">
        <v>189</v>
      </c>
      <c r="I61" s="968"/>
      <c r="J61" s="861"/>
      <c r="L61" s="967" t="s">
        <v>187</v>
      </c>
      <c r="M61" s="968"/>
      <c r="N61" s="969"/>
      <c r="O61" s="970"/>
      <c r="P61" s="970"/>
      <c r="Q61" s="970"/>
      <c r="R61" s="970"/>
      <c r="S61" s="970"/>
      <c r="AC61" s="787"/>
      <c r="AD61" s="962"/>
    </row>
    <row r="62" spans="1:30" ht="16.5" customHeight="1">
      <c r="A62" s="32"/>
      <c r="B62" s="776"/>
      <c r="C62" s="779"/>
      <c r="D62" s="861" t="s">
        <v>156</v>
      </c>
      <c r="E62" s="972">
        <v>300</v>
      </c>
      <c r="F62" s="972" t="s">
        <v>157</v>
      </c>
      <c r="G62" s="973">
        <f>E62*F20*L20</f>
        <v>71200.8</v>
      </c>
      <c r="H62" s="373"/>
      <c r="I62" s="373"/>
      <c r="J62" s="974"/>
      <c r="L62" s="974">
        <v>0</v>
      </c>
      <c r="M62" s="373"/>
      <c r="N62" s="975" t="str">
        <f>"(DTE "&amp;DATO!$G$14&amp;DATO!$H$14&amp;")"</f>
        <v>(DTE 1008)</v>
      </c>
      <c r="O62" s="1006"/>
      <c r="P62" s="1006"/>
      <c r="Q62" s="1006"/>
      <c r="R62" s="1006"/>
      <c r="S62" s="1006"/>
      <c r="AC62" s="1007">
        <f>G62+L62</f>
        <v>71200.8</v>
      </c>
      <c r="AD62" s="962"/>
    </row>
    <row r="63" spans="1:30" ht="16.5" customHeight="1">
      <c r="A63" s="32"/>
      <c r="B63" s="776"/>
      <c r="C63" s="779"/>
      <c r="D63" s="861" t="s">
        <v>158</v>
      </c>
      <c r="E63" s="972">
        <v>150</v>
      </c>
      <c r="F63" s="972" t="s">
        <v>159</v>
      </c>
      <c r="G63" s="973">
        <f>E63*F20*L20</f>
        <v>35600.4</v>
      </c>
      <c r="H63" s="373"/>
      <c r="I63" s="373"/>
      <c r="J63" s="974"/>
      <c r="L63" s="974">
        <v>0</v>
      </c>
      <c r="M63" s="373"/>
      <c r="N63" s="975" t="str">
        <f>"(DTE "&amp;DATO!$G$14&amp;DATO!$H$14&amp;")"</f>
        <v>(DTE 1008)</v>
      </c>
      <c r="O63" s="1006"/>
      <c r="P63" s="1006"/>
      <c r="Q63" s="1006"/>
      <c r="R63" s="1006"/>
      <c r="S63" s="1006"/>
      <c r="AC63" s="1007">
        <f>G63+L63</f>
        <v>35600.4</v>
      </c>
      <c r="AD63" s="962"/>
    </row>
    <row r="64" spans="1:30" ht="16.5" customHeight="1">
      <c r="A64" s="32"/>
      <c r="B64" s="776"/>
      <c r="C64" s="779"/>
      <c r="D64" s="861"/>
      <c r="E64" s="972"/>
      <c r="F64" s="972"/>
      <c r="G64" s="973"/>
      <c r="H64" s="373"/>
      <c r="I64" s="373"/>
      <c r="J64" s="974"/>
      <c r="L64" s="974"/>
      <c r="M64" s="373"/>
      <c r="N64" s="975"/>
      <c r="O64" s="1006"/>
      <c r="P64" s="1006"/>
      <c r="Q64" s="1006"/>
      <c r="R64" s="1006"/>
      <c r="S64" s="1006"/>
      <c r="AC64" s="1007"/>
      <c r="AD64" s="962"/>
    </row>
    <row r="65" spans="1:30" ht="16.5" customHeight="1">
      <c r="A65" s="32"/>
      <c r="B65" s="776"/>
      <c r="C65" s="779"/>
      <c r="D65" s="965" t="s">
        <v>87</v>
      </c>
      <c r="E65" s="978" t="s">
        <v>1</v>
      </c>
      <c r="F65" s="978"/>
      <c r="G65" s="861" t="s">
        <v>44</v>
      </c>
      <c r="I65" s="968"/>
      <c r="J65" s="966" t="s">
        <v>190</v>
      </c>
      <c r="L65" s="967"/>
      <c r="M65" s="968"/>
      <c r="N65" s="969"/>
      <c r="O65" s="970"/>
      <c r="P65" s="970"/>
      <c r="Q65" s="970"/>
      <c r="R65" s="970"/>
      <c r="S65" s="970"/>
      <c r="AC65" s="787"/>
      <c r="AD65" s="962"/>
    </row>
    <row r="66" spans="1:30" ht="16.5" customHeight="1">
      <c r="A66" s="32"/>
      <c r="B66" s="776"/>
      <c r="C66" s="779"/>
      <c r="D66" s="861" t="s">
        <v>160</v>
      </c>
      <c r="E66" s="1008" t="s">
        <v>161</v>
      </c>
      <c r="F66" s="1009"/>
      <c r="G66" s="972">
        <v>132</v>
      </c>
      <c r="H66" s="373"/>
      <c r="I66" s="373"/>
      <c r="J66" s="973">
        <f>0*F21*L20</f>
        <v>0</v>
      </c>
      <c r="L66" s="974"/>
      <c r="M66" s="373"/>
      <c r="N66" s="975"/>
      <c r="O66" s="1006"/>
      <c r="P66" s="1006"/>
      <c r="Q66" s="1006"/>
      <c r="R66" s="1006"/>
      <c r="S66" s="1006"/>
      <c r="AC66" s="1007">
        <f>J66</f>
        <v>0</v>
      </c>
      <c r="AD66" s="962"/>
    </row>
    <row r="67" spans="1:30" ht="16.5" customHeight="1">
      <c r="A67" s="32"/>
      <c r="B67" s="776"/>
      <c r="C67" s="779"/>
      <c r="D67" s="861" t="s">
        <v>162</v>
      </c>
      <c r="E67" s="1008" t="s">
        <v>163</v>
      </c>
      <c r="F67" s="1009"/>
      <c r="G67" s="972">
        <v>500</v>
      </c>
      <c r="H67" s="373"/>
      <c r="I67" s="373"/>
      <c r="J67" s="973">
        <f>F22*L20</f>
        <v>47544.576</v>
      </c>
      <c r="L67" s="974"/>
      <c r="M67" s="373"/>
      <c r="N67" s="975"/>
      <c r="O67" s="1006"/>
      <c r="P67" s="1006"/>
      <c r="Q67" s="1006"/>
      <c r="R67" s="1006"/>
      <c r="S67" s="1006"/>
      <c r="AC67" s="1010">
        <f>J67</f>
        <v>47544.576</v>
      </c>
      <c r="AD67" s="962"/>
    </row>
    <row r="68" spans="1:30" ht="16.5" customHeight="1">
      <c r="A68" s="32"/>
      <c r="B68" s="776"/>
      <c r="C68" s="779"/>
      <c r="D68" s="739"/>
      <c r="E68" s="784"/>
      <c r="F68" s="861"/>
      <c r="G68" s="861"/>
      <c r="H68" s="862"/>
      <c r="J68" s="861"/>
      <c r="L68" s="980"/>
      <c r="M68" s="969"/>
      <c r="N68" s="969"/>
      <c r="O68" s="970"/>
      <c r="P68" s="970"/>
      <c r="Q68" s="970"/>
      <c r="R68" s="970"/>
      <c r="S68" s="970"/>
      <c r="AC68" s="778">
        <f>SUM(AC58:AC66)</f>
        <v>1052665.95016</v>
      </c>
      <c r="AD68" s="962"/>
    </row>
    <row r="69" spans="2:30" ht="16.5" customHeight="1">
      <c r="B69" s="776"/>
      <c r="C69" s="963" t="s">
        <v>142</v>
      </c>
      <c r="D69" s="981" t="s">
        <v>143</v>
      </c>
      <c r="E69" s="861"/>
      <c r="F69" s="982"/>
      <c r="G69" s="860"/>
      <c r="H69" s="739"/>
      <c r="I69" s="739"/>
      <c r="J69" s="739"/>
      <c r="K69" s="861"/>
      <c r="L69" s="861"/>
      <c r="M69" s="739"/>
      <c r="N69" s="861"/>
      <c r="O69" s="739"/>
      <c r="P69" s="739"/>
      <c r="Q69" s="739"/>
      <c r="R69" s="739"/>
      <c r="S69" s="739"/>
      <c r="T69" s="739"/>
      <c r="U69" s="739"/>
      <c r="AC69" s="739"/>
      <c r="AD69" s="962"/>
    </row>
    <row r="70" spans="2:30" s="32" customFormat="1" ht="16.5" customHeight="1">
      <c r="B70" s="776"/>
      <c r="C70" s="779"/>
      <c r="D70" s="965" t="s">
        <v>144</v>
      </c>
      <c r="E70" s="983">
        <f>10*K53*K26/AC68</f>
        <v>992.6259200000001</v>
      </c>
      <c r="G70" s="860"/>
      <c r="L70" s="861"/>
      <c r="N70" s="861"/>
      <c r="O70" s="862"/>
      <c r="V70"/>
      <c r="W70"/>
      <c r="AD70" s="962"/>
    </row>
    <row r="71" spans="2:30" s="32" customFormat="1" ht="16.5" customHeight="1">
      <c r="B71" s="776"/>
      <c r="C71" s="779"/>
      <c r="E71" s="984"/>
      <c r="F71" s="788"/>
      <c r="G71" s="860"/>
      <c r="J71" s="860"/>
      <c r="K71" s="875"/>
      <c r="L71" s="861"/>
      <c r="M71" s="861"/>
      <c r="N71" s="861"/>
      <c r="O71" s="862"/>
      <c r="P71" s="861"/>
      <c r="Q71" s="861"/>
      <c r="R71" s="874"/>
      <c r="S71" s="874"/>
      <c r="T71" s="874"/>
      <c r="U71" s="985"/>
      <c r="V71"/>
      <c r="W71"/>
      <c r="AC71" s="985"/>
      <c r="AD71" s="962"/>
    </row>
    <row r="72" spans="2:30" ht="16.5" customHeight="1">
      <c r="B72" s="776"/>
      <c r="C72" s="779"/>
      <c r="D72" s="986" t="s">
        <v>164</v>
      </c>
      <c r="E72" s="987"/>
      <c r="F72" s="788"/>
      <c r="G72" s="860"/>
      <c r="H72" s="739"/>
      <c r="I72" s="739"/>
      <c r="N72" s="861"/>
      <c r="O72" s="862"/>
      <c r="P72" s="861"/>
      <c r="Q72" s="861"/>
      <c r="R72" s="968"/>
      <c r="S72" s="968"/>
      <c r="T72" s="968"/>
      <c r="U72" s="969"/>
      <c r="AC72" s="969"/>
      <c r="AD72" s="962"/>
    </row>
    <row r="73" spans="2:30" ht="16.5" customHeight="1" thickBot="1">
      <c r="B73" s="776"/>
      <c r="C73" s="779"/>
      <c r="D73" s="986"/>
      <c r="E73" s="987"/>
      <c r="F73" s="788"/>
      <c r="G73" s="860"/>
      <c r="H73" s="739"/>
      <c r="I73" s="739"/>
      <c r="N73" s="861"/>
      <c r="O73" s="862"/>
      <c r="P73" s="861"/>
      <c r="Q73" s="861"/>
      <c r="R73" s="968"/>
      <c r="S73" s="968"/>
      <c r="T73" s="968"/>
      <c r="U73" s="969"/>
      <c r="AC73" s="969"/>
      <c r="AD73" s="962"/>
    </row>
    <row r="74" spans="2:30" s="988" customFormat="1" ht="21" thickBot="1" thickTop="1">
      <c r="B74" s="989"/>
      <c r="C74" s="990"/>
      <c r="D74" s="991"/>
      <c r="E74" s="992"/>
      <c r="F74" s="993"/>
      <c r="G74" s="994"/>
      <c r="I74"/>
      <c r="J74" s="995" t="s">
        <v>145</v>
      </c>
      <c r="K74" s="996">
        <f>IF(E70&gt;3*K26,K26*3,E70)</f>
        <v>992.6259200000001</v>
      </c>
      <c r="M74" s="997"/>
      <c r="N74" s="997"/>
      <c r="O74" s="998"/>
      <c r="P74" s="997"/>
      <c r="Q74" s="997"/>
      <c r="R74" s="999"/>
      <c r="S74" s="999"/>
      <c r="T74" s="999"/>
      <c r="U74" s="1000"/>
      <c r="V74"/>
      <c r="W74"/>
      <c r="AC74" s="1000"/>
      <c r="AD74" s="1001"/>
    </row>
    <row r="75" spans="2:30" ht="16.5" customHeight="1" thickBot="1" thickTop="1">
      <c r="B75" s="5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397"/>
      <c r="W75" s="397"/>
      <c r="X75" s="397"/>
      <c r="Y75" s="397"/>
      <c r="Z75" s="397"/>
      <c r="AA75" s="397"/>
      <c r="AB75" s="397"/>
      <c r="AC75" s="59"/>
      <c r="AD75" s="1002"/>
    </row>
    <row r="76" spans="2:23" ht="16.5" customHeight="1" thickTop="1">
      <c r="B76" s="1"/>
      <c r="C76" s="73"/>
      <c r="W76" s="1"/>
    </row>
  </sheetData>
  <sheetProtection password="CC12"/>
  <mergeCells count="9">
    <mergeCell ref="F44:G44"/>
    <mergeCell ref="F45:G45"/>
    <mergeCell ref="F47:G47"/>
    <mergeCell ref="F46:G46"/>
    <mergeCell ref="P46:Q46"/>
    <mergeCell ref="F51:G51"/>
    <mergeCell ref="F48:G48"/>
    <mergeCell ref="F49:G49"/>
    <mergeCell ref="F50:G50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7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93"/>
  <sheetViews>
    <sheetView zoomScale="50" zoomScaleNormal="50" workbookViewId="0" topLeftCell="B52">
      <selection activeCell="F83" sqref="F83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10.14062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1011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773" customFormat="1" ht="30.75">
      <c r="A3" s="770"/>
      <c r="B3" s="771" t="str">
        <f>+'TOT-1008'!B2</f>
        <v>ANEXO V al Memorándum D.T.E.E. N°  366 / 2010        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AB3" s="772"/>
      <c r="AC3" s="772"/>
      <c r="AD3" s="772"/>
    </row>
    <row r="4" spans="1:2" s="25" customFormat="1" ht="11.25">
      <c r="A4" s="1003" t="s">
        <v>2</v>
      </c>
      <c r="B4" s="1004"/>
    </row>
    <row r="5" spans="1:2" s="25" customFormat="1" ht="12" thickBot="1">
      <c r="A5" s="1003" t="s">
        <v>3</v>
      </c>
      <c r="B5" s="1003"/>
    </row>
    <row r="6" spans="1:23" ht="16.5" customHeight="1" thickTop="1">
      <c r="A6" s="5"/>
      <c r="B6" s="69"/>
      <c r="C6" s="70"/>
      <c r="D6" s="70"/>
      <c r="E6" s="39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375" t="s">
        <v>128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375" t="s">
        <v>129</v>
      </c>
      <c r="E9" s="43"/>
      <c r="F9" s="43"/>
      <c r="G9" s="43"/>
      <c r="H9" s="43"/>
      <c r="N9" s="43"/>
      <c r="O9" s="43"/>
      <c r="P9" s="399"/>
      <c r="Q9" s="399"/>
      <c r="R9" s="43"/>
      <c r="S9" s="43"/>
      <c r="T9" s="43"/>
      <c r="U9" s="43"/>
      <c r="V9" s="43"/>
      <c r="W9" s="400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375" t="s">
        <v>310</v>
      </c>
      <c r="E11" s="43"/>
      <c r="F11" s="43"/>
      <c r="G11" s="43"/>
      <c r="H11" s="43"/>
      <c r="N11" s="43"/>
      <c r="O11" s="43"/>
      <c r="P11" s="399"/>
      <c r="Q11" s="399"/>
      <c r="R11" s="43"/>
      <c r="S11" s="43"/>
      <c r="T11" s="43"/>
      <c r="U11" s="43"/>
      <c r="V11" s="43"/>
      <c r="W11" s="400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'TOT-1008'!B14</f>
        <v>Desde el 01 al 31 de octubre de 2008</v>
      </c>
      <c r="C13" s="38"/>
      <c r="D13" s="40"/>
      <c r="E13" s="40"/>
      <c r="F13" s="40"/>
      <c r="G13" s="40"/>
      <c r="H13" s="40"/>
      <c r="I13" s="41"/>
      <c r="J13" s="37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775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363" t="s">
        <v>130</v>
      </c>
      <c r="D17" s="54" t="s">
        <v>131</v>
      </c>
      <c r="E17" s="66"/>
      <c r="F17" s="66"/>
      <c r="G17" s="4"/>
      <c r="H17" s="4"/>
      <c r="I17" s="4"/>
      <c r="J17" s="775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776"/>
      <c r="C18" s="33"/>
      <c r="D18" s="777"/>
      <c r="E18" s="785" t="s">
        <v>315</v>
      </c>
      <c r="F18" s="973">
        <v>495704</v>
      </c>
      <c r="G18" s="975" t="str">
        <f>"(DTE "&amp;DATO!$G$14&amp;DATO!$H$14&amp;")"</f>
        <v>(DTE 1008)</v>
      </c>
      <c r="H18" s="33"/>
      <c r="I18" s="33"/>
      <c r="J18" s="780"/>
      <c r="K18" s="33"/>
      <c r="L18" s="33"/>
      <c r="M18" s="33"/>
      <c r="N18" s="1012" t="s">
        <v>38</v>
      </c>
      <c r="P18" s="33"/>
      <c r="Q18" s="33"/>
      <c r="R18" s="33"/>
      <c r="S18" s="33"/>
      <c r="T18" s="33"/>
      <c r="U18" s="33"/>
      <c r="V18" s="33"/>
      <c r="W18" s="781"/>
    </row>
    <row r="19" spans="2:23" s="32" customFormat="1" ht="16.5" customHeight="1">
      <c r="B19" s="776"/>
      <c r="C19" s="33"/>
      <c r="D19" s="1203"/>
      <c r="E19" s="785" t="s">
        <v>41</v>
      </c>
      <c r="F19" s="786">
        <v>0.025</v>
      </c>
      <c r="G19" s="783"/>
      <c r="H19" s="33"/>
      <c r="I19" s="411"/>
      <c r="J19" s="412"/>
      <c r="K19" s="1013" t="s">
        <v>165</v>
      </c>
      <c r="L19" s="1014"/>
      <c r="M19" s="1015">
        <v>63.904</v>
      </c>
      <c r="N19" s="1016">
        <v>200</v>
      </c>
      <c r="R19" s="33"/>
      <c r="S19" s="33"/>
      <c r="T19" s="33"/>
      <c r="U19" s="33"/>
      <c r="V19" s="33"/>
      <c r="W19" s="781"/>
    </row>
    <row r="20" spans="2:23" s="32" customFormat="1" ht="16.5" customHeight="1">
      <c r="B20" s="776"/>
      <c r="C20" s="33"/>
      <c r="D20" s="1203"/>
      <c r="E20" s="777" t="s">
        <v>39</v>
      </c>
      <c r="F20" s="33">
        <f>MID(B13,16,2)*24</f>
        <v>744</v>
      </c>
      <c r="G20" s="33" t="s">
        <v>40</v>
      </c>
      <c r="H20" s="33"/>
      <c r="I20" s="33"/>
      <c r="J20" s="33"/>
      <c r="K20" s="1017" t="s">
        <v>115</v>
      </c>
      <c r="L20" s="1018"/>
      <c r="M20" s="1019">
        <v>57.511</v>
      </c>
      <c r="N20" s="1020">
        <v>100</v>
      </c>
      <c r="O20" s="33"/>
      <c r="P20" s="1005"/>
      <c r="Q20" s="33"/>
      <c r="R20" s="33"/>
      <c r="S20" s="33"/>
      <c r="T20" s="33"/>
      <c r="U20" s="33"/>
      <c r="V20" s="33"/>
      <c r="W20" s="781"/>
    </row>
    <row r="21" spans="2:23" s="32" customFormat="1" ht="16.5" customHeight="1" thickBot="1">
      <c r="B21" s="776"/>
      <c r="C21" s="33"/>
      <c r="D21" s="1203"/>
      <c r="E21" s="777" t="s">
        <v>42</v>
      </c>
      <c r="F21" s="33">
        <v>0.319</v>
      </c>
      <c r="G21" s="32" t="s">
        <v>148</v>
      </c>
      <c r="H21" s="33"/>
      <c r="I21" s="33"/>
      <c r="J21" s="33"/>
      <c r="K21" s="1021" t="s">
        <v>166</v>
      </c>
      <c r="L21" s="1022"/>
      <c r="M21" s="1023">
        <v>51.126</v>
      </c>
      <c r="N21" s="1024">
        <v>40</v>
      </c>
      <c r="O21" s="33"/>
      <c r="P21" s="1005"/>
      <c r="Q21" s="33"/>
      <c r="R21" s="33"/>
      <c r="S21" s="33"/>
      <c r="T21" s="33"/>
      <c r="U21" s="33"/>
      <c r="V21" s="33"/>
      <c r="W21" s="781"/>
    </row>
    <row r="22" spans="2:23" s="32" customFormat="1" ht="16.5" customHeight="1">
      <c r="B22" s="776"/>
      <c r="C22" s="33"/>
      <c r="D22" s="33"/>
      <c r="E22" s="78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781"/>
    </row>
    <row r="23" spans="1:23" ht="16.5" customHeight="1">
      <c r="A23" s="5"/>
      <c r="B23" s="50"/>
      <c r="C23" s="363" t="s">
        <v>134</v>
      </c>
      <c r="D23" s="3" t="s">
        <v>182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776"/>
      <c r="C25" s="779"/>
      <c r="D25"/>
      <c r="E25"/>
      <c r="F25"/>
      <c r="G25"/>
      <c r="H25"/>
      <c r="I25" s="789" t="s">
        <v>46</v>
      </c>
      <c r="J25" s="1025">
        <f>+F18*F19</f>
        <v>12392.6</v>
      </c>
      <c r="L25"/>
      <c r="S25"/>
      <c r="T25"/>
      <c r="U25"/>
      <c r="W25" s="781"/>
    </row>
    <row r="26" spans="2:23" s="32" customFormat="1" ht="11.25" customHeight="1" thickTop="1">
      <c r="B26" s="776"/>
      <c r="C26" s="779"/>
      <c r="D26" s="33"/>
      <c r="E26" s="78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781"/>
    </row>
    <row r="27" spans="1:23" ht="16.5" customHeight="1">
      <c r="A27" s="5"/>
      <c r="B27" s="50"/>
      <c r="C27" s="363" t="s">
        <v>135</v>
      </c>
      <c r="D27" s="3" t="s">
        <v>183</v>
      </c>
      <c r="E27" s="4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779"/>
      <c r="D28" s="779"/>
      <c r="E28" s="859"/>
      <c r="F28" s="788"/>
      <c r="G28" s="860"/>
      <c r="H28" s="860"/>
      <c r="I28" s="861"/>
      <c r="J28" s="861"/>
      <c r="K28" s="861"/>
      <c r="L28" s="861"/>
      <c r="M28" s="861"/>
      <c r="N28" s="861"/>
      <c r="O28" s="862"/>
      <c r="P28" s="861"/>
      <c r="Q28" s="861"/>
      <c r="R28" s="1026"/>
      <c r="S28" s="1027"/>
      <c r="T28" s="1028"/>
      <c r="U28" s="1028"/>
      <c r="V28" s="1028"/>
      <c r="W28" s="439"/>
    </row>
    <row r="29" spans="1:26" s="5" customFormat="1" ht="33.75" customHeight="1" thickBot="1" thickTop="1">
      <c r="A29" s="90"/>
      <c r="B29" s="95"/>
      <c r="C29" s="124" t="s">
        <v>13</v>
      </c>
      <c r="D29" s="120" t="s">
        <v>28</v>
      </c>
      <c r="E29" s="119" t="s">
        <v>29</v>
      </c>
      <c r="F29" s="121" t="s">
        <v>30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31</v>
      </c>
      <c r="L29" s="120" t="s">
        <v>32</v>
      </c>
      <c r="M29" s="88" t="s">
        <v>138</v>
      </c>
      <c r="N29" s="119" t="s">
        <v>33</v>
      </c>
      <c r="O29" s="877" t="s">
        <v>34</v>
      </c>
      <c r="P29" s="130" t="s">
        <v>35</v>
      </c>
      <c r="Q29" s="879" t="s">
        <v>20</v>
      </c>
      <c r="R29" s="880" t="s">
        <v>139</v>
      </c>
      <c r="S29" s="881"/>
      <c r="T29" s="882" t="s">
        <v>22</v>
      </c>
      <c r="U29" s="133" t="s">
        <v>106</v>
      </c>
      <c r="V29" s="122" t="s">
        <v>25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886"/>
      <c r="H30" s="887"/>
      <c r="I30" s="10"/>
      <c r="J30" s="10"/>
      <c r="K30" s="10"/>
      <c r="L30" s="10"/>
      <c r="M30" s="10"/>
      <c r="N30" s="889"/>
      <c r="O30" s="1029"/>
      <c r="P30" s="134"/>
      <c r="Q30" s="892"/>
      <c r="R30" s="893"/>
      <c r="S30" s="894"/>
      <c r="T30" s="895"/>
      <c r="U30" s="889"/>
      <c r="V30" s="899"/>
      <c r="W30" s="17"/>
    </row>
    <row r="31" spans="1:23" ht="16.5" customHeight="1">
      <c r="A31" s="5"/>
      <c r="B31" s="50"/>
      <c r="C31" s="1142" t="s">
        <v>260</v>
      </c>
      <c r="D31" s="900" t="s">
        <v>386</v>
      </c>
      <c r="E31" s="901" t="s">
        <v>390</v>
      </c>
      <c r="F31" s="902">
        <v>300</v>
      </c>
      <c r="G31" s="903" t="s">
        <v>339</v>
      </c>
      <c r="H31" s="904">
        <f>F31*$F$21</f>
        <v>95.7</v>
      </c>
      <c r="I31" s="906">
        <v>39726.36666666667</v>
      </c>
      <c r="J31" s="906">
        <v>39726.75277777778</v>
      </c>
      <c r="K31" s="504">
        <f>IF(D31="","",(J31-I31)*24)</f>
        <v>9.266666666662786</v>
      </c>
      <c r="L31" s="14">
        <f>IF(D31="","",(J31-I31)*24*60)</f>
        <v>555.9999999997672</v>
      </c>
      <c r="M31" s="13" t="s">
        <v>292</v>
      </c>
      <c r="N31" s="8" t="str">
        <f>IF(D31="","",IF(OR(M31="P",M31="RP"),"--","NO"))</f>
        <v>--</v>
      </c>
      <c r="O31" s="1030" t="str">
        <f>IF(D31="","","NO")</f>
        <v>NO</v>
      </c>
      <c r="P31" s="909">
        <f>200*IF(O31="SI",1,0.1)*IF(M31="P",0.1,1)</f>
        <v>2</v>
      </c>
      <c r="Q31" s="910">
        <f>IF(M31="P",H31*P31*ROUND(L31/60,2),"--")</f>
        <v>1774.278</v>
      </c>
      <c r="R31" s="911" t="str">
        <f>IF(AND(M31="F",N31="NO"),H31*P31,"--")</f>
        <v>--</v>
      </c>
      <c r="S31" s="912" t="str">
        <f>IF(M31="F",H31*P31*ROUND(L31/60,2),"--")</f>
        <v>--</v>
      </c>
      <c r="T31" s="607" t="str">
        <f>IF(M31="RF",H31*P31*ROUND(L31/60,2),"--")</f>
        <v>--</v>
      </c>
      <c r="U31" s="514" t="str">
        <f>IF(D31="","","SI")</f>
        <v>SI</v>
      </c>
      <c r="V31" s="515">
        <f>IF(D31="","",SUM(Q31:T31)*IF(U31="SI",1,2))</f>
        <v>1774.278</v>
      </c>
      <c r="W31" s="439"/>
    </row>
    <row r="32" spans="1:23" ht="16.5" customHeight="1">
      <c r="A32" s="5"/>
      <c r="B32" s="50"/>
      <c r="C32" s="1142" t="s">
        <v>261</v>
      </c>
      <c r="D32" s="900"/>
      <c r="E32" s="901"/>
      <c r="F32" s="902"/>
      <c r="G32" s="903"/>
      <c r="H32" s="904">
        <f>F32*$F$21</f>
        <v>0</v>
      </c>
      <c r="I32" s="906"/>
      <c r="J32" s="906"/>
      <c r="K32" s="504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1030">
        <f>IF(D32="","","NO")</f>
      </c>
      <c r="P32" s="909">
        <f>200*IF(O32="SI",1,0.1)*IF(M32="P",0.1,1)</f>
        <v>20</v>
      </c>
      <c r="Q32" s="910" t="str">
        <f>IF(M32="P",H32*P32*ROUND(L32/60,2),"--")</f>
        <v>--</v>
      </c>
      <c r="R32" s="911" t="str">
        <f>IF(AND(M32="F",N32="NO"),H32*P32,"--")</f>
        <v>--</v>
      </c>
      <c r="S32" s="912" t="str">
        <f>IF(M32="F",H32*P32*ROUND(L32/60,2),"--")</f>
        <v>--</v>
      </c>
      <c r="T32" s="607" t="str">
        <f>IF(M32="RF",H32*P32*ROUND(L32/60,2),"--")</f>
        <v>--</v>
      </c>
      <c r="U32" s="514">
        <f>IF(D32="","","SI")</f>
      </c>
      <c r="V32" s="515">
        <f>IF(D32="","",SUM(Q32:T32)*IF(U32="SI",1,2))</f>
      </c>
      <c r="W32" s="439"/>
    </row>
    <row r="33" spans="1:23" ht="16.5" customHeight="1">
      <c r="A33" s="5"/>
      <c r="B33" s="50"/>
      <c r="C33" s="1142" t="s">
        <v>262</v>
      </c>
      <c r="D33" s="900"/>
      <c r="E33" s="901"/>
      <c r="F33" s="902"/>
      <c r="G33" s="903"/>
      <c r="H33" s="904">
        <f>F33*$F$21</f>
        <v>0</v>
      </c>
      <c r="I33" s="906"/>
      <c r="J33" s="906"/>
      <c r="K33" s="504">
        <f>IF(D33="","",(J33-I33)*24)</f>
      </c>
      <c r="L33" s="14">
        <f>IF(D33="","",(J33-I33)*24*60)</f>
      </c>
      <c r="M33" s="13"/>
      <c r="N33" s="8">
        <f>IF(D33="","",IF(OR(M33="P",M33="RP"),"--","NO"))</f>
      </c>
      <c r="O33" s="1030">
        <f>IF(D33="","","NO")</f>
      </c>
      <c r="P33" s="909">
        <f>200*IF(O33="SI",1,0.1)*IF(M33="P",0.1,1)</f>
        <v>20</v>
      </c>
      <c r="Q33" s="910" t="str">
        <f>IF(M33="P",H33*P33*ROUND(L33/60,2),"--")</f>
        <v>--</v>
      </c>
      <c r="R33" s="911" t="str">
        <f>IF(AND(M33="F",N33="NO"),H33*P33,"--")</f>
        <v>--</v>
      </c>
      <c r="S33" s="912" t="str">
        <f>IF(M33="F",H33*P33*ROUND(L33/60,2),"--")</f>
        <v>--</v>
      </c>
      <c r="T33" s="607" t="str">
        <f>IF(M33="RF",H33*P33*ROUND(L33/60,2),"--")</f>
        <v>--</v>
      </c>
      <c r="U33" s="514">
        <f>IF(D33="","","SI")</f>
      </c>
      <c r="V33" s="515">
        <f>IF(D33="","",SUM(Q33:T33)*IF(U33="SI",1,2))</f>
      </c>
      <c r="W33" s="439"/>
    </row>
    <row r="34" spans="1:23" ht="16.5" customHeight="1" thickBot="1">
      <c r="A34" s="32"/>
      <c r="B34" s="50"/>
      <c r="C34" s="916"/>
      <c r="D34" s="917"/>
      <c r="E34" s="918"/>
      <c r="F34" s="919"/>
      <c r="G34" s="920"/>
      <c r="H34" s="921"/>
      <c r="I34" s="923"/>
      <c r="J34" s="924"/>
      <c r="K34" s="925"/>
      <c r="L34" s="926"/>
      <c r="M34" s="927"/>
      <c r="N34" s="9"/>
      <c r="O34" s="1031"/>
      <c r="P34" s="930"/>
      <c r="Q34" s="931"/>
      <c r="R34" s="932"/>
      <c r="S34" s="933"/>
      <c r="T34" s="934"/>
      <c r="U34" s="938"/>
      <c r="V34" s="939"/>
      <c r="W34" s="439"/>
    </row>
    <row r="35" spans="1:23" ht="16.5" customHeight="1" thickBot="1" thickTop="1">
      <c r="A35" s="32"/>
      <c r="B35" s="50"/>
      <c r="C35" s="98"/>
      <c r="D35" s="414"/>
      <c r="E35" s="414"/>
      <c r="F35" s="644"/>
      <c r="G35" s="940"/>
      <c r="H35" s="941"/>
      <c r="I35" s="942"/>
      <c r="J35" s="943"/>
      <c r="K35" s="944"/>
      <c r="L35" s="945"/>
      <c r="M35" s="941"/>
      <c r="N35" s="946"/>
      <c r="O35" s="395"/>
      <c r="P35" s="947"/>
      <c r="Q35" s="948"/>
      <c r="R35" s="949"/>
      <c r="S35" s="949"/>
      <c r="T35" s="949"/>
      <c r="U35" s="396"/>
      <c r="V35" s="950">
        <f>SUM(V30:V34)</f>
        <v>1774.278</v>
      </c>
      <c r="W35" s="439"/>
    </row>
    <row r="36" spans="1:23" ht="16.5" customHeight="1" thickBot="1" thickTop="1">
      <c r="A36" s="32"/>
      <c r="B36" s="50"/>
      <c r="C36" s="98"/>
      <c r="D36" s="414"/>
      <c r="E36" s="414"/>
      <c r="F36" s="644"/>
      <c r="G36" s="940"/>
      <c r="H36" s="941"/>
      <c r="I36" s="942"/>
      <c r="L36" s="945"/>
      <c r="M36" s="941"/>
      <c r="N36" s="951"/>
      <c r="O36" s="952"/>
      <c r="P36" s="947"/>
      <c r="Q36" s="948"/>
      <c r="R36" s="949"/>
      <c r="S36" s="949"/>
      <c r="T36" s="949"/>
      <c r="U36" s="396"/>
      <c r="V36" s="396"/>
      <c r="W36" s="439"/>
    </row>
    <row r="37" spans="2:23" s="5" customFormat="1" ht="33.75" customHeight="1" thickBot="1" thickTop="1">
      <c r="B37" s="50"/>
      <c r="C37" s="84" t="s">
        <v>13</v>
      </c>
      <c r="D37" s="86" t="s">
        <v>28</v>
      </c>
      <c r="E37" s="1343" t="s">
        <v>29</v>
      </c>
      <c r="F37" s="1345"/>
      <c r="G37" s="133" t="s">
        <v>14</v>
      </c>
      <c r="H37" s="130" t="s">
        <v>16</v>
      </c>
      <c r="I37" s="85" t="s">
        <v>17</v>
      </c>
      <c r="J37" s="590" t="s">
        <v>18</v>
      </c>
      <c r="K37" s="592" t="s">
        <v>37</v>
      </c>
      <c r="L37" s="592" t="s">
        <v>32</v>
      </c>
      <c r="M37" s="88" t="s">
        <v>19</v>
      </c>
      <c r="N37" s="1343" t="s">
        <v>33</v>
      </c>
      <c r="O37" s="1344"/>
      <c r="P37" s="136" t="s">
        <v>38</v>
      </c>
      <c r="Q37" s="593" t="s">
        <v>97</v>
      </c>
      <c r="R37" s="381" t="s">
        <v>36</v>
      </c>
      <c r="S37" s="594"/>
      <c r="T37" s="135" t="s">
        <v>22</v>
      </c>
      <c r="U37" s="133" t="s">
        <v>106</v>
      </c>
      <c r="V37" s="122" t="s">
        <v>25</v>
      </c>
      <c r="W37" s="6"/>
    </row>
    <row r="38" spans="2:23" s="5" customFormat="1" ht="16.5" customHeight="1" thickTop="1">
      <c r="B38" s="50"/>
      <c r="C38" s="7"/>
      <c r="D38" s="602"/>
      <c r="E38" s="1337"/>
      <c r="F38" s="1338"/>
      <c r="G38" s="602"/>
      <c r="H38" s="603"/>
      <c r="I38" s="602"/>
      <c r="J38" s="602"/>
      <c r="K38" s="602"/>
      <c r="L38" s="602"/>
      <c r="M38" s="602"/>
      <c r="N38" s="602"/>
      <c r="O38" s="1032"/>
      <c r="P38" s="604"/>
      <c r="Q38" s="605"/>
      <c r="R38" s="393"/>
      <c r="S38" s="606"/>
      <c r="T38" s="607"/>
      <c r="U38" s="602"/>
      <c r="V38" s="608"/>
      <c r="W38" s="6"/>
    </row>
    <row r="39" spans="2:23" s="5" customFormat="1" ht="16.5" customHeight="1">
      <c r="B39" s="50"/>
      <c r="C39" s="1142" t="s">
        <v>260</v>
      </c>
      <c r="D39" s="602" t="s">
        <v>383</v>
      </c>
      <c r="E39" s="1337" t="s">
        <v>391</v>
      </c>
      <c r="F39" s="1338"/>
      <c r="G39" s="1033">
        <v>132</v>
      </c>
      <c r="H39" s="131">
        <f>IF(G39=500,$M$19,IF(G39=220,$M$20,$M$21))</f>
        <v>51.126</v>
      </c>
      <c r="I39" s="1034">
        <v>39722.34027777778</v>
      </c>
      <c r="J39" s="1035">
        <v>39722.64166666667</v>
      </c>
      <c r="K39" s="612">
        <f>IF(D39="","",(J39-I39)*24)</f>
        <v>7.233333333337214</v>
      </c>
      <c r="L39" s="613">
        <f>IF(D39="","",ROUND((J39-I39)*24*60,0))</f>
        <v>434</v>
      </c>
      <c r="M39" s="826" t="s">
        <v>292</v>
      </c>
      <c r="N39" s="718" t="str">
        <f>IF(D39="","",IF(OR(M39="P",M39="RP"),"--","NO"))</f>
        <v>--</v>
      </c>
      <c r="O39" s="673"/>
      <c r="P39" s="1036">
        <f>IF(G39=500,$N$19,IF(G39=220,$N$20,$N$21))</f>
        <v>40</v>
      </c>
      <c r="Q39" s="1037">
        <f>IF(M39="P",H39*P39*ROUND(L39/60,2)*0.1,"--")</f>
        <v>1478.5639200000003</v>
      </c>
      <c r="R39" s="393" t="str">
        <f>IF(AND(M39="F",N39="NO"),H39*P39,"--")</f>
        <v>--</v>
      </c>
      <c r="S39" s="606" t="str">
        <f>IF(M39="F",H39*P39*ROUND(L39/60,2),"--")</f>
        <v>--</v>
      </c>
      <c r="T39" s="607" t="str">
        <f>IF(M39="RF",H39*P39*ROUND(L39/60,2),"--")</f>
        <v>--</v>
      </c>
      <c r="U39" s="1038" t="str">
        <f>IF(D39="","","SI")</f>
        <v>SI</v>
      </c>
      <c r="V39" s="618">
        <f>IF(D39="","",SUM(Q39:T39)*IF(U39="SI",1,2))</f>
        <v>1478.5639200000003</v>
      </c>
      <c r="W39" s="6"/>
    </row>
    <row r="40" spans="2:23" s="5" customFormat="1" ht="16.5" customHeight="1">
      <c r="B40" s="50"/>
      <c r="C40" s="1142" t="s">
        <v>261</v>
      </c>
      <c r="D40" s="602" t="s">
        <v>383</v>
      </c>
      <c r="E40" s="1337" t="s">
        <v>392</v>
      </c>
      <c r="F40" s="1338"/>
      <c r="G40" s="1033">
        <v>500</v>
      </c>
      <c r="H40" s="131">
        <f aca="true" t="shared" si="0" ref="H40:H66">IF(G40=500,$M$19,IF(G40=220,$M$20,$M$21))</f>
        <v>63.904</v>
      </c>
      <c r="I40" s="1034">
        <v>39722.35555555556</v>
      </c>
      <c r="J40" s="1035">
        <v>39722.76944444444</v>
      </c>
      <c r="K40" s="612">
        <f aca="true" t="shared" si="1" ref="K40:K60">IF(D40="","",(J40-I40)*24)</f>
        <v>9.93333333323244</v>
      </c>
      <c r="L40" s="613">
        <f aca="true" t="shared" si="2" ref="L40:L60">IF(D40="","",ROUND((J40-I40)*24*60,0))</f>
        <v>596</v>
      </c>
      <c r="M40" s="826" t="s">
        <v>292</v>
      </c>
      <c r="N40" s="718" t="str">
        <f aca="true" t="shared" si="3" ref="N40:N60">IF(D40="","",IF(OR(M40="P",M40="RP"),"--","NO"))</f>
        <v>--</v>
      </c>
      <c r="O40" s="673"/>
      <c r="P40" s="1036">
        <f aca="true" t="shared" si="4" ref="P40:P60">IF(G40=500,$N$19,IF(G40=220,$N$20,$N$21))</f>
        <v>200</v>
      </c>
      <c r="Q40" s="1037">
        <f aca="true" t="shared" si="5" ref="Q40:Q60">IF(M40="P",H40*P40*ROUND(L40/60,2)*0.1,"--")</f>
        <v>12691.334400000002</v>
      </c>
      <c r="R40" s="393" t="str">
        <f aca="true" t="shared" si="6" ref="R40:R60">IF(AND(M40="F",N40="NO"),H40*P40,"--")</f>
        <v>--</v>
      </c>
      <c r="S40" s="606" t="str">
        <f aca="true" t="shared" si="7" ref="S40:S60">IF(M40="F",H40*P40*ROUND(L40/60,2),"--")</f>
        <v>--</v>
      </c>
      <c r="T40" s="607" t="str">
        <f aca="true" t="shared" si="8" ref="T40:T60">IF(M40="RF",H40*P40*ROUND(L40/60,2),"--")</f>
        <v>--</v>
      </c>
      <c r="U40" s="1038" t="str">
        <f aca="true" t="shared" si="9" ref="U40:U60">IF(D40="","","SI")</f>
        <v>SI</v>
      </c>
      <c r="V40" s="618">
        <f aca="true" t="shared" si="10" ref="V40:V60">IF(D40="","",SUM(Q40:T40)*IF(U40="SI",1,2))</f>
        <v>12691.334400000002</v>
      </c>
      <c r="W40" s="6"/>
    </row>
    <row r="41" spans="2:23" s="5" customFormat="1" ht="16.5" customHeight="1">
      <c r="B41" s="50"/>
      <c r="C41" s="1142" t="s">
        <v>262</v>
      </c>
      <c r="D41" s="602" t="s">
        <v>383</v>
      </c>
      <c r="E41" s="1337" t="s">
        <v>392</v>
      </c>
      <c r="F41" s="1338"/>
      <c r="G41" s="1033">
        <v>500</v>
      </c>
      <c r="H41" s="131">
        <f t="shared" si="0"/>
        <v>63.904</v>
      </c>
      <c r="I41" s="1034">
        <v>39723.33611111111</v>
      </c>
      <c r="J41" s="1035">
        <v>39723.79513888889</v>
      </c>
      <c r="K41" s="612">
        <f t="shared" si="1"/>
        <v>11.016666666779201</v>
      </c>
      <c r="L41" s="613">
        <f t="shared" si="2"/>
        <v>661</v>
      </c>
      <c r="M41" s="826" t="s">
        <v>292</v>
      </c>
      <c r="N41" s="718" t="str">
        <f t="shared" si="3"/>
        <v>--</v>
      </c>
      <c r="O41" s="673"/>
      <c r="P41" s="1036">
        <f t="shared" si="4"/>
        <v>200</v>
      </c>
      <c r="Q41" s="1037">
        <f t="shared" si="5"/>
        <v>14084.4416</v>
      </c>
      <c r="R41" s="393" t="str">
        <f t="shared" si="6"/>
        <v>--</v>
      </c>
      <c r="S41" s="606" t="str">
        <f t="shared" si="7"/>
        <v>--</v>
      </c>
      <c r="T41" s="607" t="str">
        <f t="shared" si="8"/>
        <v>--</v>
      </c>
      <c r="U41" s="1038" t="str">
        <f t="shared" si="9"/>
        <v>SI</v>
      </c>
      <c r="V41" s="618">
        <f t="shared" si="10"/>
        <v>14084.4416</v>
      </c>
      <c r="W41" s="6"/>
    </row>
    <row r="42" spans="2:23" s="5" customFormat="1" ht="16.5" customHeight="1">
      <c r="B42" s="50"/>
      <c r="C42" s="1142" t="s">
        <v>263</v>
      </c>
      <c r="D42" s="602" t="s">
        <v>383</v>
      </c>
      <c r="E42" s="1337" t="s">
        <v>393</v>
      </c>
      <c r="F42" s="1338"/>
      <c r="G42" s="1033">
        <v>132</v>
      </c>
      <c r="H42" s="131">
        <f t="shared" si="0"/>
        <v>51.126</v>
      </c>
      <c r="I42" s="1034">
        <v>39723.4375</v>
      </c>
      <c r="J42" s="1035">
        <v>39723.501388888886</v>
      </c>
      <c r="K42" s="612">
        <f t="shared" si="1"/>
        <v>1.5333333332673647</v>
      </c>
      <c r="L42" s="613">
        <f t="shared" si="2"/>
        <v>92</v>
      </c>
      <c r="M42" s="826" t="s">
        <v>292</v>
      </c>
      <c r="N42" s="718" t="str">
        <f t="shared" si="3"/>
        <v>--</v>
      </c>
      <c r="O42" s="673"/>
      <c r="P42" s="1036">
        <f t="shared" si="4"/>
        <v>40</v>
      </c>
      <c r="Q42" s="1037">
        <f t="shared" si="5"/>
        <v>312.89112</v>
      </c>
      <c r="R42" s="393" t="str">
        <f t="shared" si="6"/>
        <v>--</v>
      </c>
      <c r="S42" s="606" t="str">
        <f t="shared" si="7"/>
        <v>--</v>
      </c>
      <c r="T42" s="607" t="str">
        <f t="shared" si="8"/>
        <v>--</v>
      </c>
      <c r="U42" s="1038" t="str">
        <f t="shared" si="9"/>
        <v>SI</v>
      </c>
      <c r="V42" s="618">
        <f t="shared" si="10"/>
        <v>312.89112</v>
      </c>
      <c r="W42" s="6"/>
    </row>
    <row r="43" spans="2:23" s="5" customFormat="1" ht="16.5" customHeight="1">
      <c r="B43" s="50"/>
      <c r="C43" s="1142" t="s">
        <v>264</v>
      </c>
      <c r="D43" s="602" t="s">
        <v>383</v>
      </c>
      <c r="E43" s="1337" t="s">
        <v>392</v>
      </c>
      <c r="F43" s="1338"/>
      <c r="G43" s="1033">
        <v>500</v>
      </c>
      <c r="H43" s="131">
        <f t="shared" si="0"/>
        <v>63.904</v>
      </c>
      <c r="I43" s="1034">
        <v>39724.322222222225</v>
      </c>
      <c r="J43" s="1035">
        <v>39724.8125</v>
      </c>
      <c r="K43" s="612">
        <f t="shared" si="1"/>
        <v>11.766666666604578</v>
      </c>
      <c r="L43" s="613">
        <f t="shared" si="2"/>
        <v>706</v>
      </c>
      <c r="M43" s="826" t="s">
        <v>292</v>
      </c>
      <c r="N43" s="718" t="str">
        <f t="shared" si="3"/>
        <v>--</v>
      </c>
      <c r="O43" s="673"/>
      <c r="P43" s="1036">
        <f t="shared" si="4"/>
        <v>200</v>
      </c>
      <c r="Q43" s="1037">
        <f t="shared" si="5"/>
        <v>15043.001600000001</v>
      </c>
      <c r="R43" s="393" t="str">
        <f t="shared" si="6"/>
        <v>--</v>
      </c>
      <c r="S43" s="606" t="str">
        <f t="shared" si="7"/>
        <v>--</v>
      </c>
      <c r="T43" s="607" t="str">
        <f t="shared" si="8"/>
        <v>--</v>
      </c>
      <c r="U43" s="1038" t="str">
        <f t="shared" si="9"/>
        <v>SI</v>
      </c>
      <c r="V43" s="618">
        <f t="shared" si="10"/>
        <v>15043.001600000001</v>
      </c>
      <c r="W43" s="6"/>
    </row>
    <row r="44" spans="2:23" s="5" customFormat="1" ht="16.5" customHeight="1">
      <c r="B44" s="50"/>
      <c r="C44" s="1142" t="s">
        <v>265</v>
      </c>
      <c r="D44" s="602" t="s">
        <v>383</v>
      </c>
      <c r="E44" s="1337" t="s">
        <v>392</v>
      </c>
      <c r="F44" s="1338"/>
      <c r="G44" s="1033">
        <v>500</v>
      </c>
      <c r="H44" s="131">
        <f t="shared" si="0"/>
        <v>63.904</v>
      </c>
      <c r="I44" s="1034">
        <v>39725.26944444444</v>
      </c>
      <c r="J44" s="1035">
        <v>39725.80972222222</v>
      </c>
      <c r="K44" s="612">
        <f t="shared" si="1"/>
        <v>12.966666666674428</v>
      </c>
      <c r="L44" s="613">
        <f t="shared" si="2"/>
        <v>778</v>
      </c>
      <c r="M44" s="826" t="s">
        <v>292</v>
      </c>
      <c r="N44" s="718" t="str">
        <f t="shared" si="3"/>
        <v>--</v>
      </c>
      <c r="O44" s="673"/>
      <c r="P44" s="1036">
        <f t="shared" si="4"/>
        <v>200</v>
      </c>
      <c r="Q44" s="1037">
        <f t="shared" si="5"/>
        <v>16576.697600000003</v>
      </c>
      <c r="R44" s="393" t="str">
        <f t="shared" si="6"/>
        <v>--</v>
      </c>
      <c r="S44" s="606" t="str">
        <f t="shared" si="7"/>
        <v>--</v>
      </c>
      <c r="T44" s="607" t="str">
        <f t="shared" si="8"/>
        <v>--</v>
      </c>
      <c r="U44" s="1038" t="str">
        <f t="shared" si="9"/>
        <v>SI</v>
      </c>
      <c r="V44" s="618">
        <f t="shared" si="10"/>
        <v>16576.697600000003</v>
      </c>
      <c r="W44" s="6"/>
    </row>
    <row r="45" spans="2:23" s="5" customFormat="1" ht="16.5" customHeight="1">
      <c r="B45" s="50"/>
      <c r="C45" s="1142" t="s">
        <v>266</v>
      </c>
      <c r="D45" s="602" t="s">
        <v>394</v>
      </c>
      <c r="E45" s="1337" t="s">
        <v>395</v>
      </c>
      <c r="F45" s="1338"/>
      <c r="G45" s="1033">
        <v>132</v>
      </c>
      <c r="H45" s="131">
        <f t="shared" si="0"/>
        <v>51.126</v>
      </c>
      <c r="I45" s="1034">
        <v>39726.308333333334</v>
      </c>
      <c r="J45" s="1035">
        <v>39726.74930555555</v>
      </c>
      <c r="K45" s="612">
        <f t="shared" si="1"/>
        <v>10.583333333255723</v>
      </c>
      <c r="L45" s="613">
        <f t="shared" si="2"/>
        <v>635</v>
      </c>
      <c r="M45" s="826" t="s">
        <v>292</v>
      </c>
      <c r="N45" s="718" t="str">
        <f t="shared" si="3"/>
        <v>--</v>
      </c>
      <c r="O45" s="673"/>
      <c r="P45" s="1036">
        <f t="shared" si="4"/>
        <v>40</v>
      </c>
      <c r="Q45" s="1037">
        <f t="shared" si="5"/>
        <v>2163.65232</v>
      </c>
      <c r="R45" s="393" t="str">
        <f t="shared" si="6"/>
        <v>--</v>
      </c>
      <c r="S45" s="606" t="str">
        <f t="shared" si="7"/>
        <v>--</v>
      </c>
      <c r="T45" s="607" t="str">
        <f t="shared" si="8"/>
        <v>--</v>
      </c>
      <c r="U45" s="1038" t="str">
        <f t="shared" si="9"/>
        <v>SI</v>
      </c>
      <c r="V45" s="618">
        <f t="shared" si="10"/>
        <v>2163.65232</v>
      </c>
      <c r="W45" s="6"/>
    </row>
    <row r="46" spans="2:23" s="5" customFormat="1" ht="16.5" customHeight="1">
      <c r="B46" s="50"/>
      <c r="C46" s="1142" t="s">
        <v>267</v>
      </c>
      <c r="D46" s="602" t="s">
        <v>383</v>
      </c>
      <c r="E46" s="1337" t="s">
        <v>393</v>
      </c>
      <c r="F46" s="1338"/>
      <c r="G46" s="1033">
        <v>132</v>
      </c>
      <c r="H46" s="131">
        <f t="shared" si="0"/>
        <v>51.126</v>
      </c>
      <c r="I46" s="1034">
        <v>39728.39375</v>
      </c>
      <c r="J46" s="1035">
        <v>39728.59097222222</v>
      </c>
      <c r="K46" s="612">
        <f t="shared" si="1"/>
        <v>4.7333333332207985</v>
      </c>
      <c r="L46" s="613">
        <f t="shared" si="2"/>
        <v>284</v>
      </c>
      <c r="M46" s="826" t="s">
        <v>292</v>
      </c>
      <c r="N46" s="718" t="str">
        <f t="shared" si="3"/>
        <v>--</v>
      </c>
      <c r="O46" s="673"/>
      <c r="P46" s="1036">
        <f t="shared" si="4"/>
        <v>40</v>
      </c>
      <c r="Q46" s="1037">
        <f t="shared" si="5"/>
        <v>967.3039200000002</v>
      </c>
      <c r="R46" s="393" t="str">
        <f t="shared" si="6"/>
        <v>--</v>
      </c>
      <c r="S46" s="606" t="str">
        <f t="shared" si="7"/>
        <v>--</v>
      </c>
      <c r="T46" s="607" t="str">
        <f t="shared" si="8"/>
        <v>--</v>
      </c>
      <c r="U46" s="1038" t="str">
        <f t="shared" si="9"/>
        <v>SI</v>
      </c>
      <c r="V46" s="618">
        <f t="shared" si="10"/>
        <v>967.3039200000002</v>
      </c>
      <c r="W46" s="6"/>
    </row>
    <row r="47" spans="2:23" s="5" customFormat="1" ht="16.5" customHeight="1">
      <c r="B47" s="50"/>
      <c r="C47" s="1142" t="s">
        <v>268</v>
      </c>
      <c r="D47" s="602" t="s">
        <v>383</v>
      </c>
      <c r="E47" s="1337" t="s">
        <v>393</v>
      </c>
      <c r="F47" s="1338"/>
      <c r="G47" s="1033">
        <v>132</v>
      </c>
      <c r="H47" s="131">
        <f t="shared" si="0"/>
        <v>51.126</v>
      </c>
      <c r="I47" s="1034">
        <v>39729.302083333336</v>
      </c>
      <c r="J47" s="1035">
        <v>39729.75833333333</v>
      </c>
      <c r="K47" s="612">
        <f t="shared" si="1"/>
        <v>10.949999999895226</v>
      </c>
      <c r="L47" s="613">
        <f t="shared" si="2"/>
        <v>657</v>
      </c>
      <c r="M47" s="826" t="s">
        <v>292</v>
      </c>
      <c r="N47" s="718" t="str">
        <f t="shared" si="3"/>
        <v>--</v>
      </c>
      <c r="O47" s="673"/>
      <c r="P47" s="1036">
        <f t="shared" si="4"/>
        <v>40</v>
      </c>
      <c r="Q47" s="1037">
        <f t="shared" si="5"/>
        <v>2239.3188</v>
      </c>
      <c r="R47" s="393" t="str">
        <f t="shared" si="6"/>
        <v>--</v>
      </c>
      <c r="S47" s="606" t="str">
        <f t="shared" si="7"/>
        <v>--</v>
      </c>
      <c r="T47" s="607" t="str">
        <f t="shared" si="8"/>
        <v>--</v>
      </c>
      <c r="U47" s="1038" t="str">
        <f t="shared" si="9"/>
        <v>SI</v>
      </c>
      <c r="V47" s="618">
        <f t="shared" si="10"/>
        <v>2239.3188</v>
      </c>
      <c r="W47" s="6"/>
    </row>
    <row r="48" spans="2:23" s="5" customFormat="1" ht="16.5" customHeight="1">
      <c r="B48" s="50"/>
      <c r="C48" s="1142" t="s">
        <v>269</v>
      </c>
      <c r="D48" s="602" t="s">
        <v>383</v>
      </c>
      <c r="E48" s="1337" t="s">
        <v>393</v>
      </c>
      <c r="F48" s="1338"/>
      <c r="G48" s="1033">
        <v>132</v>
      </c>
      <c r="H48" s="131">
        <f t="shared" si="0"/>
        <v>51.126</v>
      </c>
      <c r="I48" s="1034">
        <v>39730.316666666666</v>
      </c>
      <c r="J48" s="1035">
        <v>39730.75069444445</v>
      </c>
      <c r="K48" s="612">
        <f t="shared" si="1"/>
        <v>10.416666666744277</v>
      </c>
      <c r="L48" s="613">
        <f t="shared" si="2"/>
        <v>625</v>
      </c>
      <c r="M48" s="826" t="s">
        <v>292</v>
      </c>
      <c r="N48" s="718" t="str">
        <f t="shared" si="3"/>
        <v>--</v>
      </c>
      <c r="O48" s="673"/>
      <c r="P48" s="1036">
        <f t="shared" si="4"/>
        <v>40</v>
      </c>
      <c r="Q48" s="1037">
        <f t="shared" si="5"/>
        <v>2130.93168</v>
      </c>
      <c r="R48" s="393" t="str">
        <f t="shared" si="6"/>
        <v>--</v>
      </c>
      <c r="S48" s="606" t="str">
        <f t="shared" si="7"/>
        <v>--</v>
      </c>
      <c r="T48" s="607" t="str">
        <f t="shared" si="8"/>
        <v>--</v>
      </c>
      <c r="U48" s="1038" t="str">
        <f t="shared" si="9"/>
        <v>SI</v>
      </c>
      <c r="V48" s="618">
        <f t="shared" si="10"/>
        <v>2130.93168</v>
      </c>
      <c r="W48" s="6"/>
    </row>
    <row r="49" spans="2:23" s="5" customFormat="1" ht="16.5" customHeight="1">
      <c r="B49" s="50"/>
      <c r="C49" s="1142" t="s">
        <v>270</v>
      </c>
      <c r="D49" s="602" t="s">
        <v>383</v>
      </c>
      <c r="E49" s="1337" t="s">
        <v>393</v>
      </c>
      <c r="F49" s="1338"/>
      <c r="G49" s="1033">
        <v>132</v>
      </c>
      <c r="H49" s="131">
        <f t="shared" si="0"/>
        <v>51.126</v>
      </c>
      <c r="I49" s="1034">
        <v>39731.30347222222</v>
      </c>
      <c r="J49" s="1035">
        <v>39731.748611111114</v>
      </c>
      <c r="K49" s="612">
        <f t="shared" si="1"/>
        <v>10.683333333407063</v>
      </c>
      <c r="L49" s="613">
        <f t="shared" si="2"/>
        <v>641</v>
      </c>
      <c r="M49" s="826" t="s">
        <v>292</v>
      </c>
      <c r="N49" s="718" t="str">
        <f t="shared" si="3"/>
        <v>--</v>
      </c>
      <c r="O49" s="673"/>
      <c r="P49" s="1036">
        <f t="shared" si="4"/>
        <v>40</v>
      </c>
      <c r="Q49" s="1037">
        <f t="shared" si="5"/>
        <v>2184.1027200000003</v>
      </c>
      <c r="R49" s="393" t="str">
        <f t="shared" si="6"/>
        <v>--</v>
      </c>
      <c r="S49" s="606" t="str">
        <f t="shared" si="7"/>
        <v>--</v>
      </c>
      <c r="T49" s="607" t="str">
        <f t="shared" si="8"/>
        <v>--</v>
      </c>
      <c r="U49" s="1038" t="str">
        <f t="shared" si="9"/>
        <v>SI</v>
      </c>
      <c r="V49" s="618">
        <f t="shared" si="10"/>
        <v>2184.1027200000003</v>
      </c>
      <c r="W49" s="6"/>
    </row>
    <row r="50" spans="2:23" s="5" customFormat="1" ht="16.5" customHeight="1">
      <c r="B50" s="50"/>
      <c r="C50" s="1142" t="s">
        <v>271</v>
      </c>
      <c r="D50" s="602" t="s">
        <v>383</v>
      </c>
      <c r="E50" s="1337" t="s">
        <v>396</v>
      </c>
      <c r="F50" s="1338"/>
      <c r="G50" s="1033">
        <v>132</v>
      </c>
      <c r="H50" s="131">
        <f t="shared" si="0"/>
        <v>51.126</v>
      </c>
      <c r="I50" s="1034">
        <v>39731.305555555555</v>
      </c>
      <c r="J50" s="1035">
        <v>39731.69236111111</v>
      </c>
      <c r="K50" s="612">
        <f t="shared" si="1"/>
        <v>9.28333333338378</v>
      </c>
      <c r="L50" s="613">
        <f t="shared" si="2"/>
        <v>557</v>
      </c>
      <c r="M50" s="826" t="s">
        <v>292</v>
      </c>
      <c r="N50" s="718" t="str">
        <f t="shared" si="3"/>
        <v>--</v>
      </c>
      <c r="O50" s="673"/>
      <c r="P50" s="1036">
        <f t="shared" si="4"/>
        <v>40</v>
      </c>
      <c r="Q50" s="1037">
        <f t="shared" si="5"/>
        <v>1897.7971200000002</v>
      </c>
      <c r="R50" s="393" t="str">
        <f t="shared" si="6"/>
        <v>--</v>
      </c>
      <c r="S50" s="606" t="str">
        <f t="shared" si="7"/>
        <v>--</v>
      </c>
      <c r="T50" s="607" t="str">
        <f t="shared" si="8"/>
        <v>--</v>
      </c>
      <c r="U50" s="1038" t="str">
        <f t="shared" si="9"/>
        <v>SI</v>
      </c>
      <c r="V50" s="618">
        <f t="shared" si="10"/>
        <v>1897.7971200000002</v>
      </c>
      <c r="W50" s="6"/>
    </row>
    <row r="51" spans="2:23" s="5" customFormat="1" ht="16.5" customHeight="1">
      <c r="B51" s="50"/>
      <c r="C51" s="1142" t="s">
        <v>272</v>
      </c>
      <c r="D51" s="602" t="s">
        <v>383</v>
      </c>
      <c r="E51" s="1337" t="s">
        <v>397</v>
      </c>
      <c r="F51" s="1338"/>
      <c r="G51" s="1033">
        <v>132</v>
      </c>
      <c r="H51" s="131">
        <f t="shared" si="0"/>
        <v>51.126</v>
      </c>
      <c r="I51" s="1034">
        <v>39732.43263888889</v>
      </c>
      <c r="J51" s="1035">
        <v>39732.79861111111</v>
      </c>
      <c r="K51" s="612">
        <f t="shared" si="1"/>
        <v>8.783333333325572</v>
      </c>
      <c r="L51" s="613">
        <f t="shared" si="2"/>
        <v>527</v>
      </c>
      <c r="M51" s="826" t="s">
        <v>292</v>
      </c>
      <c r="N51" s="718" t="str">
        <f t="shared" si="3"/>
        <v>--</v>
      </c>
      <c r="O51" s="673"/>
      <c r="P51" s="1036">
        <f t="shared" si="4"/>
        <v>40</v>
      </c>
      <c r="Q51" s="1037">
        <f t="shared" si="5"/>
        <v>1795.54512</v>
      </c>
      <c r="R51" s="393" t="str">
        <f t="shared" si="6"/>
        <v>--</v>
      </c>
      <c r="S51" s="606" t="str">
        <f t="shared" si="7"/>
        <v>--</v>
      </c>
      <c r="T51" s="607" t="str">
        <f t="shared" si="8"/>
        <v>--</v>
      </c>
      <c r="U51" s="1038" t="str">
        <f t="shared" si="9"/>
        <v>SI</v>
      </c>
      <c r="V51" s="618">
        <f t="shared" si="10"/>
        <v>1795.54512</v>
      </c>
      <c r="W51" s="6"/>
    </row>
    <row r="52" spans="2:23" s="5" customFormat="1" ht="16.5" customHeight="1">
      <c r="B52" s="50"/>
      <c r="C52" s="1142" t="s">
        <v>273</v>
      </c>
      <c r="D52" s="602" t="s">
        <v>386</v>
      </c>
      <c r="E52" s="1337" t="s">
        <v>398</v>
      </c>
      <c r="F52" s="1338"/>
      <c r="G52" s="1033">
        <v>132</v>
      </c>
      <c r="H52" s="131">
        <f t="shared" si="0"/>
        <v>51.126</v>
      </c>
      <c r="I52" s="1034">
        <v>39735.370833333334</v>
      </c>
      <c r="J52" s="1035">
        <v>39735.649305555555</v>
      </c>
      <c r="K52" s="612">
        <f t="shared" si="1"/>
        <v>6.683333333290648</v>
      </c>
      <c r="L52" s="613">
        <f t="shared" si="2"/>
        <v>401</v>
      </c>
      <c r="M52" s="826" t="s">
        <v>292</v>
      </c>
      <c r="N52" s="718" t="str">
        <f t="shared" si="3"/>
        <v>--</v>
      </c>
      <c r="O52" s="673"/>
      <c r="P52" s="1036">
        <f t="shared" si="4"/>
        <v>40</v>
      </c>
      <c r="Q52" s="1037">
        <f t="shared" si="5"/>
        <v>1366.08672</v>
      </c>
      <c r="R52" s="393" t="str">
        <f t="shared" si="6"/>
        <v>--</v>
      </c>
      <c r="S52" s="606" t="str">
        <f t="shared" si="7"/>
        <v>--</v>
      </c>
      <c r="T52" s="607" t="str">
        <f t="shared" si="8"/>
        <v>--</v>
      </c>
      <c r="U52" s="1038" t="str">
        <f t="shared" si="9"/>
        <v>SI</v>
      </c>
      <c r="V52" s="618">
        <f t="shared" si="10"/>
        <v>1366.08672</v>
      </c>
      <c r="W52" s="6"/>
    </row>
    <row r="53" spans="2:23" s="5" customFormat="1" ht="16.5" customHeight="1">
      <c r="B53" s="50"/>
      <c r="C53" s="1142" t="s">
        <v>274</v>
      </c>
      <c r="D53" s="602" t="s">
        <v>383</v>
      </c>
      <c r="E53" s="1337" t="s">
        <v>399</v>
      </c>
      <c r="F53" s="1338"/>
      <c r="G53" s="1033">
        <v>500</v>
      </c>
      <c r="H53" s="131">
        <f t="shared" si="0"/>
        <v>63.904</v>
      </c>
      <c r="I53" s="1034">
        <v>39737.28958333333</v>
      </c>
      <c r="J53" s="1035">
        <v>39737.79236111111</v>
      </c>
      <c r="K53" s="612">
        <f t="shared" si="1"/>
        <v>12.066666666709352</v>
      </c>
      <c r="L53" s="613">
        <f t="shared" si="2"/>
        <v>724</v>
      </c>
      <c r="M53" s="826" t="s">
        <v>292</v>
      </c>
      <c r="N53" s="718" t="str">
        <f t="shared" si="3"/>
        <v>--</v>
      </c>
      <c r="O53" s="673"/>
      <c r="P53" s="1036">
        <f t="shared" si="4"/>
        <v>200</v>
      </c>
      <c r="Q53" s="1037">
        <f t="shared" si="5"/>
        <v>15426.425600000002</v>
      </c>
      <c r="R53" s="393" t="str">
        <f t="shared" si="6"/>
        <v>--</v>
      </c>
      <c r="S53" s="606" t="str">
        <f t="shared" si="7"/>
        <v>--</v>
      </c>
      <c r="T53" s="607" t="str">
        <f t="shared" si="8"/>
        <v>--</v>
      </c>
      <c r="U53" s="1038" t="str">
        <f t="shared" si="9"/>
        <v>SI</v>
      </c>
      <c r="V53" s="618">
        <f t="shared" si="10"/>
        <v>15426.425600000002</v>
      </c>
      <c r="W53" s="6"/>
    </row>
    <row r="54" spans="2:23" s="5" customFormat="1" ht="16.5" customHeight="1">
      <c r="B54" s="50"/>
      <c r="C54" s="1142" t="s">
        <v>275</v>
      </c>
      <c r="D54" s="602" t="s">
        <v>383</v>
      </c>
      <c r="E54" s="1337" t="s">
        <v>393</v>
      </c>
      <c r="F54" s="1338"/>
      <c r="G54" s="1033">
        <v>132</v>
      </c>
      <c r="H54" s="131">
        <f t="shared" si="0"/>
        <v>51.126</v>
      </c>
      <c r="I54" s="1034">
        <v>39740.322916666664</v>
      </c>
      <c r="J54" s="1035">
        <v>39740.75763888889</v>
      </c>
      <c r="K54" s="612">
        <f t="shared" si="1"/>
        <v>10.43333333346527</v>
      </c>
      <c r="L54" s="613">
        <f t="shared" si="2"/>
        <v>626</v>
      </c>
      <c r="M54" s="826" t="s">
        <v>292</v>
      </c>
      <c r="N54" s="718" t="str">
        <f t="shared" si="3"/>
        <v>--</v>
      </c>
      <c r="O54" s="673"/>
      <c r="P54" s="1036">
        <f t="shared" si="4"/>
        <v>40</v>
      </c>
      <c r="Q54" s="1037">
        <f t="shared" si="5"/>
        <v>2132.97672</v>
      </c>
      <c r="R54" s="393" t="str">
        <f t="shared" si="6"/>
        <v>--</v>
      </c>
      <c r="S54" s="606" t="str">
        <f t="shared" si="7"/>
        <v>--</v>
      </c>
      <c r="T54" s="607" t="str">
        <f t="shared" si="8"/>
        <v>--</v>
      </c>
      <c r="U54" s="1038" t="str">
        <f t="shared" si="9"/>
        <v>SI</v>
      </c>
      <c r="V54" s="618">
        <f t="shared" si="10"/>
        <v>2132.97672</v>
      </c>
      <c r="W54" s="6"/>
    </row>
    <row r="55" spans="2:23" s="5" customFormat="1" ht="16.5" customHeight="1">
      <c r="B55" s="50"/>
      <c r="C55" s="1142" t="s">
        <v>276</v>
      </c>
      <c r="D55" s="602" t="s">
        <v>383</v>
      </c>
      <c r="E55" s="1337" t="s">
        <v>397</v>
      </c>
      <c r="F55" s="1338"/>
      <c r="G55" s="1033">
        <v>132</v>
      </c>
      <c r="H55" s="131">
        <f t="shared" si="0"/>
        <v>51.126</v>
      </c>
      <c r="I55" s="1034">
        <v>39741.325694444444</v>
      </c>
      <c r="J55" s="1035">
        <v>39741.73333333333</v>
      </c>
      <c r="K55" s="612">
        <f t="shared" si="1"/>
        <v>9.783333333267365</v>
      </c>
      <c r="L55" s="613">
        <f t="shared" si="2"/>
        <v>587</v>
      </c>
      <c r="M55" s="826" t="s">
        <v>292</v>
      </c>
      <c r="N55" s="718" t="str">
        <f t="shared" si="3"/>
        <v>--</v>
      </c>
      <c r="O55" s="673"/>
      <c r="P55" s="1036">
        <f t="shared" si="4"/>
        <v>40</v>
      </c>
      <c r="Q55" s="1037">
        <f t="shared" si="5"/>
        <v>2000.0491199999997</v>
      </c>
      <c r="R55" s="393" t="str">
        <f t="shared" si="6"/>
        <v>--</v>
      </c>
      <c r="S55" s="606" t="str">
        <f t="shared" si="7"/>
        <v>--</v>
      </c>
      <c r="T55" s="607" t="str">
        <f t="shared" si="8"/>
        <v>--</v>
      </c>
      <c r="U55" s="1038" t="str">
        <f t="shared" si="9"/>
        <v>SI</v>
      </c>
      <c r="V55" s="618">
        <f t="shared" si="10"/>
        <v>2000.0491199999997</v>
      </c>
      <c r="W55" s="6"/>
    </row>
    <row r="56" spans="2:23" s="5" customFormat="1" ht="16.5" customHeight="1">
      <c r="B56" s="50"/>
      <c r="C56" s="1142" t="s">
        <v>277</v>
      </c>
      <c r="D56" s="602" t="s">
        <v>383</v>
      </c>
      <c r="E56" s="1337" t="s">
        <v>400</v>
      </c>
      <c r="F56" s="1338"/>
      <c r="G56" s="1033">
        <v>132</v>
      </c>
      <c r="H56" s="131">
        <f t="shared" si="0"/>
        <v>51.126</v>
      </c>
      <c r="I56" s="1034">
        <v>39742.37847222222</v>
      </c>
      <c r="J56" s="1035">
        <v>39742.71319444444</v>
      </c>
      <c r="K56" s="612">
        <f t="shared" si="1"/>
        <v>8.033333333325572</v>
      </c>
      <c r="L56" s="613">
        <f t="shared" si="2"/>
        <v>482</v>
      </c>
      <c r="M56" s="826" t="s">
        <v>292</v>
      </c>
      <c r="N56" s="718" t="str">
        <f t="shared" si="3"/>
        <v>--</v>
      </c>
      <c r="O56" s="673"/>
      <c r="P56" s="1036">
        <f t="shared" si="4"/>
        <v>40</v>
      </c>
      <c r="Q56" s="1037">
        <f t="shared" si="5"/>
        <v>1642.1671199999998</v>
      </c>
      <c r="R56" s="393" t="str">
        <f t="shared" si="6"/>
        <v>--</v>
      </c>
      <c r="S56" s="606" t="str">
        <f t="shared" si="7"/>
        <v>--</v>
      </c>
      <c r="T56" s="607" t="str">
        <f t="shared" si="8"/>
        <v>--</v>
      </c>
      <c r="U56" s="1038" t="str">
        <f t="shared" si="9"/>
        <v>SI</v>
      </c>
      <c r="V56" s="618">
        <f t="shared" si="10"/>
        <v>1642.1671199999998</v>
      </c>
      <c r="W56" s="6"/>
    </row>
    <row r="57" spans="2:23" s="5" customFormat="1" ht="16.5" customHeight="1">
      <c r="B57" s="50"/>
      <c r="C57" s="1142" t="s">
        <v>278</v>
      </c>
      <c r="D57" s="602" t="s">
        <v>383</v>
      </c>
      <c r="E57" s="1337" t="s">
        <v>396</v>
      </c>
      <c r="F57" s="1338"/>
      <c r="G57" s="1033">
        <v>132</v>
      </c>
      <c r="H57" s="131">
        <f t="shared" si="0"/>
        <v>51.126</v>
      </c>
      <c r="I57" s="1034">
        <v>39743.49097222222</v>
      </c>
      <c r="J57" s="1035">
        <v>39743.825</v>
      </c>
      <c r="K57" s="612">
        <f t="shared" si="1"/>
        <v>8.016666666604578</v>
      </c>
      <c r="L57" s="613">
        <f t="shared" si="2"/>
        <v>481</v>
      </c>
      <c r="M57" s="826" t="s">
        <v>292</v>
      </c>
      <c r="N57" s="718" t="str">
        <f t="shared" si="3"/>
        <v>--</v>
      </c>
      <c r="O57" s="673"/>
      <c r="P57" s="1036">
        <f t="shared" si="4"/>
        <v>40</v>
      </c>
      <c r="Q57" s="1037">
        <f t="shared" si="5"/>
        <v>1640.12208</v>
      </c>
      <c r="R57" s="393" t="str">
        <f t="shared" si="6"/>
        <v>--</v>
      </c>
      <c r="S57" s="606" t="str">
        <f t="shared" si="7"/>
        <v>--</v>
      </c>
      <c r="T57" s="607" t="str">
        <f t="shared" si="8"/>
        <v>--</v>
      </c>
      <c r="U57" s="1038" t="str">
        <f t="shared" si="9"/>
        <v>SI</v>
      </c>
      <c r="V57" s="618">
        <f t="shared" si="10"/>
        <v>1640.12208</v>
      </c>
      <c r="W57" s="6"/>
    </row>
    <row r="58" spans="2:23" s="5" customFormat="1" ht="16.5" customHeight="1">
      <c r="B58" s="50"/>
      <c r="C58" s="1142" t="s">
        <v>279</v>
      </c>
      <c r="D58" s="602" t="s">
        <v>386</v>
      </c>
      <c r="E58" s="1337" t="s">
        <v>398</v>
      </c>
      <c r="F58" s="1338"/>
      <c r="G58" s="1033">
        <v>132</v>
      </c>
      <c r="H58" s="131">
        <f t="shared" si="0"/>
        <v>51.126</v>
      </c>
      <c r="I58" s="1034">
        <v>39744.36875</v>
      </c>
      <c r="J58" s="1035">
        <v>39744.865277777775</v>
      </c>
      <c r="K58" s="612">
        <f t="shared" si="1"/>
        <v>11.916666666569654</v>
      </c>
      <c r="L58" s="613">
        <f t="shared" si="2"/>
        <v>715</v>
      </c>
      <c r="M58" s="826" t="s">
        <v>292</v>
      </c>
      <c r="N58" s="718" t="str">
        <f t="shared" si="3"/>
        <v>--</v>
      </c>
      <c r="O58" s="673"/>
      <c r="P58" s="1036">
        <f t="shared" si="4"/>
        <v>40</v>
      </c>
      <c r="Q58" s="1037">
        <f t="shared" si="5"/>
        <v>2437.68768</v>
      </c>
      <c r="R58" s="393" t="str">
        <f t="shared" si="6"/>
        <v>--</v>
      </c>
      <c r="S58" s="606" t="str">
        <f t="shared" si="7"/>
        <v>--</v>
      </c>
      <c r="T58" s="607" t="str">
        <f t="shared" si="8"/>
        <v>--</v>
      </c>
      <c r="U58" s="1038" t="str">
        <f t="shared" si="9"/>
        <v>SI</v>
      </c>
      <c r="V58" s="618">
        <f t="shared" si="10"/>
        <v>2437.68768</v>
      </c>
      <c r="W58" s="6"/>
    </row>
    <row r="59" spans="2:23" s="5" customFormat="1" ht="16.5" customHeight="1">
      <c r="B59" s="50"/>
      <c r="C59" s="1142" t="s">
        <v>280</v>
      </c>
      <c r="D59" s="602" t="s">
        <v>386</v>
      </c>
      <c r="E59" s="1337" t="s">
        <v>401</v>
      </c>
      <c r="F59" s="1338"/>
      <c r="G59" s="1033">
        <v>132</v>
      </c>
      <c r="H59" s="131">
        <f t="shared" si="0"/>
        <v>51.126</v>
      </c>
      <c r="I59" s="1034">
        <v>39746.32986111111</v>
      </c>
      <c r="J59" s="1035">
        <v>39746.73611111111</v>
      </c>
      <c r="K59" s="612">
        <f t="shared" si="1"/>
        <v>9.75</v>
      </c>
      <c r="L59" s="613">
        <f t="shared" si="2"/>
        <v>585</v>
      </c>
      <c r="M59" s="826" t="s">
        <v>292</v>
      </c>
      <c r="N59" s="718" t="str">
        <f t="shared" si="3"/>
        <v>--</v>
      </c>
      <c r="O59" s="673"/>
      <c r="P59" s="1036">
        <f t="shared" si="4"/>
        <v>40</v>
      </c>
      <c r="Q59" s="1037">
        <f t="shared" si="5"/>
        <v>1993.914</v>
      </c>
      <c r="R59" s="393" t="str">
        <f t="shared" si="6"/>
        <v>--</v>
      </c>
      <c r="S59" s="606" t="str">
        <f t="shared" si="7"/>
        <v>--</v>
      </c>
      <c r="T59" s="607" t="str">
        <f t="shared" si="8"/>
        <v>--</v>
      </c>
      <c r="U59" s="1038" t="str">
        <f t="shared" si="9"/>
        <v>SI</v>
      </c>
      <c r="V59" s="618">
        <f t="shared" si="10"/>
        <v>1993.914</v>
      </c>
      <c r="W59" s="6"/>
    </row>
    <row r="60" spans="2:23" s="5" customFormat="1" ht="16.5" customHeight="1">
      <c r="B60" s="50"/>
      <c r="C60" s="1142" t="s">
        <v>281</v>
      </c>
      <c r="D60" s="602" t="s">
        <v>394</v>
      </c>
      <c r="E60" s="1337" t="s">
        <v>395</v>
      </c>
      <c r="F60" s="1338"/>
      <c r="G60" s="1033">
        <v>132</v>
      </c>
      <c r="H60" s="131">
        <f t="shared" si="0"/>
        <v>51.126</v>
      </c>
      <c r="I60" s="1034">
        <v>39747.31458333333</v>
      </c>
      <c r="J60" s="1035">
        <v>39747.76527777778</v>
      </c>
      <c r="K60" s="612">
        <f t="shared" si="1"/>
        <v>10.816666666651145</v>
      </c>
      <c r="L60" s="613">
        <f t="shared" si="2"/>
        <v>649</v>
      </c>
      <c r="M60" s="826" t="s">
        <v>292</v>
      </c>
      <c r="N60" s="718" t="str">
        <f t="shared" si="3"/>
        <v>--</v>
      </c>
      <c r="O60" s="673"/>
      <c r="P60" s="1036">
        <f t="shared" si="4"/>
        <v>40</v>
      </c>
      <c r="Q60" s="1037">
        <f t="shared" si="5"/>
        <v>2212.73328</v>
      </c>
      <c r="R60" s="393" t="str">
        <f t="shared" si="6"/>
        <v>--</v>
      </c>
      <c r="S60" s="606" t="str">
        <f t="shared" si="7"/>
        <v>--</v>
      </c>
      <c r="T60" s="607" t="str">
        <f t="shared" si="8"/>
        <v>--</v>
      </c>
      <c r="U60" s="1038" t="str">
        <f t="shared" si="9"/>
        <v>SI</v>
      </c>
      <c r="V60" s="618">
        <f t="shared" si="10"/>
        <v>2212.73328</v>
      </c>
      <c r="W60" s="6"/>
    </row>
    <row r="61" spans="2:23" s="5" customFormat="1" ht="16.5" customHeight="1">
      <c r="B61" s="50"/>
      <c r="C61" s="1142" t="s">
        <v>282</v>
      </c>
      <c r="D61" s="602" t="s">
        <v>394</v>
      </c>
      <c r="E61" s="1337" t="s">
        <v>395</v>
      </c>
      <c r="F61" s="1338"/>
      <c r="G61" s="1033">
        <v>132</v>
      </c>
      <c r="H61" s="131">
        <f t="shared" si="0"/>
        <v>51.126</v>
      </c>
      <c r="I61" s="1034">
        <v>39750.13055555556</v>
      </c>
      <c r="J61" s="1035">
        <v>39750.236805555556</v>
      </c>
      <c r="K61" s="612">
        <f aca="true" t="shared" si="11" ref="K61:K66">IF(D61="","",(J61-I61)*24)</f>
        <v>2.549999999930151</v>
      </c>
      <c r="L61" s="613">
        <f aca="true" t="shared" si="12" ref="L61:L66">IF(D61="","",ROUND((J61-I61)*24*60,0))</f>
        <v>153</v>
      </c>
      <c r="M61" s="826" t="s">
        <v>292</v>
      </c>
      <c r="N61" s="718" t="str">
        <f aca="true" t="shared" si="13" ref="N61:N66">IF(D61="","",IF(OR(M61="P",M61="RP"),"--","NO"))</f>
        <v>--</v>
      </c>
      <c r="O61" s="673"/>
      <c r="P61" s="1036">
        <f aca="true" t="shared" si="14" ref="P61:P66">IF(G61=500,$N$19,IF(G61=220,$N$20,$N$21))</f>
        <v>40</v>
      </c>
      <c r="Q61" s="1037">
        <f aca="true" t="shared" si="15" ref="Q61:Q66">IF(M61="P",H61*P61*ROUND(L61/60,2)*0.1,"--")</f>
        <v>521.4852</v>
      </c>
      <c r="R61" s="393" t="str">
        <f aca="true" t="shared" si="16" ref="R61:R66">IF(AND(M61="F",N61="NO"),H61*P61,"--")</f>
        <v>--</v>
      </c>
      <c r="S61" s="606" t="str">
        <f aca="true" t="shared" si="17" ref="S61:S66">IF(M61="F",H61*P61*ROUND(L61/60,2),"--")</f>
        <v>--</v>
      </c>
      <c r="T61" s="607" t="str">
        <f aca="true" t="shared" si="18" ref="T61:T66">IF(M61="RF",H61*P61*ROUND(L61/60,2),"--")</f>
        <v>--</v>
      </c>
      <c r="U61" s="1038" t="str">
        <f aca="true" t="shared" si="19" ref="U61:U66">IF(D61="","","SI")</f>
        <v>SI</v>
      </c>
      <c r="V61" s="618">
        <f aca="true" t="shared" si="20" ref="V61:V66">IF(D61="","",SUM(Q61:T61)*IF(U61="SI",1,2))</f>
        <v>521.4852</v>
      </c>
      <c r="W61" s="6"/>
    </row>
    <row r="62" spans="2:23" s="5" customFormat="1" ht="16.5" customHeight="1">
      <c r="B62" s="50"/>
      <c r="C62" s="1142" t="s">
        <v>283</v>
      </c>
      <c r="D62" s="609" t="s">
        <v>386</v>
      </c>
      <c r="E62" s="1335" t="s">
        <v>402</v>
      </c>
      <c r="F62" s="1336"/>
      <c r="G62" s="610">
        <v>132</v>
      </c>
      <c r="H62" s="131">
        <f t="shared" si="0"/>
        <v>51.126</v>
      </c>
      <c r="I62" s="611">
        <v>39750.33888888889</v>
      </c>
      <c r="J62" s="350">
        <v>39750.3625</v>
      </c>
      <c r="K62" s="612">
        <f t="shared" si="11"/>
        <v>0.56666666676756</v>
      </c>
      <c r="L62" s="613">
        <f t="shared" si="12"/>
        <v>34</v>
      </c>
      <c r="M62" s="826" t="s">
        <v>292</v>
      </c>
      <c r="N62" s="718" t="str">
        <f t="shared" si="13"/>
        <v>--</v>
      </c>
      <c r="O62" s="673"/>
      <c r="P62" s="1036">
        <f t="shared" si="14"/>
        <v>40</v>
      </c>
      <c r="Q62" s="1037">
        <f t="shared" si="15"/>
        <v>116.56727999999998</v>
      </c>
      <c r="R62" s="393" t="str">
        <f t="shared" si="16"/>
        <v>--</v>
      </c>
      <c r="S62" s="606" t="str">
        <f t="shared" si="17"/>
        <v>--</v>
      </c>
      <c r="T62" s="607" t="str">
        <f t="shared" si="18"/>
        <v>--</v>
      </c>
      <c r="U62" s="1038" t="str">
        <f t="shared" si="19"/>
        <v>SI</v>
      </c>
      <c r="V62" s="618">
        <f t="shared" si="20"/>
        <v>116.56727999999998</v>
      </c>
      <c r="W62" s="6"/>
    </row>
    <row r="63" spans="2:23" s="5" customFormat="1" ht="16.5" customHeight="1">
      <c r="B63" s="50"/>
      <c r="C63" s="1142" t="s">
        <v>294</v>
      </c>
      <c r="D63" s="609" t="s">
        <v>394</v>
      </c>
      <c r="E63" s="1335" t="s">
        <v>403</v>
      </c>
      <c r="F63" s="1336"/>
      <c r="G63" s="610">
        <v>132</v>
      </c>
      <c r="H63" s="131">
        <f t="shared" si="0"/>
        <v>51.126</v>
      </c>
      <c r="I63" s="611">
        <v>39750.44861111111</v>
      </c>
      <c r="J63" s="350">
        <v>39750.52291666667</v>
      </c>
      <c r="K63" s="612">
        <f t="shared" si="11"/>
        <v>1.78333333338378</v>
      </c>
      <c r="L63" s="613">
        <f t="shared" si="12"/>
        <v>107</v>
      </c>
      <c r="M63" s="826" t="s">
        <v>292</v>
      </c>
      <c r="N63" s="718" t="str">
        <f t="shared" si="13"/>
        <v>--</v>
      </c>
      <c r="O63" s="673"/>
      <c r="P63" s="1036">
        <f t="shared" si="14"/>
        <v>40</v>
      </c>
      <c r="Q63" s="1037">
        <f t="shared" si="15"/>
        <v>364.01712</v>
      </c>
      <c r="R63" s="393" t="str">
        <f t="shared" si="16"/>
        <v>--</v>
      </c>
      <c r="S63" s="606" t="str">
        <f t="shared" si="17"/>
        <v>--</v>
      </c>
      <c r="T63" s="607" t="str">
        <f t="shared" si="18"/>
        <v>--</v>
      </c>
      <c r="U63" s="1038" t="str">
        <f t="shared" si="19"/>
        <v>SI</v>
      </c>
      <c r="V63" s="618">
        <f t="shared" si="20"/>
        <v>364.01712</v>
      </c>
      <c r="W63" s="6"/>
    </row>
    <row r="64" spans="2:23" s="5" customFormat="1" ht="16.5" customHeight="1">
      <c r="B64" s="50"/>
      <c r="C64" s="1142" t="s">
        <v>295</v>
      </c>
      <c r="D64" s="609" t="s">
        <v>394</v>
      </c>
      <c r="E64" s="1335" t="s">
        <v>403</v>
      </c>
      <c r="F64" s="1336"/>
      <c r="G64" s="610">
        <v>132</v>
      </c>
      <c r="H64" s="131">
        <f t="shared" si="0"/>
        <v>51.126</v>
      </c>
      <c r="I64" s="611">
        <v>39751.37013888889</v>
      </c>
      <c r="J64" s="350">
        <v>39751.61597222222</v>
      </c>
      <c r="K64" s="612">
        <f t="shared" si="11"/>
        <v>5.900000000023283</v>
      </c>
      <c r="L64" s="613">
        <f t="shared" si="12"/>
        <v>354</v>
      </c>
      <c r="M64" s="826" t="s">
        <v>292</v>
      </c>
      <c r="N64" s="718" t="str">
        <f t="shared" si="13"/>
        <v>--</v>
      </c>
      <c r="O64" s="673"/>
      <c r="P64" s="1036">
        <f t="shared" si="14"/>
        <v>40</v>
      </c>
      <c r="Q64" s="1037">
        <f t="shared" si="15"/>
        <v>1206.5736000000002</v>
      </c>
      <c r="R64" s="393" t="str">
        <f t="shared" si="16"/>
        <v>--</v>
      </c>
      <c r="S64" s="606" t="str">
        <f t="shared" si="17"/>
        <v>--</v>
      </c>
      <c r="T64" s="607" t="str">
        <f t="shared" si="18"/>
        <v>--</v>
      </c>
      <c r="U64" s="1038" t="str">
        <f t="shared" si="19"/>
        <v>SI</v>
      </c>
      <c r="V64" s="618">
        <f t="shared" si="20"/>
        <v>1206.5736000000002</v>
      </c>
      <c r="W64" s="6"/>
    </row>
    <row r="65" spans="2:23" s="5" customFormat="1" ht="16.5" customHeight="1">
      <c r="B65" s="50"/>
      <c r="C65" s="1142" t="s">
        <v>296</v>
      </c>
      <c r="D65" s="609"/>
      <c r="E65" s="1335"/>
      <c r="F65" s="1336"/>
      <c r="G65" s="610"/>
      <c r="H65" s="131">
        <f t="shared" si="0"/>
        <v>51.126</v>
      </c>
      <c r="I65" s="611"/>
      <c r="J65" s="350"/>
      <c r="K65" s="612">
        <f t="shared" si="11"/>
      </c>
      <c r="L65" s="613">
        <f t="shared" si="12"/>
      </c>
      <c r="M65" s="826"/>
      <c r="N65" s="718">
        <f t="shared" si="13"/>
      </c>
      <c r="O65" s="673"/>
      <c r="P65" s="1036">
        <f t="shared" si="14"/>
        <v>40</v>
      </c>
      <c r="Q65" s="1037" t="str">
        <f t="shared" si="15"/>
        <v>--</v>
      </c>
      <c r="R65" s="393" t="str">
        <f t="shared" si="16"/>
        <v>--</v>
      </c>
      <c r="S65" s="606" t="str">
        <f t="shared" si="17"/>
        <v>--</v>
      </c>
      <c r="T65" s="607" t="str">
        <f t="shared" si="18"/>
        <v>--</v>
      </c>
      <c r="U65" s="1038">
        <f t="shared" si="19"/>
      </c>
      <c r="V65" s="618">
        <f t="shared" si="20"/>
      </c>
      <c r="W65" s="6"/>
    </row>
    <row r="66" spans="2:23" s="5" customFormat="1" ht="16.5" customHeight="1">
      <c r="B66" s="50"/>
      <c r="C66" s="1142" t="s">
        <v>297</v>
      </c>
      <c r="D66" s="609"/>
      <c r="E66" s="1335"/>
      <c r="F66" s="1336"/>
      <c r="G66" s="610"/>
      <c r="H66" s="131">
        <f t="shared" si="0"/>
        <v>51.126</v>
      </c>
      <c r="I66" s="611"/>
      <c r="J66" s="350"/>
      <c r="K66" s="612">
        <f t="shared" si="11"/>
      </c>
      <c r="L66" s="613">
        <f t="shared" si="12"/>
      </c>
      <c r="M66" s="826"/>
      <c r="N66" s="718">
        <f t="shared" si="13"/>
      </c>
      <c r="O66" s="673"/>
      <c r="P66" s="1036">
        <f t="shared" si="14"/>
        <v>40</v>
      </c>
      <c r="Q66" s="1037" t="str">
        <f t="shared" si="15"/>
        <v>--</v>
      </c>
      <c r="R66" s="393" t="str">
        <f t="shared" si="16"/>
        <v>--</v>
      </c>
      <c r="S66" s="606" t="str">
        <f t="shared" si="17"/>
        <v>--</v>
      </c>
      <c r="T66" s="607" t="str">
        <f t="shared" si="18"/>
        <v>--</v>
      </c>
      <c r="U66" s="1038">
        <f t="shared" si="19"/>
      </c>
      <c r="V66" s="618">
        <f t="shared" si="20"/>
      </c>
      <c r="W66" s="6"/>
    </row>
    <row r="67" spans="2:28" s="5" customFormat="1" ht="16.5" customHeight="1" thickBot="1">
      <c r="B67" s="50"/>
      <c r="C67" s="916"/>
      <c r="D67" s="1040"/>
      <c r="E67" s="1341"/>
      <c r="F67" s="1342"/>
      <c r="G67" s="1041"/>
      <c r="H67" s="1042"/>
      <c r="I67" s="1043"/>
      <c r="J67" s="1044"/>
      <c r="K67" s="1045"/>
      <c r="L67" s="1046"/>
      <c r="M67" s="1047"/>
      <c r="N67" s="1048"/>
      <c r="O67" s="1047"/>
      <c r="P67" s="1049"/>
      <c r="Q67" s="1050"/>
      <c r="R67" s="1051"/>
      <c r="S67" s="1052"/>
      <c r="T67" s="1053"/>
      <c r="U67" s="1054"/>
      <c r="V67" s="1055"/>
      <c r="W67" s="6"/>
      <c r="X67"/>
      <c r="Y67"/>
      <c r="Z67"/>
      <c r="AA67"/>
      <c r="AB67"/>
    </row>
    <row r="68" spans="1:23" ht="17.25" thickBot="1" thickTop="1">
      <c r="A68" s="32"/>
      <c r="B68" s="776"/>
      <c r="C68" s="779"/>
      <c r="D68" s="954"/>
      <c r="E68" s="955"/>
      <c r="F68" s="956"/>
      <c r="G68" s="957"/>
      <c r="H68" s="957"/>
      <c r="I68" s="955"/>
      <c r="J68" s="739"/>
      <c r="K68" s="739"/>
      <c r="L68" s="955"/>
      <c r="M68" s="955"/>
      <c r="N68" s="955"/>
      <c r="O68" s="958"/>
      <c r="P68" s="955"/>
      <c r="Q68" s="955"/>
      <c r="R68" s="959"/>
      <c r="S68" s="960"/>
      <c r="T68" s="960"/>
      <c r="U68" s="961"/>
      <c r="V68" s="950">
        <f>SUM(V39:V67)</f>
        <v>106626.38744</v>
      </c>
      <c r="W68" s="962"/>
    </row>
    <row r="69" spans="1:23" ht="17.25" thickBot="1" thickTop="1">
      <c r="A69" s="32"/>
      <c r="B69" s="776"/>
      <c r="C69" s="779"/>
      <c r="D69" s="954"/>
      <c r="E69" s="955"/>
      <c r="F69" s="956"/>
      <c r="G69" s="957"/>
      <c r="H69" s="957"/>
      <c r="I69" s="789" t="s">
        <v>43</v>
      </c>
      <c r="J69" s="1025">
        <f>+V68+V35</f>
        <v>108400.66544000001</v>
      </c>
      <c r="L69" s="955"/>
      <c r="M69" s="955"/>
      <c r="N69" s="955"/>
      <c r="O69" s="958"/>
      <c r="P69" s="955"/>
      <c r="Q69" s="955"/>
      <c r="R69" s="959"/>
      <c r="S69" s="960"/>
      <c r="T69" s="960"/>
      <c r="U69" s="961"/>
      <c r="W69" s="962"/>
    </row>
    <row r="70" spans="1:23" ht="13.5" customHeight="1" thickTop="1">
      <c r="A70" s="32"/>
      <c r="B70" s="776"/>
      <c r="C70" s="779"/>
      <c r="D70" s="954"/>
      <c r="E70" s="955"/>
      <c r="F70" s="956"/>
      <c r="G70" s="957"/>
      <c r="H70" s="957"/>
      <c r="I70" s="955"/>
      <c r="J70" s="739"/>
      <c r="K70" s="739"/>
      <c r="L70" s="955"/>
      <c r="M70" s="955"/>
      <c r="N70" s="955"/>
      <c r="O70" s="958"/>
      <c r="P70" s="955"/>
      <c r="Q70" s="955"/>
      <c r="R70" s="959"/>
      <c r="S70" s="960"/>
      <c r="T70" s="960"/>
      <c r="U70" s="961"/>
      <c r="W70" s="962"/>
    </row>
    <row r="71" spans="1:23" ht="16.5" customHeight="1">
      <c r="A71" s="32"/>
      <c r="B71" s="776"/>
      <c r="C71" s="963" t="s">
        <v>140</v>
      </c>
      <c r="D71" s="964" t="s">
        <v>184</v>
      </c>
      <c r="E71" s="955"/>
      <c r="F71" s="956"/>
      <c r="G71" s="957"/>
      <c r="H71" s="957"/>
      <c r="I71" s="955"/>
      <c r="J71" s="739"/>
      <c r="K71" s="739"/>
      <c r="L71" s="955"/>
      <c r="M71" s="955"/>
      <c r="N71" s="955"/>
      <c r="O71" s="958"/>
      <c r="P71" s="955"/>
      <c r="Q71" s="955"/>
      <c r="R71" s="959"/>
      <c r="S71" s="960"/>
      <c r="T71" s="960"/>
      <c r="U71" s="961"/>
      <c r="W71" s="962"/>
    </row>
    <row r="72" spans="1:23" ht="16.5" customHeight="1">
      <c r="A72" s="32"/>
      <c r="B72" s="776"/>
      <c r="C72" s="963"/>
      <c r="D72" s="954"/>
      <c r="E72" s="955"/>
      <c r="F72" s="956"/>
      <c r="G72" s="957"/>
      <c r="H72" s="957"/>
      <c r="I72" s="955"/>
      <c r="J72" s="739"/>
      <c r="K72" s="739"/>
      <c r="L72" s="955"/>
      <c r="M72" s="955"/>
      <c r="N72" s="955"/>
      <c r="O72" s="958"/>
      <c r="P72" s="955"/>
      <c r="Q72" s="955"/>
      <c r="R72" s="955"/>
      <c r="S72" s="959"/>
      <c r="T72" s="960"/>
      <c r="W72" s="962"/>
    </row>
    <row r="73" spans="2:23" s="32" customFormat="1" ht="16.5" customHeight="1">
      <c r="B73" s="776"/>
      <c r="C73" s="779"/>
      <c r="D73" s="965" t="s">
        <v>154</v>
      </c>
      <c r="E73" s="861" t="s">
        <v>155</v>
      </c>
      <c r="F73" s="861" t="s">
        <v>44</v>
      </c>
      <c r="G73" s="966" t="s">
        <v>189</v>
      </c>
      <c r="H73"/>
      <c r="I73" s="140"/>
      <c r="J73" s="977" t="s">
        <v>87</v>
      </c>
      <c r="K73" s="977"/>
      <c r="L73" s="861" t="s">
        <v>44</v>
      </c>
      <c r="M73" t="s">
        <v>167</v>
      </c>
      <c r="O73" s="966" t="s">
        <v>191</v>
      </c>
      <c r="P73"/>
      <c r="Q73" s="970"/>
      <c r="R73" s="970"/>
      <c r="S73" s="33"/>
      <c r="T73"/>
      <c r="U73"/>
      <c r="V73"/>
      <c r="W73" s="962"/>
    </row>
    <row r="74" spans="2:23" s="32" customFormat="1" ht="16.5" customHeight="1">
      <c r="B74" s="776"/>
      <c r="C74" s="779"/>
      <c r="D74" s="145" t="s">
        <v>168</v>
      </c>
      <c r="E74" s="145">
        <v>300</v>
      </c>
      <c r="F74" s="1056">
        <v>500</v>
      </c>
      <c r="G74" s="1340">
        <f>+E74*$F$20*$F$21</f>
        <v>71200.8</v>
      </c>
      <c r="H74" s="1340"/>
      <c r="I74" s="1340"/>
      <c r="J74" s="1057" t="s">
        <v>169</v>
      </c>
      <c r="K74" s="1057"/>
      <c r="L74" s="145">
        <v>500</v>
      </c>
      <c r="M74" s="145">
        <v>2</v>
      </c>
      <c r="O74" s="1340">
        <f>+M74*$F$20*$M$19</f>
        <v>95089.152</v>
      </c>
      <c r="P74" s="1340"/>
      <c r="Q74" s="1340"/>
      <c r="R74" s="1340"/>
      <c r="S74" s="1340"/>
      <c r="T74" s="1340"/>
      <c r="U74" s="1340"/>
      <c r="V74"/>
      <c r="W74" s="962"/>
    </row>
    <row r="75" spans="2:23" s="32" customFormat="1" ht="16.5" customHeight="1">
      <c r="B75" s="776"/>
      <c r="C75" s="779"/>
      <c r="D75" s="145" t="s">
        <v>170</v>
      </c>
      <c r="E75" s="144">
        <v>300</v>
      </c>
      <c r="F75" s="1056">
        <v>500</v>
      </c>
      <c r="G75" s="1340">
        <f>+E75*$F$20*$F$21</f>
        <v>71200.8</v>
      </c>
      <c r="H75" s="1340"/>
      <c r="I75" s="1340"/>
      <c r="J75" s="1057" t="s">
        <v>169</v>
      </c>
      <c r="K75" s="1057"/>
      <c r="L75" s="145">
        <v>132</v>
      </c>
      <c r="M75" s="145">
        <v>9</v>
      </c>
      <c r="O75" s="1340">
        <f>+M75*$F$20*$M$21</f>
        <v>342339.696</v>
      </c>
      <c r="P75" s="1340"/>
      <c r="Q75" s="1340"/>
      <c r="R75" s="1340"/>
      <c r="S75" s="1340"/>
      <c r="T75" s="1340"/>
      <c r="U75" s="1340"/>
      <c r="V75"/>
      <c r="W75" s="962"/>
    </row>
    <row r="76" spans="2:23" s="32" customFormat="1" ht="16.5" customHeight="1">
      <c r="B76" s="776"/>
      <c r="C76" s="779"/>
      <c r="D76" s="143" t="s">
        <v>171</v>
      </c>
      <c r="E76" s="144">
        <v>300</v>
      </c>
      <c r="F76" s="1056">
        <v>500</v>
      </c>
      <c r="G76" s="1340">
        <f>+E76*$F$20*$F$21</f>
        <v>71200.8</v>
      </c>
      <c r="H76" s="1340"/>
      <c r="I76" s="1340"/>
      <c r="J76" s="1057" t="s">
        <v>172</v>
      </c>
      <c r="K76" s="1057"/>
      <c r="L76" s="145">
        <v>132</v>
      </c>
      <c r="M76" s="145">
        <v>8</v>
      </c>
      <c r="O76" s="1340">
        <f>+M76*$F$20*$M$21</f>
        <v>304301.952</v>
      </c>
      <c r="P76" s="1340"/>
      <c r="Q76" s="1340"/>
      <c r="R76" s="1340"/>
      <c r="S76" s="1340"/>
      <c r="T76" s="1340"/>
      <c r="U76" s="1340"/>
      <c r="V76"/>
      <c r="W76" s="962"/>
    </row>
    <row r="77" spans="1:23" ht="16.5" customHeight="1">
      <c r="A77" s="32"/>
      <c r="B77" s="776"/>
      <c r="C77" s="779"/>
      <c r="D77" s="143" t="s">
        <v>173</v>
      </c>
      <c r="E77" s="144">
        <v>300</v>
      </c>
      <c r="F77" s="1056">
        <v>500</v>
      </c>
      <c r="G77" s="1340">
        <f>+E77*$F$20*$F$21</f>
        <v>71200.8</v>
      </c>
      <c r="H77" s="1340"/>
      <c r="I77" s="1340"/>
      <c r="J77" s="1057" t="s">
        <v>174</v>
      </c>
      <c r="K77" s="1057"/>
      <c r="L77" s="145">
        <v>132</v>
      </c>
      <c r="M77" s="145">
        <v>5</v>
      </c>
      <c r="O77" s="1339">
        <f>+M77*$F$20*$M$21</f>
        <v>190188.72</v>
      </c>
      <c r="P77" s="1339"/>
      <c r="Q77" s="1339"/>
      <c r="R77" s="1339"/>
      <c r="S77" s="1339"/>
      <c r="T77" s="1339"/>
      <c r="U77" s="1339"/>
      <c r="W77" s="962"/>
    </row>
    <row r="78" spans="1:23" ht="16.5" customHeight="1">
      <c r="A78" s="32"/>
      <c r="B78" s="776"/>
      <c r="C78" s="779"/>
      <c r="D78" s="143" t="s">
        <v>316</v>
      </c>
      <c r="E78" s="144">
        <v>600</v>
      </c>
      <c r="F78" s="1056">
        <v>500</v>
      </c>
      <c r="G78" s="1339">
        <f>+E78*$F$20*$F$21</f>
        <v>142401.6</v>
      </c>
      <c r="H78" s="1339"/>
      <c r="I78" s="1339"/>
      <c r="M78" s="145"/>
      <c r="O78" s="1340">
        <f>SUM(O74:P77)</f>
        <v>931919.52</v>
      </c>
      <c r="P78" s="1340"/>
      <c r="Q78" s="1340"/>
      <c r="R78" s="1340"/>
      <c r="S78" s="1340"/>
      <c r="T78" s="1340"/>
      <c r="U78" s="1340"/>
      <c r="W78" s="962"/>
    </row>
    <row r="79" spans="1:23" ht="16.5" customHeight="1">
      <c r="A79" s="32"/>
      <c r="B79" s="776"/>
      <c r="C79" s="779"/>
      <c r="D79" s="143"/>
      <c r="E79" s="144"/>
      <c r="F79" s="1056"/>
      <c r="G79" s="1340">
        <f>SUM(G74:G78)</f>
        <v>427204.80000000005</v>
      </c>
      <c r="H79" s="1340"/>
      <c r="I79" s="1340"/>
      <c r="M79" s="145"/>
      <c r="N79" s="140"/>
      <c r="O79" s="140"/>
      <c r="P79" s="1006"/>
      <c r="Q79" s="1006"/>
      <c r="R79" s="1006"/>
      <c r="S79" s="1006"/>
      <c r="W79" s="962"/>
    </row>
    <row r="80" spans="1:23" ht="16.5" customHeight="1">
      <c r="A80" s="32"/>
      <c r="B80" s="776"/>
      <c r="C80" s="779"/>
      <c r="D80" s="143"/>
      <c r="E80" s="144"/>
      <c r="F80" s="1056"/>
      <c r="G80" s="1292"/>
      <c r="H80" s="1292"/>
      <c r="I80" s="1292"/>
      <c r="M80" s="145"/>
      <c r="N80" s="140"/>
      <c r="O80" s="140"/>
      <c r="P80" s="1006"/>
      <c r="Q80" s="1006"/>
      <c r="R80" s="1006"/>
      <c r="S80" s="1006"/>
      <c r="W80" s="962"/>
    </row>
    <row r="81" spans="1:23" ht="16.5" customHeight="1">
      <c r="A81" s="32"/>
      <c r="B81" s="776"/>
      <c r="C81" s="779"/>
      <c r="D81" s="1293" t="s">
        <v>435</v>
      </c>
      <c r="E81" s="1294" t="s">
        <v>436</v>
      </c>
      <c r="F81" s="1295">
        <v>5176</v>
      </c>
      <c r="G81" s="1296" t="s">
        <v>125</v>
      </c>
      <c r="H81" s="1292"/>
      <c r="I81" s="1292"/>
      <c r="M81" s="145"/>
      <c r="N81" s="140"/>
      <c r="O81" s="140"/>
      <c r="P81" s="1006"/>
      <c r="Q81" s="1006"/>
      <c r="R81" s="1006"/>
      <c r="S81" s="1006"/>
      <c r="W81" s="962"/>
    </row>
    <row r="82" spans="1:23" ht="16.5" customHeight="1">
      <c r="A82" s="32"/>
      <c r="B82" s="776"/>
      <c r="C82" s="779"/>
      <c r="D82" s="965"/>
      <c r="E82" s="978"/>
      <c r="F82" s="978"/>
      <c r="G82" s="861"/>
      <c r="H82" s="1292"/>
      <c r="I82" s="1292"/>
      <c r="M82" s="145"/>
      <c r="N82" s="140"/>
      <c r="O82" s="140"/>
      <c r="P82" s="1006"/>
      <c r="Q82" s="1006"/>
      <c r="R82" s="1006"/>
      <c r="S82" s="1006"/>
      <c r="W82" s="962"/>
    </row>
    <row r="83" spans="1:23" ht="16.5" customHeight="1" thickBot="1">
      <c r="A83" s="32"/>
      <c r="B83" s="776"/>
      <c r="C83" s="1297" t="s">
        <v>437</v>
      </c>
      <c r="D83" s="1299" t="s">
        <v>438</v>
      </c>
      <c r="E83" s="1009"/>
      <c r="F83" s="1009"/>
      <c r="G83" s="972"/>
      <c r="I83" s="968"/>
      <c r="J83" s="966"/>
      <c r="L83" s="967"/>
      <c r="M83" s="968"/>
      <c r="N83" s="969"/>
      <c r="O83" s="970"/>
      <c r="P83" s="970"/>
      <c r="Q83" s="970"/>
      <c r="R83" s="970"/>
      <c r="S83" s="970"/>
      <c r="W83" s="962"/>
    </row>
    <row r="84" spans="1:23" ht="16.5" customHeight="1" thickBot="1" thickTop="1">
      <c r="A84" s="32"/>
      <c r="B84" s="776"/>
      <c r="C84" s="779"/>
      <c r="D84" s="861"/>
      <c r="E84" s="1009"/>
      <c r="F84" s="1009"/>
      <c r="G84" s="972"/>
      <c r="H84" s="373"/>
      <c r="I84" s="789" t="s">
        <v>45</v>
      </c>
      <c r="J84" s="1025">
        <f>+G79+O78+F81</f>
        <v>1364300.32</v>
      </c>
      <c r="L84" s="974"/>
      <c r="M84" s="373"/>
      <c r="N84" s="975"/>
      <c r="O84" s="1006"/>
      <c r="P84" s="1006"/>
      <c r="Q84" s="1006"/>
      <c r="R84" s="1006"/>
      <c r="S84" s="1006"/>
      <c r="W84" s="962"/>
    </row>
    <row r="85" spans="1:23" ht="16.5" customHeight="1" thickTop="1">
      <c r="A85" s="32"/>
      <c r="B85" s="776"/>
      <c r="C85" s="779"/>
      <c r="D85" s="739"/>
      <c r="E85" s="784"/>
      <c r="F85" s="861"/>
      <c r="G85" s="861"/>
      <c r="H85" s="862"/>
      <c r="J85" s="861"/>
      <c r="L85" s="980"/>
      <c r="M85" s="969"/>
      <c r="N85" s="969"/>
      <c r="O85" s="970"/>
      <c r="P85" s="970"/>
      <c r="Q85" s="970"/>
      <c r="R85" s="970"/>
      <c r="S85" s="970"/>
      <c r="W85" s="962"/>
    </row>
    <row r="86" spans="2:23" ht="16.5" customHeight="1">
      <c r="B86" s="776"/>
      <c r="C86" s="963" t="s">
        <v>142</v>
      </c>
      <c r="D86" s="981" t="s">
        <v>143</v>
      </c>
      <c r="E86" s="861"/>
      <c r="F86" s="982"/>
      <c r="G86" s="860"/>
      <c r="H86" s="739"/>
      <c r="I86" s="739"/>
      <c r="J86" s="739"/>
      <c r="K86" s="861"/>
      <c r="L86" s="861"/>
      <c r="M86" s="739"/>
      <c r="N86" s="861"/>
      <c r="O86" s="739"/>
      <c r="P86" s="739"/>
      <c r="Q86" s="739"/>
      <c r="R86" s="739"/>
      <c r="S86" s="739"/>
      <c r="T86" s="739"/>
      <c r="U86" s="739"/>
      <c r="W86" s="962"/>
    </row>
    <row r="87" spans="2:23" s="32" customFormat="1" ht="16.5" customHeight="1">
      <c r="B87" s="776"/>
      <c r="C87" s="779"/>
      <c r="D87" s="965" t="s">
        <v>144</v>
      </c>
      <c r="E87" s="983">
        <f>10*J69*J25/J84</f>
        <v>9846.55699950099</v>
      </c>
      <c r="G87" s="860"/>
      <c r="L87" s="861"/>
      <c r="N87" s="861"/>
      <c r="O87" s="862"/>
      <c r="V87"/>
      <c r="W87" s="962"/>
    </row>
    <row r="88" spans="2:23" s="32" customFormat="1" ht="12.75" customHeight="1">
      <c r="B88" s="776"/>
      <c r="C88" s="779"/>
      <c r="E88" s="984"/>
      <c r="F88" s="788"/>
      <c r="G88" s="860"/>
      <c r="J88" s="860"/>
      <c r="K88" s="875"/>
      <c r="L88" s="861"/>
      <c r="M88" s="861"/>
      <c r="N88" s="861"/>
      <c r="O88" s="862"/>
      <c r="P88" s="861"/>
      <c r="Q88" s="861"/>
      <c r="R88" s="874"/>
      <c r="S88" s="874"/>
      <c r="T88" s="874"/>
      <c r="U88" s="985"/>
      <c r="V88"/>
      <c r="W88" s="962"/>
    </row>
    <row r="89" spans="2:23" ht="16.5" customHeight="1">
      <c r="B89" s="776"/>
      <c r="C89" s="779"/>
      <c r="D89" s="986" t="s">
        <v>175</v>
      </c>
      <c r="E89" s="987"/>
      <c r="F89" s="788"/>
      <c r="G89" s="860"/>
      <c r="H89" s="739"/>
      <c r="I89" s="739"/>
      <c r="N89" s="861"/>
      <c r="O89" s="862"/>
      <c r="P89" s="861"/>
      <c r="Q89" s="861"/>
      <c r="R89" s="968"/>
      <c r="S89" s="968"/>
      <c r="T89" s="968"/>
      <c r="U89" s="969"/>
      <c r="W89" s="962"/>
    </row>
    <row r="90" spans="2:23" ht="13.5" customHeight="1" thickBot="1">
      <c r="B90" s="776"/>
      <c r="C90" s="779"/>
      <c r="D90" s="986"/>
      <c r="E90" s="987"/>
      <c r="F90" s="788"/>
      <c r="G90" s="860"/>
      <c r="H90" s="739"/>
      <c r="I90" s="739"/>
      <c r="N90" s="861"/>
      <c r="O90" s="862"/>
      <c r="P90" s="861"/>
      <c r="Q90" s="861"/>
      <c r="R90" s="968"/>
      <c r="S90" s="968"/>
      <c r="T90" s="968"/>
      <c r="U90" s="969"/>
      <c r="W90" s="962"/>
    </row>
    <row r="91" spans="2:23" s="988" customFormat="1" ht="21" thickBot="1" thickTop="1">
      <c r="B91" s="989"/>
      <c r="C91" s="990"/>
      <c r="D91" s="991"/>
      <c r="E91" s="992"/>
      <c r="F91" s="993"/>
      <c r="G91" s="994"/>
      <c r="I91" s="995" t="s">
        <v>145</v>
      </c>
      <c r="J91" s="996">
        <f>IF(E87&gt;3*J25,J25*3,E87)</f>
        <v>9846.55699950099</v>
      </c>
      <c r="M91" s="997"/>
      <c r="N91" s="997"/>
      <c r="O91" s="998"/>
      <c r="P91" s="997"/>
      <c r="Q91" s="997"/>
      <c r="R91" s="999"/>
      <c r="S91" s="999"/>
      <c r="T91" s="999"/>
      <c r="U91" s="1000"/>
      <c r="V91"/>
      <c r="W91" s="1001"/>
    </row>
    <row r="92" spans="2:23" ht="16.5" customHeight="1" thickBot="1" thickTop="1">
      <c r="B92" s="57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397"/>
      <c r="W92" s="1002"/>
    </row>
    <row r="93" spans="2:23" ht="16.5" customHeight="1" thickTop="1">
      <c r="B93" s="1"/>
      <c r="C93" s="73"/>
      <c r="W93" s="1"/>
    </row>
  </sheetData>
  <sheetProtection password="CC12"/>
  <mergeCells count="43">
    <mergeCell ref="O74:U74"/>
    <mergeCell ref="E67:F67"/>
    <mergeCell ref="N37:O37"/>
    <mergeCell ref="E37:F37"/>
    <mergeCell ref="E38:F38"/>
    <mergeCell ref="E39:F39"/>
    <mergeCell ref="E40:F40"/>
    <mergeCell ref="E41:F41"/>
    <mergeCell ref="E42:F42"/>
    <mergeCell ref="E43:F43"/>
    <mergeCell ref="O77:U77"/>
    <mergeCell ref="O78:U78"/>
    <mergeCell ref="O75:U75"/>
    <mergeCell ref="O76:U76"/>
    <mergeCell ref="G78:I78"/>
    <mergeCell ref="G79:I79"/>
    <mergeCell ref="G74:I74"/>
    <mergeCell ref="G75:I75"/>
    <mergeCell ref="G76:I76"/>
    <mergeCell ref="G77:I77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4:F64"/>
    <mergeCell ref="E65:F65"/>
    <mergeCell ref="E66:F66"/>
    <mergeCell ref="E60:F60"/>
    <mergeCell ref="E61:F61"/>
    <mergeCell ref="E62:F62"/>
    <mergeCell ref="E63:F63"/>
  </mergeCells>
  <printOptions horizontalCentered="1"/>
  <pageMargins left="0.3937007874015748" right="0.1968503937007874" top="0.21" bottom="0.27" header="0.14" footer="0.18"/>
  <pageSetup fitToHeight="1" fitToWidth="1" orientation="landscape" paperSize="9" scale="2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65"/>
  <sheetViews>
    <sheetView zoomScale="50" zoomScaleNormal="50" workbookViewId="0" topLeftCell="B1">
      <selection activeCell="E70" sqref="E70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6"/>
      <c r="AD1" s="1011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773" customFormat="1" ht="30.75">
      <c r="A3" s="770"/>
      <c r="B3" s="771" t="str">
        <f>+'TOT-1008'!B2</f>
        <v>ANEXO V al Memorándum D.T.E.E. N°  366 / 2010        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AB3" s="772"/>
      <c r="AC3" s="772"/>
      <c r="AD3" s="772"/>
    </row>
    <row r="4" spans="1:2" s="25" customFormat="1" ht="11.25">
      <c r="A4" s="1003" t="s">
        <v>2</v>
      </c>
      <c r="B4" s="1004"/>
    </row>
    <row r="5" spans="1:2" s="25" customFormat="1" ht="12" thickBot="1">
      <c r="A5" s="1003" t="s">
        <v>3</v>
      </c>
      <c r="B5" s="1003"/>
    </row>
    <row r="6" spans="1:23" ht="16.5" customHeight="1" thickTop="1">
      <c r="A6" s="5"/>
      <c r="B6" s="69"/>
      <c r="C6" s="70"/>
      <c r="D6" s="70"/>
      <c r="E6" s="39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375" t="s">
        <v>128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375" t="s">
        <v>129</v>
      </c>
      <c r="E9" s="43"/>
      <c r="F9" s="43"/>
      <c r="G9" s="43"/>
      <c r="H9" s="43"/>
      <c r="N9" s="43"/>
      <c r="O9" s="43"/>
      <c r="P9" s="399"/>
      <c r="Q9" s="399"/>
      <c r="R9" s="43"/>
      <c r="S9" s="43"/>
      <c r="T9" s="43"/>
      <c r="U9" s="43"/>
      <c r="V9" s="43"/>
      <c r="W9" s="400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375" t="s">
        <v>176</v>
      </c>
      <c r="E11" s="43"/>
      <c r="F11" s="43"/>
      <c r="G11" s="43"/>
      <c r="H11" s="43"/>
      <c r="N11" s="43"/>
      <c r="O11" s="43"/>
      <c r="P11" s="399"/>
      <c r="Q11" s="399"/>
      <c r="R11" s="43"/>
      <c r="S11" s="43"/>
      <c r="T11" s="43"/>
      <c r="U11" s="43"/>
      <c r="V11" s="43"/>
      <c r="W11" s="400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'TOT-1008'!B14</f>
        <v>Desde el 01 al 31 de octubre de 2008</v>
      </c>
      <c r="C13" s="38"/>
      <c r="D13" s="40"/>
      <c r="E13" s="40"/>
      <c r="F13" s="40"/>
      <c r="G13" s="40"/>
      <c r="H13" s="40"/>
      <c r="I13" s="41"/>
      <c r="J13" s="37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7"/>
      <c r="V13" s="127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775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1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1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363" t="s">
        <v>130</v>
      </c>
      <c r="D17" s="54" t="s">
        <v>131</v>
      </c>
      <c r="E17" s="66"/>
      <c r="F17" s="66"/>
      <c r="G17" s="4"/>
      <c r="H17" s="4"/>
      <c r="I17" s="4"/>
      <c r="J17" s="775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776"/>
      <c r="C18" s="33"/>
      <c r="D18" s="777"/>
      <c r="E18" s="778"/>
      <c r="F18" s="779"/>
      <c r="G18" s="33"/>
      <c r="H18" s="33"/>
      <c r="I18" s="33"/>
      <c r="J18" s="780"/>
      <c r="K18" s="33"/>
      <c r="L18" s="33"/>
      <c r="M18" s="33"/>
      <c r="N18" s="1012" t="s">
        <v>38</v>
      </c>
      <c r="P18" s="33"/>
      <c r="Q18" s="33"/>
      <c r="R18" s="33"/>
      <c r="S18" s="33"/>
      <c r="T18" s="33"/>
      <c r="U18" s="33"/>
      <c r="V18" s="33"/>
      <c r="W18" s="781"/>
    </row>
    <row r="19" spans="2:23" s="32" customFormat="1" ht="16.5" customHeight="1">
      <c r="B19" s="776"/>
      <c r="C19" s="33"/>
      <c r="E19" s="785" t="s">
        <v>41</v>
      </c>
      <c r="F19" s="786">
        <v>0.025</v>
      </c>
      <c r="G19" s="783"/>
      <c r="H19" s="33"/>
      <c r="I19" s="411" t="s">
        <v>177</v>
      </c>
      <c r="J19" s="412"/>
      <c r="K19" s="1013" t="s">
        <v>165</v>
      </c>
      <c r="L19" s="1014"/>
      <c r="M19" s="1015">
        <v>63.904</v>
      </c>
      <c r="N19" s="1016">
        <v>200</v>
      </c>
      <c r="R19" s="33"/>
      <c r="S19" s="33"/>
      <c r="T19" s="33"/>
      <c r="U19" s="33"/>
      <c r="V19" s="33"/>
      <c r="W19" s="781"/>
    </row>
    <row r="20" spans="2:23" s="32" customFormat="1" ht="16.5" customHeight="1">
      <c r="B20" s="776"/>
      <c r="C20" s="33"/>
      <c r="E20" s="777" t="s">
        <v>39</v>
      </c>
      <c r="F20" s="33">
        <f>MID(B13,16,2)*24</f>
        <v>744</v>
      </c>
      <c r="G20" s="33" t="s">
        <v>40</v>
      </c>
      <c r="H20" s="33"/>
      <c r="I20" s="33"/>
      <c r="J20" s="33"/>
      <c r="K20" s="1017" t="s">
        <v>115</v>
      </c>
      <c r="L20" s="1018"/>
      <c r="M20" s="1019">
        <v>57.511</v>
      </c>
      <c r="N20" s="1020">
        <v>100</v>
      </c>
      <c r="O20" s="33"/>
      <c r="P20" s="1005"/>
      <c r="Q20" s="33"/>
      <c r="R20" s="33"/>
      <c r="S20" s="33"/>
      <c r="T20" s="33"/>
      <c r="U20" s="33"/>
      <c r="V20" s="33"/>
      <c r="W20" s="781"/>
    </row>
    <row r="21" spans="2:23" s="32" customFormat="1" ht="16.5" customHeight="1" thickBot="1">
      <c r="B21" s="776"/>
      <c r="C21" s="33"/>
      <c r="E21" s="777" t="s">
        <v>42</v>
      </c>
      <c r="F21" s="33">
        <v>0.319</v>
      </c>
      <c r="G21" s="32" t="s">
        <v>148</v>
      </c>
      <c r="H21" s="33"/>
      <c r="I21" s="33"/>
      <c r="J21" s="33"/>
      <c r="K21" s="1021" t="s">
        <v>166</v>
      </c>
      <c r="L21" s="1022"/>
      <c r="M21" s="1023">
        <v>51.126</v>
      </c>
      <c r="N21" s="1024">
        <v>40</v>
      </c>
      <c r="O21" s="33"/>
      <c r="P21" s="1005"/>
      <c r="Q21" s="33"/>
      <c r="R21" s="33"/>
      <c r="S21" s="33"/>
      <c r="T21" s="33"/>
      <c r="U21" s="33"/>
      <c r="V21" s="33"/>
      <c r="W21" s="781"/>
    </row>
    <row r="22" spans="2:23" s="32" customFormat="1" ht="16.5" customHeight="1">
      <c r="B22" s="776"/>
      <c r="C22" s="33"/>
      <c r="D22" s="33"/>
      <c r="E22" s="78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781"/>
    </row>
    <row r="23" spans="1:23" ht="16.5" customHeight="1">
      <c r="A23" s="5"/>
      <c r="B23" s="50"/>
      <c r="C23" s="363" t="s">
        <v>134</v>
      </c>
      <c r="D23" s="3" t="s">
        <v>182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776"/>
      <c r="C25" s="779"/>
      <c r="D25"/>
      <c r="E25"/>
      <c r="F25"/>
      <c r="G25"/>
      <c r="H25"/>
      <c r="I25" s="789" t="s">
        <v>46</v>
      </c>
      <c r="J25" s="1025">
        <f>+J56*F19</f>
        <v>3822.5322</v>
      </c>
      <c r="L25"/>
      <c r="S25"/>
      <c r="T25"/>
      <c r="U25"/>
      <c r="W25" s="781"/>
    </row>
    <row r="26" spans="2:23" s="32" customFormat="1" ht="11.25" customHeight="1" thickTop="1">
      <c r="B26" s="776"/>
      <c r="C26" s="779"/>
      <c r="D26" s="33"/>
      <c r="E26" s="788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781"/>
    </row>
    <row r="27" spans="1:23" ht="16.5" customHeight="1">
      <c r="A27" s="5"/>
      <c r="B27" s="50"/>
      <c r="C27" s="363" t="s">
        <v>135</v>
      </c>
      <c r="D27" s="3" t="s">
        <v>183</v>
      </c>
      <c r="E27" s="4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779"/>
      <c r="D28" s="779"/>
      <c r="E28" s="859"/>
      <c r="F28" s="788"/>
      <c r="G28" s="860"/>
      <c r="H28" s="860"/>
      <c r="I28" s="861"/>
      <c r="J28" s="861"/>
      <c r="K28" s="861"/>
      <c r="L28" s="861"/>
      <c r="M28" s="861"/>
      <c r="N28" s="861"/>
      <c r="O28" s="862"/>
      <c r="P28" s="861"/>
      <c r="Q28" s="861"/>
      <c r="R28" s="1026"/>
      <c r="S28" s="1027"/>
      <c r="T28" s="1028"/>
      <c r="U28" s="1028"/>
      <c r="V28" s="1028"/>
      <c r="W28" s="439"/>
    </row>
    <row r="29" spans="1:26" s="5" customFormat="1" ht="33.75" customHeight="1" thickBot="1" thickTop="1">
      <c r="A29" s="90"/>
      <c r="B29" s="95"/>
      <c r="C29" s="124" t="s">
        <v>13</v>
      </c>
      <c r="D29" s="120" t="s">
        <v>28</v>
      </c>
      <c r="E29" s="119" t="s">
        <v>29</v>
      </c>
      <c r="F29" s="121" t="s">
        <v>30</v>
      </c>
      <c r="G29" s="122" t="s">
        <v>14</v>
      </c>
      <c r="H29" s="130" t="s">
        <v>16</v>
      </c>
      <c r="I29" s="119" t="s">
        <v>17</v>
      </c>
      <c r="J29" s="119" t="s">
        <v>18</v>
      </c>
      <c r="K29" s="120" t="s">
        <v>31</v>
      </c>
      <c r="L29" s="120" t="s">
        <v>32</v>
      </c>
      <c r="M29" s="88" t="s">
        <v>138</v>
      </c>
      <c r="N29" s="119" t="s">
        <v>33</v>
      </c>
      <c r="O29" s="877" t="s">
        <v>34</v>
      </c>
      <c r="P29" s="130" t="s">
        <v>35</v>
      </c>
      <c r="Q29" s="879" t="s">
        <v>20</v>
      </c>
      <c r="R29" s="880" t="s">
        <v>139</v>
      </c>
      <c r="S29" s="881"/>
      <c r="T29" s="882" t="s">
        <v>22</v>
      </c>
      <c r="U29" s="133" t="s">
        <v>106</v>
      </c>
      <c r="V29" s="122" t="s">
        <v>25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886"/>
      <c r="H30" s="887"/>
      <c r="I30" s="10"/>
      <c r="J30" s="10"/>
      <c r="K30" s="10"/>
      <c r="L30" s="10"/>
      <c r="M30" s="10"/>
      <c r="N30" s="889"/>
      <c r="O30" s="1029"/>
      <c r="P30" s="134"/>
      <c r="Q30" s="892"/>
      <c r="R30" s="893"/>
      <c r="S30" s="894"/>
      <c r="T30" s="895"/>
      <c r="U30" s="889"/>
      <c r="V30" s="899"/>
      <c r="W30" s="17"/>
    </row>
    <row r="31" spans="1:23" ht="16.5" customHeight="1">
      <c r="A31" s="5"/>
      <c r="B31" s="50"/>
      <c r="C31" s="1142" t="s">
        <v>260</v>
      </c>
      <c r="D31" s="900" t="s">
        <v>404</v>
      </c>
      <c r="E31" s="901" t="s">
        <v>405</v>
      </c>
      <c r="F31" s="902">
        <v>300</v>
      </c>
      <c r="G31" s="903" t="s">
        <v>179</v>
      </c>
      <c r="H31" s="904">
        <f>F31*$F$21</f>
        <v>95.7</v>
      </c>
      <c r="I31" s="906">
        <v>39750.23333333333</v>
      </c>
      <c r="J31" s="906">
        <v>39750.54375</v>
      </c>
      <c r="K31" s="504">
        <f>IF(D31="","",(J31-I31)*24)</f>
        <v>7.4500000000116415</v>
      </c>
      <c r="L31" s="14">
        <f>IF(D31="","",(J31-I31)*24*60)</f>
        <v>447.0000000006985</v>
      </c>
      <c r="M31" s="13" t="s">
        <v>292</v>
      </c>
      <c r="N31" s="8" t="str">
        <f>IF(D31="","",IF(OR(M31="P",M31="RP"),"--","NO"))</f>
        <v>--</v>
      </c>
      <c r="O31" s="1030" t="str">
        <f>IF(D31="","","NO")</f>
        <v>NO</v>
      </c>
      <c r="P31" s="909">
        <f>200*IF(O31="SI",1,0.1)*IF(M31="P",0.1,1)</f>
        <v>2</v>
      </c>
      <c r="Q31" s="910">
        <f>IF(M31="P",H31*P31*ROUND(L31/60,2),"--")</f>
        <v>1425.93</v>
      </c>
      <c r="R31" s="911" t="str">
        <f>IF(AND(M31="F",N31="NO"),H31*P31,"--")</f>
        <v>--</v>
      </c>
      <c r="S31" s="912" t="str">
        <f>IF(M31="F",H31*P31*ROUND(L31/60,2),"--")</f>
        <v>--</v>
      </c>
      <c r="T31" s="607" t="str">
        <f>IF(M31="RF",H31*P31*ROUND(L31/60,2),"--")</f>
        <v>--</v>
      </c>
      <c r="U31" s="514" t="str">
        <f>IF(D31="","","SI")</f>
        <v>SI</v>
      </c>
      <c r="V31" s="515">
        <f>IF(D31="","",SUM(Q31:T31)*IF(U31="SI",1,2))</f>
        <v>1425.93</v>
      </c>
      <c r="W31" s="439"/>
    </row>
    <row r="32" spans="1:23" ht="16.5" customHeight="1">
      <c r="A32" s="5"/>
      <c r="B32" s="50"/>
      <c r="C32" s="1142" t="s">
        <v>261</v>
      </c>
      <c r="D32" s="900" t="s">
        <v>404</v>
      </c>
      <c r="E32" s="901" t="s">
        <v>405</v>
      </c>
      <c r="F32" s="902">
        <v>300</v>
      </c>
      <c r="G32" s="903" t="s">
        <v>179</v>
      </c>
      <c r="H32" s="904">
        <f>F32*$F$21</f>
        <v>95.7</v>
      </c>
      <c r="I32" s="906">
        <v>39751.23402777778</v>
      </c>
      <c r="J32" s="906">
        <v>39751.53958333333</v>
      </c>
      <c r="K32" s="504">
        <f>IF(D32="","",(J32-I32)*24)</f>
        <v>7.333333333313931</v>
      </c>
      <c r="L32" s="14">
        <f>IF(D32="","",(J32-I32)*24*60)</f>
        <v>439.99999999883585</v>
      </c>
      <c r="M32" s="13" t="s">
        <v>292</v>
      </c>
      <c r="N32" s="8" t="str">
        <f>IF(D32="","",IF(OR(M32="P",M32="RP"),"--","NO"))</f>
        <v>--</v>
      </c>
      <c r="O32" s="1030" t="str">
        <f>IF(D32="","","NO")</f>
        <v>NO</v>
      </c>
      <c r="P32" s="909">
        <f>200*IF(O32="SI",1,0.1)*IF(M32="P",0.1,1)</f>
        <v>2</v>
      </c>
      <c r="Q32" s="910">
        <f>IF(M32="P",H32*P32*ROUND(L32/60,2),"--")</f>
        <v>1402.962</v>
      </c>
      <c r="R32" s="911" t="str">
        <f>IF(AND(M32="F",N32="NO"),H32*P32,"--")</f>
        <v>--</v>
      </c>
      <c r="S32" s="912" t="str">
        <f>IF(M32="F",H32*P32*ROUND(L32/60,2),"--")</f>
        <v>--</v>
      </c>
      <c r="T32" s="607" t="str">
        <f>IF(M32="RF",H32*P32*ROUND(L32/60,2),"--")</f>
        <v>--</v>
      </c>
      <c r="U32" s="514" t="str">
        <f>IF(D32="","","SI")</f>
        <v>SI</v>
      </c>
      <c r="V32" s="515">
        <f>IF(D32="","",SUM(Q32:T32)*IF(U32="SI",1,2))</f>
        <v>1402.962</v>
      </c>
      <c r="W32" s="439"/>
    </row>
    <row r="33" spans="1:23" ht="16.5" customHeight="1">
      <c r="A33" s="5"/>
      <c r="B33" s="50"/>
      <c r="C33" s="1142" t="s">
        <v>262</v>
      </c>
      <c r="D33" s="900" t="s">
        <v>404</v>
      </c>
      <c r="E33" s="901" t="s">
        <v>405</v>
      </c>
      <c r="F33" s="902">
        <v>300</v>
      </c>
      <c r="G33" s="903" t="s">
        <v>179</v>
      </c>
      <c r="H33" s="904">
        <f>F33*$F$21</f>
        <v>95.7</v>
      </c>
      <c r="I33" s="906">
        <v>39752.22430555556</v>
      </c>
      <c r="J33" s="906">
        <v>39752.55694444444</v>
      </c>
      <c r="K33" s="504">
        <f>IF(D33="","",(J33-I33)*24)</f>
        <v>7.983333333162591</v>
      </c>
      <c r="L33" s="14">
        <f>IF(D33="","",(J33-I33)*24*60)</f>
        <v>478.99999998975545</v>
      </c>
      <c r="M33" s="13" t="s">
        <v>292</v>
      </c>
      <c r="N33" s="8" t="str">
        <f>IF(D33="","",IF(OR(M33="P",M33="RP"),"--","NO"))</f>
        <v>--</v>
      </c>
      <c r="O33" s="1030" t="str">
        <f>IF(D33="","","NO")</f>
        <v>NO</v>
      </c>
      <c r="P33" s="909">
        <f>200*IF(O33="SI",1,0.1)*IF(M33="P",0.1,1)</f>
        <v>2</v>
      </c>
      <c r="Q33" s="910">
        <f>IF(M33="P",H33*P33*ROUND(L33/60,2),"--")</f>
        <v>1527.372</v>
      </c>
      <c r="R33" s="911" t="str">
        <f>IF(AND(M33="F",N33="NO"),H33*P33,"--")</f>
        <v>--</v>
      </c>
      <c r="S33" s="912" t="str">
        <f>IF(M33="F",H33*P33*ROUND(L33/60,2),"--")</f>
        <v>--</v>
      </c>
      <c r="T33" s="607" t="str">
        <f>IF(M33="RF",H33*P33*ROUND(L33/60,2),"--")</f>
        <v>--</v>
      </c>
      <c r="U33" s="514" t="str">
        <f>IF(D33="","","SI")</f>
        <v>SI</v>
      </c>
      <c r="V33" s="515">
        <f>IF(D33="","",SUM(Q33:T33)*IF(U33="SI",1,2))</f>
        <v>1527.372</v>
      </c>
      <c r="W33" s="439"/>
    </row>
    <row r="34" spans="1:23" ht="16.5" customHeight="1">
      <c r="A34" s="5"/>
      <c r="B34" s="50"/>
      <c r="C34" s="1142" t="s">
        <v>263</v>
      </c>
      <c r="D34" s="900"/>
      <c r="E34" s="901"/>
      <c r="F34" s="902"/>
      <c r="G34" s="903"/>
      <c r="H34" s="904">
        <f>F34*$F$21</f>
        <v>0</v>
      </c>
      <c r="I34" s="906"/>
      <c r="J34" s="906"/>
      <c r="K34" s="504">
        <f>IF(D34="","",(J34-I34)*24)</f>
      </c>
      <c r="L34" s="14">
        <f>IF(D34="","",(J34-I34)*24*60)</f>
      </c>
      <c r="M34" s="13"/>
      <c r="N34" s="8">
        <f>IF(D34="","",IF(OR(M34="P",M34="RP"),"--","NO"))</f>
      </c>
      <c r="O34" s="1030">
        <f>IF(D34="","","NO")</f>
      </c>
      <c r="P34" s="909">
        <f>200*IF(O34="SI",1,0.1)*IF(M34="P",0.1,1)</f>
        <v>20</v>
      </c>
      <c r="Q34" s="910" t="str">
        <f>IF(M34="P",H34*P34*ROUND(L34/60,2),"--")</f>
        <v>--</v>
      </c>
      <c r="R34" s="911" t="str">
        <f>IF(AND(M34="F",N34="NO"),H34*P34,"--")</f>
        <v>--</v>
      </c>
      <c r="S34" s="912" t="str">
        <f>IF(M34="F",H34*P34*ROUND(L34/60,2),"--")</f>
        <v>--</v>
      </c>
      <c r="T34" s="607" t="str">
        <f>IF(M34="RF",H34*P34*ROUND(L34/60,2),"--")</f>
        <v>--</v>
      </c>
      <c r="U34" s="514">
        <f>IF(D34="","","SI")</f>
      </c>
      <c r="V34" s="515">
        <f>IF(D34="","",SUM(Q34:T34)*IF(U34="SI",1,2))</f>
      </c>
      <c r="W34" s="439"/>
    </row>
    <row r="35" spans="1:23" ht="16.5" customHeight="1">
      <c r="A35" s="5"/>
      <c r="B35" s="50"/>
      <c r="C35" s="1142" t="s">
        <v>264</v>
      </c>
      <c r="D35" s="900"/>
      <c r="E35" s="901"/>
      <c r="F35" s="902"/>
      <c r="G35" s="903"/>
      <c r="H35" s="904">
        <f>F35*$F$21</f>
        <v>0</v>
      </c>
      <c r="I35" s="906"/>
      <c r="J35" s="906"/>
      <c r="K35" s="504">
        <f>IF(D35="","",(J35-I35)*24)</f>
      </c>
      <c r="L35" s="14">
        <f>IF(D35="","",(J35-I35)*24*60)</f>
      </c>
      <c r="M35" s="13"/>
      <c r="N35" s="8">
        <f>IF(D35="","",IF(OR(M35="P",M35="RP"),"--","NO"))</f>
      </c>
      <c r="O35" s="1030">
        <f>IF(D35="","","NO")</f>
      </c>
      <c r="P35" s="909">
        <f>200*IF(O35="SI",1,0.1)*IF(M35="P",0.1,1)</f>
        <v>20</v>
      </c>
      <c r="Q35" s="910" t="str">
        <f>IF(M35="P",H35*P35*ROUND(L35/60,2),"--")</f>
        <v>--</v>
      </c>
      <c r="R35" s="911" t="str">
        <f>IF(AND(M35="F",N35="NO"),H35*P35,"--")</f>
        <v>--</v>
      </c>
      <c r="S35" s="912" t="str">
        <f>IF(M35="F",H35*P35*ROUND(L35/60,2),"--")</f>
        <v>--</v>
      </c>
      <c r="T35" s="607" t="str">
        <f>IF(M35="RF",H35*P35*ROUND(L35/60,2),"--")</f>
        <v>--</v>
      </c>
      <c r="U35" s="514">
        <f>IF(D35="","","SI")</f>
      </c>
      <c r="V35" s="515">
        <f>IF(D35="","",SUM(Q35:T35)*IF(U35="SI",1,2))</f>
      </c>
      <c r="W35" s="439"/>
    </row>
    <row r="36" spans="1:23" ht="16.5" customHeight="1" thickBot="1">
      <c r="A36" s="32"/>
      <c r="B36" s="50"/>
      <c r="C36" s="916"/>
      <c r="D36" s="917"/>
      <c r="E36" s="918"/>
      <c r="F36" s="919"/>
      <c r="G36" s="920"/>
      <c r="H36" s="921"/>
      <c r="I36" s="923"/>
      <c r="J36" s="924"/>
      <c r="K36" s="925"/>
      <c r="L36" s="926"/>
      <c r="M36" s="927"/>
      <c r="N36" s="9"/>
      <c r="O36" s="1031"/>
      <c r="P36" s="930"/>
      <c r="Q36" s="931"/>
      <c r="R36" s="932"/>
      <c r="S36" s="933"/>
      <c r="T36" s="934"/>
      <c r="U36" s="938"/>
      <c r="V36" s="939"/>
      <c r="W36" s="439"/>
    </row>
    <row r="37" spans="1:23" ht="16.5" customHeight="1" thickBot="1" thickTop="1">
      <c r="A37" s="32"/>
      <c r="B37" s="50"/>
      <c r="C37" s="98"/>
      <c r="D37" s="414"/>
      <c r="E37" s="414"/>
      <c r="F37" s="644"/>
      <c r="G37" s="940"/>
      <c r="H37" s="941"/>
      <c r="I37" s="942"/>
      <c r="J37" s="943"/>
      <c r="K37" s="944"/>
      <c r="L37" s="945"/>
      <c r="M37" s="941"/>
      <c r="N37" s="946"/>
      <c r="O37" s="395"/>
      <c r="P37" s="947"/>
      <c r="Q37" s="948"/>
      <c r="R37" s="949"/>
      <c r="S37" s="949"/>
      <c r="T37" s="949"/>
      <c r="U37" s="396"/>
      <c r="V37" s="950">
        <f>SUM(V30:V36)</f>
        <v>4356.264</v>
      </c>
      <c r="W37" s="439"/>
    </row>
    <row r="38" spans="1:23" ht="16.5" customHeight="1" thickBot="1" thickTop="1">
      <c r="A38" s="32"/>
      <c r="B38" s="50"/>
      <c r="C38" s="98"/>
      <c r="D38" s="414"/>
      <c r="E38" s="414"/>
      <c r="F38" s="644"/>
      <c r="G38" s="940"/>
      <c r="H38" s="941"/>
      <c r="I38" s="942"/>
      <c r="L38" s="945"/>
      <c r="M38" s="941"/>
      <c r="N38" s="951"/>
      <c r="O38" s="952"/>
      <c r="P38" s="947"/>
      <c r="Q38" s="948"/>
      <c r="R38" s="949"/>
      <c r="S38" s="949"/>
      <c r="T38" s="949"/>
      <c r="U38" s="396"/>
      <c r="V38" s="396"/>
      <c r="W38" s="439"/>
    </row>
    <row r="39" spans="2:23" s="5" customFormat="1" ht="33.75" customHeight="1" thickBot="1" thickTop="1">
      <c r="B39" s="50"/>
      <c r="C39" s="84" t="s">
        <v>13</v>
      </c>
      <c r="D39" s="86" t="s">
        <v>28</v>
      </c>
      <c r="E39" s="1343" t="s">
        <v>29</v>
      </c>
      <c r="F39" s="1345"/>
      <c r="G39" s="133" t="s">
        <v>14</v>
      </c>
      <c r="H39" s="130" t="s">
        <v>16</v>
      </c>
      <c r="I39" s="85" t="s">
        <v>17</v>
      </c>
      <c r="J39" s="590" t="s">
        <v>18</v>
      </c>
      <c r="K39" s="592" t="s">
        <v>37</v>
      </c>
      <c r="L39" s="592" t="s">
        <v>32</v>
      </c>
      <c r="M39" s="88" t="s">
        <v>19</v>
      </c>
      <c r="N39" s="1343" t="s">
        <v>33</v>
      </c>
      <c r="O39" s="1344"/>
      <c r="P39" s="136" t="s">
        <v>38</v>
      </c>
      <c r="Q39" s="593" t="s">
        <v>97</v>
      </c>
      <c r="R39" s="381" t="s">
        <v>36</v>
      </c>
      <c r="S39" s="594"/>
      <c r="T39" s="135" t="s">
        <v>22</v>
      </c>
      <c r="U39" s="133" t="s">
        <v>106</v>
      </c>
      <c r="V39" s="122" t="s">
        <v>25</v>
      </c>
      <c r="W39" s="6"/>
    </row>
    <row r="40" spans="2:23" s="5" customFormat="1" ht="16.5" customHeight="1" thickTop="1">
      <c r="B40" s="50"/>
      <c r="C40" s="7"/>
      <c r="D40" s="602"/>
      <c r="E40" s="1337"/>
      <c r="F40" s="1338"/>
      <c r="G40" s="602"/>
      <c r="H40" s="603"/>
      <c r="I40" s="602"/>
      <c r="J40" s="602"/>
      <c r="K40" s="602"/>
      <c r="L40" s="602"/>
      <c r="M40" s="602"/>
      <c r="N40" s="602"/>
      <c r="O40" s="1032"/>
      <c r="P40" s="604"/>
      <c r="Q40" s="605"/>
      <c r="R40" s="393"/>
      <c r="S40" s="606"/>
      <c r="T40" s="607"/>
      <c r="U40" s="602"/>
      <c r="V40" s="608"/>
      <c r="W40" s="6"/>
    </row>
    <row r="41" spans="2:23" s="5" customFormat="1" ht="16.5" customHeight="1">
      <c r="B41" s="50"/>
      <c r="C41" s="1142" t="s">
        <v>260</v>
      </c>
      <c r="D41" s="602"/>
      <c r="E41" s="666"/>
      <c r="F41" s="1143"/>
      <c r="G41" s="1033"/>
      <c r="H41" s="131">
        <f>IF(G41=500,$M$19,IF(G41=220,$M$20,$M$21))</f>
        <v>51.126</v>
      </c>
      <c r="I41" s="1034"/>
      <c r="J41" s="1035"/>
      <c r="K41" s="612">
        <f>IF(D41="","",(J41-I41)*24)</f>
      </c>
      <c r="L41" s="613">
        <f>IF(D41="","",ROUND((J41-I41)*24*60,0))</f>
      </c>
      <c r="M41" s="826"/>
      <c r="N41" s="718">
        <f>IF(D41="","",IF(OR(M41="P",M41="RP"),"--","NO"))</f>
      </c>
      <c r="O41" s="673"/>
      <c r="P41" s="1036">
        <f>IF(G41=500,$N$19,IF(G41=220,$N$20,$N$21))</f>
        <v>40</v>
      </c>
      <c r="Q41" s="1037" t="str">
        <f>IF(M41="P",H41*P41*ROUND(L41/60,2)*0.1,"--")</f>
        <v>--</v>
      </c>
      <c r="R41" s="393" t="str">
        <f>IF(AND(M41="F",N41="NO"),H41*P41,"--")</f>
        <v>--</v>
      </c>
      <c r="S41" s="606" t="str">
        <f>IF(M41="F",H41*P41*ROUND(L41/60,2),"--")</f>
        <v>--</v>
      </c>
      <c r="T41" s="607" t="str">
        <f>IF(M41="RF",H41*P41*ROUND(L41/60,2),"--")</f>
        <v>--</v>
      </c>
      <c r="U41" s="1038">
        <f>IF(D41="","","SI")</f>
      </c>
      <c r="V41" s="618">
        <f>IF(D41="","",SUM(Q41:T41)*IF(U41="SI",1,2))</f>
      </c>
      <c r="W41" s="6"/>
    </row>
    <row r="42" spans="2:23" s="5" customFormat="1" ht="16.5" customHeight="1">
      <c r="B42" s="50"/>
      <c r="C42" s="1142" t="s">
        <v>261</v>
      </c>
      <c r="D42" s="602"/>
      <c r="E42" s="666"/>
      <c r="F42" s="1143"/>
      <c r="G42" s="1033"/>
      <c r="H42" s="131">
        <f>IF(G42=500,$M$19,IF(G42=220,$M$20,$M$21))</f>
        <v>51.126</v>
      </c>
      <c r="I42" s="1034"/>
      <c r="J42" s="1035"/>
      <c r="K42" s="612">
        <f>IF(D42="","",(J42-I42)*24)</f>
      </c>
      <c r="L42" s="613">
        <f>IF(D42="","",ROUND((J42-I42)*24*60,0))</f>
      </c>
      <c r="M42" s="826"/>
      <c r="N42" s="718">
        <f>IF(D42="","",IF(OR(M42="P",M42="RP"),"--","NO"))</f>
      </c>
      <c r="O42" s="673"/>
      <c r="P42" s="1036">
        <f>IF(G42=500,$N$19,IF(G42=220,$N$20,$N$21))</f>
        <v>40</v>
      </c>
      <c r="Q42" s="1037" t="str">
        <f>IF(M42="P",H42*P42*ROUND(L42/60,2)*0.1,"--")</f>
        <v>--</v>
      </c>
      <c r="R42" s="393" t="str">
        <f>IF(AND(M42="F",N42="NO"),H42*P42,"--")</f>
        <v>--</v>
      </c>
      <c r="S42" s="606" t="str">
        <f>IF(M42="F",H42*P42*ROUND(L42/60,2),"--")</f>
        <v>--</v>
      </c>
      <c r="T42" s="607" t="str">
        <f>IF(M42="RF",H42*P42*ROUND(L42/60,2),"--")</f>
        <v>--</v>
      </c>
      <c r="U42" s="1038">
        <f>IF(D42="","","SI")</f>
      </c>
      <c r="V42" s="618">
        <f>IF(D42="","",SUM(Q42:T42)*IF(U42="SI",1,2))</f>
      </c>
      <c r="W42" s="6"/>
    </row>
    <row r="43" spans="2:28" s="5" customFormat="1" ht="16.5" customHeight="1" thickBot="1">
      <c r="B43" s="50"/>
      <c r="C43" s="1039"/>
      <c r="D43" s="1040"/>
      <c r="E43" s="1341"/>
      <c r="F43" s="1342"/>
      <c r="G43" s="1041"/>
      <c r="H43" s="1042"/>
      <c r="I43" s="1043"/>
      <c r="J43" s="1044"/>
      <c r="K43" s="1045"/>
      <c r="L43" s="1046"/>
      <c r="M43" s="1047"/>
      <c r="N43" s="1048"/>
      <c r="O43" s="1047"/>
      <c r="P43" s="1049"/>
      <c r="Q43" s="1050"/>
      <c r="R43" s="1051"/>
      <c r="S43" s="1052"/>
      <c r="T43" s="1053"/>
      <c r="U43" s="1054"/>
      <c r="V43" s="1055"/>
      <c r="W43" s="6"/>
      <c r="X43"/>
      <c r="Y43"/>
      <c r="Z43"/>
      <c r="AA43"/>
      <c r="AB43"/>
    </row>
    <row r="44" spans="1:23" ht="17.25" thickBot="1" thickTop="1">
      <c r="A44" s="32"/>
      <c r="B44" s="776"/>
      <c r="C44" s="779"/>
      <c r="D44" s="954"/>
      <c r="E44" s="955"/>
      <c r="F44" s="956"/>
      <c r="G44" s="957"/>
      <c r="H44" s="957"/>
      <c r="I44" s="955"/>
      <c r="J44" s="739"/>
      <c r="K44" s="739"/>
      <c r="L44" s="955"/>
      <c r="M44" s="955"/>
      <c r="N44" s="955"/>
      <c r="O44" s="958"/>
      <c r="P44" s="955"/>
      <c r="Q44" s="955"/>
      <c r="R44" s="959"/>
      <c r="S44" s="960"/>
      <c r="T44" s="960"/>
      <c r="U44" s="961"/>
      <c r="V44" s="950">
        <f>SUM(V41:V43)</f>
        <v>0</v>
      </c>
      <c r="W44" s="962"/>
    </row>
    <row r="45" spans="1:23" ht="17.25" thickBot="1" thickTop="1">
      <c r="A45" s="32"/>
      <c r="B45" s="776"/>
      <c r="C45" s="779"/>
      <c r="D45" s="954"/>
      <c r="E45" s="955"/>
      <c r="F45" s="956"/>
      <c r="G45" s="957"/>
      <c r="H45" s="957"/>
      <c r="I45" s="789" t="s">
        <v>43</v>
      </c>
      <c r="J45" s="1025">
        <f>+V44+V37</f>
        <v>4356.264</v>
      </c>
      <c r="L45" s="955"/>
      <c r="M45" s="955"/>
      <c r="N45" s="955"/>
      <c r="O45" s="958"/>
      <c r="P45" s="955"/>
      <c r="Q45" s="955"/>
      <c r="R45" s="959"/>
      <c r="S45" s="960"/>
      <c r="T45" s="960"/>
      <c r="U45" s="961"/>
      <c r="W45" s="962"/>
    </row>
    <row r="46" spans="1:23" ht="13.5" customHeight="1" thickTop="1">
      <c r="A46" s="32"/>
      <c r="B46" s="776"/>
      <c r="C46" s="779"/>
      <c r="D46" s="954"/>
      <c r="E46" s="955"/>
      <c r="F46" s="956"/>
      <c r="G46" s="957"/>
      <c r="H46" s="957"/>
      <c r="I46" s="955"/>
      <c r="J46" s="739"/>
      <c r="K46" s="739"/>
      <c r="L46" s="955"/>
      <c r="M46" s="955"/>
      <c r="N46" s="955"/>
      <c r="O46" s="958"/>
      <c r="P46" s="955"/>
      <c r="Q46" s="955"/>
      <c r="R46" s="959"/>
      <c r="S46" s="960"/>
      <c r="T46" s="960"/>
      <c r="U46" s="961"/>
      <c r="W46" s="962"/>
    </row>
    <row r="47" spans="1:23" ht="16.5" customHeight="1">
      <c r="A47" s="32"/>
      <c r="B47" s="776"/>
      <c r="C47" s="963" t="s">
        <v>140</v>
      </c>
      <c r="D47" s="964" t="s">
        <v>184</v>
      </c>
      <c r="E47" s="955"/>
      <c r="F47" s="956"/>
      <c r="G47" s="957"/>
      <c r="H47" s="957"/>
      <c r="I47" s="955"/>
      <c r="J47" s="739"/>
      <c r="K47" s="739"/>
      <c r="L47" s="955"/>
      <c r="M47" s="955"/>
      <c r="N47" s="955"/>
      <c r="O47" s="958"/>
      <c r="P47" s="955"/>
      <c r="Q47" s="955"/>
      <c r="R47" s="959"/>
      <c r="S47" s="960"/>
      <c r="T47" s="960"/>
      <c r="U47" s="961"/>
      <c r="W47" s="962"/>
    </row>
    <row r="48" spans="1:23" ht="16.5" customHeight="1">
      <c r="A48" s="32"/>
      <c r="B48" s="776"/>
      <c r="C48" s="963"/>
      <c r="D48" s="954"/>
      <c r="E48" s="955"/>
      <c r="F48" s="956"/>
      <c r="G48" s="957"/>
      <c r="H48" s="957"/>
      <c r="I48" s="955"/>
      <c r="J48" s="739"/>
      <c r="K48" s="739"/>
      <c r="L48" s="955"/>
      <c r="M48" s="955"/>
      <c r="N48" s="955"/>
      <c r="O48" s="958"/>
      <c r="P48" s="955"/>
      <c r="Q48" s="955"/>
      <c r="R48" s="955"/>
      <c r="S48" s="959"/>
      <c r="T48" s="960"/>
      <c r="W48" s="962"/>
    </row>
    <row r="49" spans="2:23" s="32" customFormat="1" ht="16.5" customHeight="1">
      <c r="B49" s="776"/>
      <c r="C49" s="779"/>
      <c r="D49" s="965" t="s">
        <v>154</v>
      </c>
      <c r="E49" s="861" t="s">
        <v>155</v>
      </c>
      <c r="F49" s="861" t="s">
        <v>44</v>
      </c>
      <c r="G49" s="966" t="s">
        <v>189</v>
      </c>
      <c r="H49"/>
      <c r="I49" s="140"/>
      <c r="J49" s="977" t="s">
        <v>87</v>
      </c>
      <c r="K49" s="977"/>
      <c r="L49" s="861" t="s">
        <v>44</v>
      </c>
      <c r="M49" t="s">
        <v>167</v>
      </c>
      <c r="O49" s="966" t="s">
        <v>191</v>
      </c>
      <c r="P49"/>
      <c r="Q49" s="970"/>
      <c r="R49" s="970"/>
      <c r="S49" s="33"/>
      <c r="T49"/>
      <c r="U49"/>
      <c r="V49"/>
      <c r="W49" s="962"/>
    </row>
    <row r="50" spans="2:23" s="32" customFormat="1" ht="16.5" customHeight="1">
      <c r="B50" s="776"/>
      <c r="C50" s="779"/>
      <c r="D50" s="145" t="s">
        <v>178</v>
      </c>
      <c r="E50" s="145">
        <v>300</v>
      </c>
      <c r="F50" s="1058" t="s">
        <v>179</v>
      </c>
      <c r="G50" s="1339">
        <f>+E50*$F$20*$F$21</f>
        <v>71200.8</v>
      </c>
      <c r="H50" s="1339"/>
      <c r="I50" s="1339"/>
      <c r="J50" s="1057" t="s">
        <v>180</v>
      </c>
      <c r="K50" s="1057"/>
      <c r="L50" s="145">
        <v>132</v>
      </c>
      <c r="M50" s="145">
        <v>2</v>
      </c>
      <c r="O50" s="1339">
        <f>+M50*$F$20*$M$21</f>
        <v>76075.488</v>
      </c>
      <c r="P50" s="1339"/>
      <c r="Q50" s="1339"/>
      <c r="R50" s="1339"/>
      <c r="S50" s="1339"/>
      <c r="T50" s="1339"/>
      <c r="U50" s="1339"/>
      <c r="V50"/>
      <c r="W50" s="962"/>
    </row>
    <row r="51" spans="1:23" ht="16.5" customHeight="1">
      <c r="A51" s="32"/>
      <c r="B51" s="776"/>
      <c r="C51" s="779"/>
      <c r="D51" s="143"/>
      <c r="E51" s="144"/>
      <c r="F51" s="1056"/>
      <c r="G51" s="1340">
        <f>+G50</f>
        <v>71200.8</v>
      </c>
      <c r="H51" s="1340"/>
      <c r="I51" s="1340"/>
      <c r="M51" s="145"/>
      <c r="O51" s="1340">
        <f>SUM(O50:P50)</f>
        <v>76075.488</v>
      </c>
      <c r="P51" s="1340"/>
      <c r="Q51" s="1340"/>
      <c r="R51" s="1340"/>
      <c r="S51" s="1340"/>
      <c r="T51" s="1340"/>
      <c r="U51" s="1340"/>
      <c r="W51" s="962"/>
    </row>
    <row r="52" spans="1:23" ht="16.5" customHeight="1">
      <c r="A52" s="32"/>
      <c r="B52" s="776"/>
      <c r="C52" s="779"/>
      <c r="D52" s="143"/>
      <c r="E52" s="144"/>
      <c r="F52" s="1056"/>
      <c r="G52" s="1292"/>
      <c r="H52" s="1292"/>
      <c r="I52" s="1292"/>
      <c r="M52" s="145"/>
      <c r="O52" s="1292"/>
      <c r="P52" s="1292"/>
      <c r="Q52" s="1292"/>
      <c r="R52" s="1292"/>
      <c r="S52" s="1292"/>
      <c r="T52" s="1292"/>
      <c r="U52" s="1292"/>
      <c r="W52" s="962"/>
    </row>
    <row r="53" spans="1:23" ht="16.5" customHeight="1">
      <c r="A53" s="32"/>
      <c r="B53" s="776"/>
      <c r="C53" s="779"/>
      <c r="D53" s="1293" t="s">
        <v>439</v>
      </c>
      <c r="E53" s="1294" t="s">
        <v>440</v>
      </c>
      <c r="F53" s="1295">
        <v>5625</v>
      </c>
      <c r="G53" s="1296" t="s">
        <v>125</v>
      </c>
      <c r="H53" s="1292"/>
      <c r="I53" s="1292"/>
      <c r="M53" s="145"/>
      <c r="O53" s="1292"/>
      <c r="P53" s="1292"/>
      <c r="Q53" s="1292"/>
      <c r="R53" s="1292"/>
      <c r="S53" s="1292"/>
      <c r="T53" s="1292"/>
      <c r="U53" s="1292"/>
      <c r="W53" s="962"/>
    </row>
    <row r="54" spans="1:23" ht="16.5" customHeight="1">
      <c r="A54" s="32"/>
      <c r="B54" s="776"/>
      <c r="C54" s="779"/>
      <c r="D54" s="965"/>
      <c r="E54" s="978"/>
      <c r="F54" s="978"/>
      <c r="G54" s="861"/>
      <c r="M54" s="145"/>
      <c r="N54" s="140"/>
      <c r="O54" s="140"/>
      <c r="P54" s="1006"/>
      <c r="Q54" s="1006"/>
      <c r="R54" s="1006"/>
      <c r="S54" s="1006"/>
      <c r="W54" s="962"/>
    </row>
    <row r="55" spans="1:23" ht="16.5" customHeight="1" thickBot="1">
      <c r="A55" s="32"/>
      <c r="B55" s="776"/>
      <c r="C55" s="1297" t="s">
        <v>437</v>
      </c>
      <c r="D55" s="1298" t="s">
        <v>441</v>
      </c>
      <c r="E55" s="1009"/>
      <c r="F55" s="1009"/>
      <c r="G55" s="972"/>
      <c r="I55" s="968"/>
      <c r="J55" s="966"/>
      <c r="L55" s="967"/>
      <c r="M55" s="968"/>
      <c r="N55" s="969"/>
      <c r="O55" s="970"/>
      <c r="P55" s="970"/>
      <c r="Q55" s="970"/>
      <c r="R55" s="970"/>
      <c r="S55" s="970"/>
      <c r="W55" s="962"/>
    </row>
    <row r="56" spans="1:23" ht="16.5" customHeight="1" thickBot="1" thickTop="1">
      <c r="A56" s="32"/>
      <c r="B56" s="776"/>
      <c r="C56" s="779"/>
      <c r="D56" s="861"/>
      <c r="E56" s="1009"/>
      <c r="F56" s="1009"/>
      <c r="G56" s="972"/>
      <c r="H56" s="373"/>
      <c r="I56" s="789" t="s">
        <v>45</v>
      </c>
      <c r="J56" s="1025">
        <f>+G51+O51+F53</f>
        <v>152901.288</v>
      </c>
      <c r="L56" s="974"/>
      <c r="M56" s="373"/>
      <c r="N56" s="975"/>
      <c r="O56" s="1006"/>
      <c r="P56" s="1006"/>
      <c r="Q56" s="1006"/>
      <c r="R56" s="1006"/>
      <c r="S56" s="1006"/>
      <c r="W56" s="962"/>
    </row>
    <row r="57" spans="1:23" ht="16.5" customHeight="1" thickTop="1">
      <c r="A57" s="32"/>
      <c r="B57" s="776"/>
      <c r="C57" s="779"/>
      <c r="D57" s="739"/>
      <c r="E57" s="784"/>
      <c r="F57" s="861"/>
      <c r="G57" s="861"/>
      <c r="H57" s="862"/>
      <c r="J57" s="861"/>
      <c r="L57" s="980"/>
      <c r="M57" s="969"/>
      <c r="N57" s="969"/>
      <c r="O57" s="970"/>
      <c r="P57" s="970"/>
      <c r="Q57" s="970"/>
      <c r="R57" s="970"/>
      <c r="S57" s="970"/>
      <c r="W57" s="962"/>
    </row>
    <row r="58" spans="2:23" ht="16.5" customHeight="1">
      <c r="B58" s="776"/>
      <c r="C58" s="963" t="s">
        <v>142</v>
      </c>
      <c r="D58" s="981" t="s">
        <v>143</v>
      </c>
      <c r="E58" s="861"/>
      <c r="F58" s="982"/>
      <c r="G58" s="860"/>
      <c r="H58" s="739"/>
      <c r="I58" s="739"/>
      <c r="J58" s="739"/>
      <c r="K58" s="861"/>
      <c r="L58" s="861"/>
      <c r="M58" s="739"/>
      <c r="N58" s="861"/>
      <c r="O58" s="739"/>
      <c r="P58" s="739"/>
      <c r="Q58" s="739"/>
      <c r="R58" s="739"/>
      <c r="S58" s="739"/>
      <c r="T58" s="739"/>
      <c r="U58" s="739"/>
      <c r="W58" s="962"/>
    </row>
    <row r="59" spans="2:23" s="32" customFormat="1" ht="16.5" customHeight="1">
      <c r="B59" s="776"/>
      <c r="C59" s="779"/>
      <c r="D59" s="965" t="s">
        <v>144</v>
      </c>
      <c r="E59" s="983">
        <f>10*J45*J25/J56</f>
        <v>1089.066</v>
      </c>
      <c r="G59" s="860"/>
      <c r="L59" s="861"/>
      <c r="N59" s="861"/>
      <c r="O59" s="862"/>
      <c r="V59"/>
      <c r="W59" s="962"/>
    </row>
    <row r="60" spans="2:23" s="32" customFormat="1" ht="12.75" customHeight="1">
      <c r="B60" s="776"/>
      <c r="C60" s="779"/>
      <c r="E60" s="984"/>
      <c r="F60" s="788"/>
      <c r="G60" s="860"/>
      <c r="J60" s="860"/>
      <c r="K60" s="875"/>
      <c r="L60" s="861"/>
      <c r="M60" s="861"/>
      <c r="N60" s="861"/>
      <c r="O60" s="862"/>
      <c r="P60" s="861"/>
      <c r="Q60" s="861"/>
      <c r="R60" s="874"/>
      <c r="S60" s="874"/>
      <c r="T60" s="874"/>
      <c r="U60" s="985"/>
      <c r="V60"/>
      <c r="W60" s="962"/>
    </row>
    <row r="61" spans="2:23" ht="16.5" customHeight="1">
      <c r="B61" s="776"/>
      <c r="C61" s="779"/>
      <c r="D61" s="986" t="s">
        <v>181</v>
      </c>
      <c r="E61" s="987"/>
      <c r="F61" s="788"/>
      <c r="G61" s="860"/>
      <c r="H61" s="739"/>
      <c r="I61" s="739"/>
      <c r="N61" s="861"/>
      <c r="O61" s="862"/>
      <c r="P61" s="861"/>
      <c r="Q61" s="861"/>
      <c r="R61" s="968"/>
      <c r="S61" s="968"/>
      <c r="T61" s="968"/>
      <c r="U61" s="969"/>
      <c r="W61" s="962"/>
    </row>
    <row r="62" spans="2:23" ht="13.5" customHeight="1" thickBot="1">
      <c r="B62" s="776"/>
      <c r="C62" s="779"/>
      <c r="D62" s="986"/>
      <c r="E62" s="987"/>
      <c r="F62" s="788"/>
      <c r="G62" s="860"/>
      <c r="H62" s="739"/>
      <c r="I62" s="739"/>
      <c r="N62" s="861"/>
      <c r="O62" s="862"/>
      <c r="P62" s="861"/>
      <c r="Q62" s="861"/>
      <c r="R62" s="968"/>
      <c r="S62" s="968"/>
      <c r="T62" s="968"/>
      <c r="U62" s="969"/>
      <c r="W62" s="962"/>
    </row>
    <row r="63" spans="2:23" s="988" customFormat="1" ht="21" thickBot="1" thickTop="1">
      <c r="B63" s="989"/>
      <c r="C63" s="990"/>
      <c r="D63" s="991"/>
      <c r="E63" s="992"/>
      <c r="F63" s="993"/>
      <c r="G63" s="994"/>
      <c r="I63" s="995" t="s">
        <v>145</v>
      </c>
      <c r="J63" s="996">
        <f>IF(E59&gt;3*J25,J25*3,E59)</f>
        <v>1089.066</v>
      </c>
      <c r="M63" s="997"/>
      <c r="N63" s="997"/>
      <c r="O63" s="998"/>
      <c r="P63" s="997"/>
      <c r="Q63" s="997"/>
      <c r="R63" s="999"/>
      <c r="S63" s="999"/>
      <c r="T63" s="999"/>
      <c r="U63" s="1000"/>
      <c r="V63"/>
      <c r="W63" s="1001"/>
    </row>
    <row r="64" spans="2:23" ht="16.5" customHeight="1" thickBot="1" thickTop="1">
      <c r="B64" s="5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397"/>
      <c r="W64" s="1002"/>
    </row>
    <row r="65" spans="2:23" ht="16.5" customHeight="1" thickTop="1">
      <c r="B65" s="1"/>
      <c r="C65" s="73"/>
      <c r="W65" s="1"/>
    </row>
  </sheetData>
  <sheetProtection password="CC12"/>
  <mergeCells count="8">
    <mergeCell ref="E39:F39"/>
    <mergeCell ref="E40:F40"/>
    <mergeCell ref="O51:U51"/>
    <mergeCell ref="G51:I51"/>
    <mergeCell ref="G50:I50"/>
    <mergeCell ref="O50:U50"/>
    <mergeCell ref="N39:O39"/>
    <mergeCell ref="E43:F4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0" zoomScaleNormal="70" workbookViewId="0" topLeftCell="B1">
      <selection activeCell="D43" sqref="D4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4.421875" style="0" hidden="1" customWidth="1"/>
    <col min="9" max="9" width="9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0" width="9.8515625" style="0" hidden="1" customWidth="1"/>
    <col min="21" max="21" width="8.281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+'TOT-1008'!B2</f>
        <v>ANEXO V al Memorándum D.T.E.E. N°  366 / 2010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39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375" t="s">
        <v>96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425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+'TOT-1008'!B14</f>
        <v>Desde el 01 al 31 de octubre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1"/>
      <c r="O14" s="40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402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123</v>
      </c>
      <c r="E16" s="1136">
        <v>89.969</v>
      </c>
      <c r="F16" s="40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124</v>
      </c>
      <c r="E17" s="1136">
        <v>74.974</v>
      </c>
      <c r="F17" s="405"/>
      <c r="G17" s="4"/>
      <c r="H17" s="4"/>
      <c r="I17" s="4"/>
      <c r="J17" s="411"/>
      <c r="K17" s="412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414"/>
      <c r="F18" s="4"/>
      <c r="G18" s="4"/>
      <c r="H18" s="4"/>
      <c r="I18" s="4"/>
      <c r="J18" s="4"/>
      <c r="K18" s="4"/>
      <c r="L18" s="4"/>
      <c r="M18" s="4"/>
      <c r="N18" s="41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1059" t="s">
        <v>14</v>
      </c>
      <c r="F19" s="86" t="s">
        <v>15</v>
      </c>
      <c r="G19" s="417" t="s">
        <v>103</v>
      </c>
      <c r="H19" s="1060" t="s">
        <v>38</v>
      </c>
      <c r="I19" s="1061" t="s">
        <v>16</v>
      </c>
      <c r="J19" s="85" t="s">
        <v>17</v>
      </c>
      <c r="K19" s="380" t="s">
        <v>18</v>
      </c>
      <c r="L19" s="88" t="s">
        <v>37</v>
      </c>
      <c r="M19" s="86" t="s">
        <v>32</v>
      </c>
      <c r="N19" s="88" t="s">
        <v>19</v>
      </c>
      <c r="O19" s="86" t="s">
        <v>65</v>
      </c>
      <c r="P19" s="380" t="s">
        <v>66</v>
      </c>
      <c r="Q19" s="85" t="s">
        <v>33</v>
      </c>
      <c r="R19" s="137" t="s">
        <v>20</v>
      </c>
      <c r="S19" s="1062" t="s">
        <v>21</v>
      </c>
      <c r="T19" s="419" t="s">
        <v>78</v>
      </c>
      <c r="U19" s="420"/>
      <c r="V19" s="421"/>
      <c r="W19" s="1063" t="s">
        <v>193</v>
      </c>
      <c r="X19" s="1064"/>
      <c r="Y19" s="1065"/>
      <c r="Z19" s="422" t="s">
        <v>22</v>
      </c>
      <c r="AA19" s="423" t="s">
        <v>105</v>
      </c>
      <c r="AB19" s="133" t="s">
        <v>106</v>
      </c>
      <c r="AC19" s="133" t="s">
        <v>25</v>
      </c>
      <c r="AD19" s="424"/>
    </row>
    <row r="20" spans="2:30" s="5" customFormat="1" ht="16.5" customHeight="1" thickTop="1">
      <c r="B20" s="50"/>
      <c r="C20" s="354"/>
      <c r="D20" s="1088"/>
      <c r="E20" s="1089"/>
      <c r="F20" s="1140"/>
      <c r="G20" s="1089"/>
      <c r="H20" s="1077"/>
      <c r="I20" s="1078"/>
      <c r="J20" s="1090"/>
      <c r="K20" s="1091"/>
      <c r="L20" s="390"/>
      <c r="M20" s="391"/>
      <c r="N20" s="431"/>
      <c r="O20" s="392"/>
      <c r="P20" s="352"/>
      <c r="Q20" s="352"/>
      <c r="R20" s="1081"/>
      <c r="S20" s="1082"/>
      <c r="T20" s="434"/>
      <c r="U20" s="435"/>
      <c r="V20" s="436"/>
      <c r="W20" s="1083"/>
      <c r="X20" s="1084"/>
      <c r="Y20" s="1085"/>
      <c r="Z20" s="437"/>
      <c r="AA20" s="438"/>
      <c r="AB20" s="1086"/>
      <c r="AC20" s="16"/>
      <c r="AD20" s="1087"/>
    </row>
    <row r="21" spans="2:30" s="5" customFormat="1" ht="16.5" customHeight="1">
      <c r="B21" s="50"/>
      <c r="C21" s="345">
        <v>3</v>
      </c>
      <c r="D21" s="345" t="s">
        <v>324</v>
      </c>
      <c r="E21" s="347">
        <v>500</v>
      </c>
      <c r="F21" s="1273">
        <v>194</v>
      </c>
      <c r="G21" s="347" t="s">
        <v>304</v>
      </c>
      <c r="H21" s="1077">
        <f aca="true" t="shared" si="0" ref="H21:H26">IF(G21="A",200,IF(G21="B",60,20))</f>
        <v>20</v>
      </c>
      <c r="I21" s="1078">
        <f aca="true" t="shared" si="1" ref="I21:I26">IF(E21=500,IF(F21&lt;100,100*$E$16/100,F21*$E$16/100),IF(F21&lt;100,100*$E$17/100,F21*$E$17/100))</f>
        <v>174.53985999999998</v>
      </c>
      <c r="J21" s="388">
        <v>39727.98819444444</v>
      </c>
      <c r="K21" s="430">
        <v>39727.99166666667</v>
      </c>
      <c r="L21" s="390">
        <f aca="true" t="shared" si="2" ref="L21:L26">IF(D21="","",(K21-J21)*24)</f>
        <v>0.0833333334303461</v>
      </c>
      <c r="M21" s="391">
        <f aca="true" t="shared" si="3" ref="M21:M26">IF(D21="","",ROUND((K21-J21)*24*60,0))</f>
        <v>5</v>
      </c>
      <c r="N21" s="431" t="s">
        <v>325</v>
      </c>
      <c r="O21" s="392" t="str">
        <f aca="true" t="shared" si="4" ref="O21:O26">IF(D21="","","--")</f>
        <v>--</v>
      </c>
      <c r="P21" s="352" t="str">
        <f aca="true" t="shared" si="5" ref="P21:P26">IF(D21="","","NO")</f>
        <v>NO</v>
      </c>
      <c r="Q21" s="352" t="str">
        <f aca="true" t="shared" si="6" ref="Q21:Q26">IF(D21="","",IF(OR(N21="P",N21="RP"),"--","NO"))</f>
        <v>NO</v>
      </c>
      <c r="R21" s="1081" t="str">
        <f aca="true" t="shared" si="7" ref="R21:R26">IF(N21="P",I21*H21*ROUND(M21/60,2)*0.01,"--")</f>
        <v>--</v>
      </c>
      <c r="S21" s="1082" t="str">
        <f aca="true" t="shared" si="8" ref="S21:S26">IF(N21="RP",I21*H21*ROUND(M21/60,2)*0.01*O21/100,"--")</f>
        <v>--</v>
      </c>
      <c r="T21" s="434">
        <v>0</v>
      </c>
      <c r="U21" s="435" t="str">
        <f aca="true" t="shared" si="9" ref="U21:U26">IF(AND(N21="F",M21&gt;=10),I21*H21*IF(P21="SI",1.2,1)*IF(M21&lt;=300,ROUND(M21/60,2),5),"--")</f>
        <v>--</v>
      </c>
      <c r="V21" s="436" t="str">
        <f aca="true" t="shared" si="10" ref="V21:V26">IF(AND(N21="F",M21&gt;300),(ROUND(M21/60,2)-5)*I21*H21*0.1*IF(P21="SI",1.2,1),"--")</f>
        <v>--</v>
      </c>
      <c r="W21" s="1083" t="str">
        <f aca="true" t="shared" si="11" ref="W21:W26">IF(AND(N21="R",Q21="NO"),I21*H21*O21/100*IF(P21="SI",1.2,1),"--")</f>
        <v>--</v>
      </c>
      <c r="X21" s="1084" t="str">
        <f aca="true" t="shared" si="12" ref="X21:X26">IF(AND(N21="R",M21&gt;=10),I21*H21*O21/100*IF(P21="SI",1.2,1)*IF(M21&lt;=300,ROUND(M21/60,2),5),"--")</f>
        <v>--</v>
      </c>
      <c r="Y21" s="1085" t="str">
        <f aca="true" t="shared" si="13" ref="Y21:Y26">IF(AND(N21="R",M21&gt;300),(ROUND(M21/60,2)-5)*I21*H21*0.1*O21/100*IF(P21="SI",1.2,1),"--")</f>
        <v>--</v>
      </c>
      <c r="Z21" s="437" t="str">
        <f aca="true" t="shared" si="14" ref="Z21:Z26">IF(N21="RF",ROUND(M21/60,2)*I21*H21*0.1*IF(P21="SI",1.2,1),"--")</f>
        <v>--</v>
      </c>
      <c r="AA21" s="438" t="str">
        <f aca="true" t="shared" si="15" ref="AA21:AA26">IF(N21="RR",ROUND(M21/60,2)*I21*H21*0.1*O21/100*IF(P21="SI",1.2,1),"--")</f>
        <v>--</v>
      </c>
      <c r="AB21" s="1086" t="str">
        <f aca="true" t="shared" si="16" ref="AB21:AB26">IF(D21="","","SI")</f>
        <v>SI</v>
      </c>
      <c r="AC21" s="16">
        <f aca="true" t="shared" si="17" ref="AC21:AC26">IF(D21="","",SUM(R21:AA21)*IF(AB21="SI",1,2))</f>
        <v>0</v>
      </c>
      <c r="AD21" s="1087"/>
    </row>
    <row r="22" spans="2:30" s="5" customFormat="1" ht="16.5" customHeight="1">
      <c r="B22" s="50"/>
      <c r="C22" s="486">
        <v>4</v>
      </c>
      <c r="D22" s="345" t="s">
        <v>326</v>
      </c>
      <c r="E22" s="347">
        <v>500</v>
      </c>
      <c r="F22" s="1141">
        <v>255</v>
      </c>
      <c r="G22" s="347" t="s">
        <v>327</v>
      </c>
      <c r="H22" s="1077">
        <f t="shared" si="0"/>
        <v>60</v>
      </c>
      <c r="I22" s="1078">
        <f t="shared" si="1"/>
        <v>229.42094999999998</v>
      </c>
      <c r="J22" s="388">
        <v>39729.513194444444</v>
      </c>
      <c r="K22" s="430">
        <v>39729.53055555555</v>
      </c>
      <c r="L22" s="390">
        <f t="shared" si="2"/>
        <v>0.41666666662786156</v>
      </c>
      <c r="M22" s="391">
        <f t="shared" si="3"/>
        <v>25</v>
      </c>
      <c r="N22" s="431" t="s">
        <v>325</v>
      </c>
      <c r="O22" s="392" t="str">
        <f t="shared" si="4"/>
        <v>--</v>
      </c>
      <c r="P22" s="352" t="str">
        <f t="shared" si="5"/>
        <v>NO</v>
      </c>
      <c r="Q22" s="352" t="str">
        <f t="shared" si="6"/>
        <v>NO</v>
      </c>
      <c r="R22" s="1081" t="str">
        <f t="shared" si="7"/>
        <v>--</v>
      </c>
      <c r="S22" s="1082" t="str">
        <f t="shared" si="8"/>
        <v>--</v>
      </c>
      <c r="T22" s="434">
        <v>0</v>
      </c>
      <c r="U22" s="435">
        <f t="shared" si="9"/>
        <v>5781.407939999999</v>
      </c>
      <c r="V22" s="436" t="str">
        <f t="shared" si="10"/>
        <v>--</v>
      </c>
      <c r="W22" s="1083" t="str">
        <f t="shared" si="11"/>
        <v>--</v>
      </c>
      <c r="X22" s="1084" t="str">
        <f t="shared" si="12"/>
        <v>--</v>
      </c>
      <c r="Y22" s="1085" t="str">
        <f t="shared" si="13"/>
        <v>--</v>
      </c>
      <c r="Z22" s="437" t="str">
        <f t="shared" si="14"/>
        <v>--</v>
      </c>
      <c r="AA22" s="438" t="str">
        <f t="shared" si="15"/>
        <v>--</v>
      </c>
      <c r="AB22" s="1086" t="str">
        <f t="shared" si="16"/>
        <v>SI</v>
      </c>
      <c r="AC22" s="16">
        <f t="shared" si="17"/>
        <v>5781.407939999999</v>
      </c>
      <c r="AD22" s="1087"/>
    </row>
    <row r="23" spans="2:30" s="5" customFormat="1" ht="16.5" customHeight="1">
      <c r="B23" s="50"/>
      <c r="C23" s="354"/>
      <c r="D23" s="345"/>
      <c r="E23" s="347"/>
      <c r="F23" s="1141"/>
      <c r="G23" s="347"/>
      <c r="H23" s="1077">
        <f t="shared" si="0"/>
        <v>20</v>
      </c>
      <c r="I23" s="1078">
        <f t="shared" si="1"/>
        <v>74.974</v>
      </c>
      <c r="J23" s="388"/>
      <c r="K23" s="430"/>
      <c r="L23" s="390">
        <f t="shared" si="2"/>
      </c>
      <c r="M23" s="391">
        <f t="shared" si="3"/>
      </c>
      <c r="N23" s="431"/>
      <c r="O23" s="392">
        <f t="shared" si="4"/>
      </c>
      <c r="P23" s="352">
        <f t="shared" si="5"/>
      </c>
      <c r="Q23" s="352">
        <f t="shared" si="6"/>
      </c>
      <c r="R23" s="1081" t="str">
        <f t="shared" si="7"/>
        <v>--</v>
      </c>
      <c r="S23" s="1082" t="str">
        <f t="shared" si="8"/>
        <v>--</v>
      </c>
      <c r="T23" s="434">
        <v>0</v>
      </c>
      <c r="U23" s="435" t="str">
        <f t="shared" si="9"/>
        <v>--</v>
      </c>
      <c r="V23" s="436" t="str">
        <f t="shared" si="10"/>
        <v>--</v>
      </c>
      <c r="W23" s="1083" t="str">
        <f t="shared" si="11"/>
        <v>--</v>
      </c>
      <c r="X23" s="1084" t="str">
        <f t="shared" si="12"/>
        <v>--</v>
      </c>
      <c r="Y23" s="1085" t="str">
        <f t="shared" si="13"/>
        <v>--</v>
      </c>
      <c r="Z23" s="437" t="str">
        <f t="shared" si="14"/>
        <v>--</v>
      </c>
      <c r="AA23" s="438" t="str">
        <f t="shared" si="15"/>
        <v>--</v>
      </c>
      <c r="AB23" s="1086">
        <f t="shared" si="16"/>
      </c>
      <c r="AC23" s="16">
        <f t="shared" si="17"/>
      </c>
      <c r="AD23" s="1087"/>
    </row>
    <row r="24" spans="2:30" s="5" customFormat="1" ht="16.5" customHeight="1">
      <c r="B24" s="50"/>
      <c r="C24" s="354"/>
      <c r="D24" s="345"/>
      <c r="E24" s="347"/>
      <c r="F24" s="1141"/>
      <c r="G24" s="347"/>
      <c r="H24" s="1077">
        <f t="shared" si="0"/>
        <v>20</v>
      </c>
      <c r="I24" s="1078">
        <f t="shared" si="1"/>
        <v>74.974</v>
      </c>
      <c r="J24" s="388"/>
      <c r="K24" s="389"/>
      <c r="L24" s="390">
        <f t="shared" si="2"/>
      </c>
      <c r="M24" s="391">
        <f t="shared" si="3"/>
      </c>
      <c r="N24" s="431"/>
      <c r="O24" s="392">
        <f t="shared" si="4"/>
      </c>
      <c r="P24" s="352">
        <f t="shared" si="5"/>
      </c>
      <c r="Q24" s="352">
        <f t="shared" si="6"/>
      </c>
      <c r="R24" s="1081" t="str">
        <f t="shared" si="7"/>
        <v>--</v>
      </c>
      <c r="S24" s="1082" t="str">
        <f t="shared" si="8"/>
        <v>--</v>
      </c>
      <c r="T24" s="434">
        <v>0</v>
      </c>
      <c r="U24" s="435" t="str">
        <f t="shared" si="9"/>
        <v>--</v>
      </c>
      <c r="V24" s="436" t="str">
        <f t="shared" si="10"/>
        <v>--</v>
      </c>
      <c r="W24" s="1083" t="str">
        <f t="shared" si="11"/>
        <v>--</v>
      </c>
      <c r="X24" s="1084" t="str">
        <f t="shared" si="12"/>
        <v>--</v>
      </c>
      <c r="Y24" s="1085" t="str">
        <f t="shared" si="13"/>
        <v>--</v>
      </c>
      <c r="Z24" s="437" t="str">
        <f t="shared" si="14"/>
        <v>--</v>
      </c>
      <c r="AA24" s="438" t="str">
        <f t="shared" si="15"/>
        <v>--</v>
      </c>
      <c r="AB24" s="1086">
        <f t="shared" si="16"/>
      </c>
      <c r="AC24" s="16">
        <f t="shared" si="17"/>
      </c>
      <c r="AD24" s="1087"/>
    </row>
    <row r="25" spans="2:30" s="5" customFormat="1" ht="16.5" customHeight="1">
      <c r="B25" s="50"/>
      <c r="C25" s="486"/>
      <c r="D25" s="345"/>
      <c r="E25" s="347"/>
      <c r="F25" s="1141"/>
      <c r="G25" s="347"/>
      <c r="H25" s="1077">
        <f t="shared" si="0"/>
        <v>20</v>
      </c>
      <c r="I25" s="1078">
        <f t="shared" si="1"/>
        <v>74.974</v>
      </c>
      <c r="J25" s="388"/>
      <c r="K25" s="389"/>
      <c r="L25" s="390">
        <f t="shared" si="2"/>
      </c>
      <c r="M25" s="391">
        <f t="shared" si="3"/>
      </c>
      <c r="N25" s="431"/>
      <c r="O25" s="392">
        <f t="shared" si="4"/>
      </c>
      <c r="P25" s="352">
        <f t="shared" si="5"/>
      </c>
      <c r="Q25" s="352">
        <f t="shared" si="6"/>
      </c>
      <c r="R25" s="1081" t="str">
        <f t="shared" si="7"/>
        <v>--</v>
      </c>
      <c r="S25" s="1082" t="str">
        <f t="shared" si="8"/>
        <v>--</v>
      </c>
      <c r="T25" s="434">
        <v>0</v>
      </c>
      <c r="U25" s="435" t="str">
        <f t="shared" si="9"/>
        <v>--</v>
      </c>
      <c r="V25" s="436" t="str">
        <f t="shared" si="10"/>
        <v>--</v>
      </c>
      <c r="W25" s="1083" t="str">
        <f t="shared" si="11"/>
        <v>--</v>
      </c>
      <c r="X25" s="1084" t="str">
        <f t="shared" si="12"/>
        <v>--</v>
      </c>
      <c r="Y25" s="1085" t="str">
        <f t="shared" si="13"/>
        <v>--</v>
      </c>
      <c r="Z25" s="437" t="str">
        <f t="shared" si="14"/>
        <v>--</v>
      </c>
      <c r="AA25" s="438" t="str">
        <f t="shared" si="15"/>
        <v>--</v>
      </c>
      <c r="AB25" s="1086">
        <f t="shared" si="16"/>
      </c>
      <c r="AC25" s="16">
        <f t="shared" si="17"/>
      </c>
      <c r="AD25" s="1087"/>
    </row>
    <row r="26" spans="2:30" s="5" customFormat="1" ht="16.5" customHeight="1">
      <c r="B26" s="50"/>
      <c r="C26" s="354"/>
      <c r="D26" s="354"/>
      <c r="E26" s="387"/>
      <c r="F26" s="1139"/>
      <c r="G26" s="387"/>
      <c r="H26" s="1077">
        <f t="shared" si="0"/>
        <v>20</v>
      </c>
      <c r="I26" s="1078">
        <f t="shared" si="1"/>
        <v>74.974</v>
      </c>
      <c r="J26" s="1079"/>
      <c r="K26" s="1080"/>
      <c r="L26" s="390">
        <f t="shared" si="2"/>
      </c>
      <c r="M26" s="391">
        <f t="shared" si="3"/>
      </c>
      <c r="N26" s="431"/>
      <c r="O26" s="392">
        <f t="shared" si="4"/>
      </c>
      <c r="P26" s="352">
        <f t="shared" si="5"/>
      </c>
      <c r="Q26" s="352">
        <f t="shared" si="6"/>
      </c>
      <c r="R26" s="1081" t="str">
        <f t="shared" si="7"/>
        <v>--</v>
      </c>
      <c r="S26" s="1082" t="str">
        <f t="shared" si="8"/>
        <v>--</v>
      </c>
      <c r="T26" s="434">
        <v>0</v>
      </c>
      <c r="U26" s="435" t="str">
        <f t="shared" si="9"/>
        <v>--</v>
      </c>
      <c r="V26" s="436" t="str">
        <f t="shared" si="10"/>
        <v>--</v>
      </c>
      <c r="W26" s="1083" t="str">
        <f t="shared" si="11"/>
        <v>--</v>
      </c>
      <c r="X26" s="1084" t="str">
        <f t="shared" si="12"/>
        <v>--</v>
      </c>
      <c r="Y26" s="1085" t="str">
        <f t="shared" si="13"/>
        <v>--</v>
      </c>
      <c r="Z26" s="437" t="str">
        <f t="shared" si="14"/>
        <v>--</v>
      </c>
      <c r="AA26" s="438" t="str">
        <f t="shared" si="15"/>
        <v>--</v>
      </c>
      <c r="AB26" s="1086">
        <f t="shared" si="16"/>
      </c>
      <c r="AC26" s="16">
        <f t="shared" si="17"/>
      </c>
      <c r="AD26" s="1087"/>
    </row>
    <row r="27" spans="2:30" s="5" customFormat="1" ht="16.5" customHeight="1" thickBot="1">
      <c r="B27" s="50"/>
      <c r="C27" s="354"/>
      <c r="D27" s="349"/>
      <c r="E27" s="440"/>
      <c r="F27" s="1135"/>
      <c r="G27" s="441"/>
      <c r="H27" s="1092"/>
      <c r="I27" s="1093"/>
      <c r="J27" s="1130"/>
      <c r="K27" s="1130"/>
      <c r="L27" s="9"/>
      <c r="M27" s="9"/>
      <c r="N27" s="351"/>
      <c r="O27" s="394"/>
      <c r="P27" s="351"/>
      <c r="Q27" s="351"/>
      <c r="R27" s="1094"/>
      <c r="S27" s="1095"/>
      <c r="T27" s="442"/>
      <c r="U27" s="443"/>
      <c r="V27" s="444"/>
      <c r="W27" s="1096"/>
      <c r="X27" s="1097"/>
      <c r="Y27" s="1098"/>
      <c r="Z27" s="445"/>
      <c r="AA27" s="446"/>
      <c r="AB27" s="1099"/>
      <c r="AC27" s="447"/>
      <c r="AD27" s="1087"/>
    </row>
    <row r="28" spans="2:30" s="5" customFormat="1" ht="16.5" customHeight="1" thickBot="1" thickTop="1">
      <c r="B28" s="50"/>
      <c r="C28" s="128" t="s">
        <v>26</v>
      </c>
      <c r="D28" s="129" t="s">
        <v>426</v>
      </c>
      <c r="E28" s="448"/>
      <c r="F28" s="414"/>
      <c r="G28" s="449"/>
      <c r="H28" s="414"/>
      <c r="I28" s="395"/>
      <c r="J28" s="395"/>
      <c r="K28" s="395"/>
      <c r="L28" s="395"/>
      <c r="M28" s="395"/>
      <c r="N28" s="395"/>
      <c r="O28" s="450"/>
      <c r="P28" s="395"/>
      <c r="Q28" s="395"/>
      <c r="R28" s="1100">
        <f aca="true" t="shared" si="18" ref="R28:AA28">SUM(R20:R27)</f>
        <v>0</v>
      </c>
      <c r="S28" s="1101">
        <f t="shared" si="18"/>
        <v>0</v>
      </c>
      <c r="T28" s="1102">
        <f t="shared" si="18"/>
        <v>0</v>
      </c>
      <c r="U28" s="1102">
        <f t="shared" si="18"/>
        <v>5781.407939999999</v>
      </c>
      <c r="V28" s="1102">
        <f t="shared" si="18"/>
        <v>0</v>
      </c>
      <c r="W28" s="1103">
        <f t="shared" si="18"/>
        <v>0</v>
      </c>
      <c r="X28" s="1103">
        <f t="shared" si="18"/>
        <v>0</v>
      </c>
      <c r="Y28" s="1103">
        <f t="shared" si="18"/>
        <v>0</v>
      </c>
      <c r="Z28" s="451">
        <f t="shared" si="18"/>
        <v>0</v>
      </c>
      <c r="AA28" s="452">
        <f t="shared" si="18"/>
        <v>0</v>
      </c>
      <c r="AB28" s="453"/>
      <c r="AC28" s="454">
        <f>ROUND(SUM(AC20:AC27),2)</f>
        <v>5781.41</v>
      </c>
      <c r="AD28" s="1087"/>
    </row>
    <row r="29" spans="2:30" s="1274" customFormat="1" ht="9.75" thickTop="1">
      <c r="B29" s="1275"/>
      <c r="C29" s="1210"/>
      <c r="D29" s="1276" t="s">
        <v>427</v>
      </c>
      <c r="E29" s="1277"/>
      <c r="F29" s="1278"/>
      <c r="G29" s="1279"/>
      <c r="H29" s="1278"/>
      <c r="I29" s="1280"/>
      <c r="J29" s="1280"/>
      <c r="K29" s="1280"/>
      <c r="L29" s="1280"/>
      <c r="M29" s="1280"/>
      <c r="N29" s="1280"/>
      <c r="O29" s="1281"/>
      <c r="P29" s="1280"/>
      <c r="Q29" s="1280"/>
      <c r="R29" s="1282"/>
      <c r="S29" s="1282"/>
      <c r="T29" s="1282"/>
      <c r="U29" s="1282"/>
      <c r="V29" s="1282"/>
      <c r="W29" s="1282"/>
      <c r="X29" s="1282"/>
      <c r="Y29" s="1282"/>
      <c r="Z29" s="1282"/>
      <c r="AA29" s="1282"/>
      <c r="AB29" s="1282"/>
      <c r="AC29" s="1283"/>
      <c r="AD29" s="1284"/>
    </row>
    <row r="30" spans="2:30" s="5" customFormat="1" ht="16.5" customHeight="1" thickBot="1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</row>
    <row r="31" spans="2:30" ht="16.5" customHeight="1" thickTop="1">
      <c r="B31" s="1"/>
      <c r="AD31" s="1"/>
    </row>
  </sheetData>
  <printOptions/>
  <pageMargins left="0.75" right="0.75" top="1" bottom="1" header="0" footer="0"/>
  <pageSetup fitToHeight="1" fitToWidth="1" horizontalDpi="600" verticalDpi="600" orientation="landscape" paperSize="9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GL114"/>
  <sheetViews>
    <sheetView zoomScale="50" zoomScaleNormal="50" workbookViewId="0" topLeftCell="A1">
      <selection activeCell="B3" sqref="B3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1212"/>
      <c r="V1" s="1213"/>
    </row>
    <row r="2" spans="2:22" s="18" customFormat="1" ht="26.25">
      <c r="B2" s="632" t="str">
        <f>+'SUP-ENECOR'!B3</f>
        <v>ANEXO V al Memorándum D.T.E.E. N°  366 / 2010        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1214"/>
    </row>
    <row r="3" spans="1:22" s="25" customFormat="1" ht="11.25">
      <c r="A3" s="23" t="s">
        <v>2</v>
      </c>
      <c r="B3" s="125"/>
      <c r="U3" s="1215"/>
      <c r="V3" s="1215"/>
    </row>
    <row r="4" spans="1:22" s="25" customFormat="1" ht="11.25">
      <c r="A4" s="23" t="s">
        <v>3</v>
      </c>
      <c r="B4" s="125"/>
      <c r="U4" s="125"/>
      <c r="V4" s="1215"/>
    </row>
    <row r="5" spans="21:22" ht="9.75" customHeight="1">
      <c r="U5" s="22"/>
      <c r="V5" s="1213"/>
    </row>
    <row r="6" spans="2:178" s="1216" customFormat="1" ht="23.25">
      <c r="B6" s="738" t="s">
        <v>415</v>
      </c>
      <c r="C6" s="738"/>
      <c r="D6" s="1217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121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  <c r="BB6" s="738"/>
      <c r="BC6" s="738"/>
      <c r="BD6" s="738"/>
      <c r="BE6" s="738"/>
      <c r="BF6" s="738"/>
      <c r="BG6" s="738"/>
      <c r="BH6" s="738"/>
      <c r="BI6" s="738"/>
      <c r="BJ6" s="738"/>
      <c r="BK6" s="738"/>
      <c r="BL6" s="738"/>
      <c r="BM6" s="738"/>
      <c r="BN6" s="738"/>
      <c r="BO6" s="738"/>
      <c r="BP6" s="738"/>
      <c r="BQ6" s="738"/>
      <c r="BR6" s="738"/>
      <c r="BS6" s="738"/>
      <c r="BT6" s="738"/>
      <c r="BU6" s="738"/>
      <c r="BV6" s="738"/>
      <c r="BW6" s="738"/>
      <c r="BX6" s="738"/>
      <c r="BY6" s="738"/>
      <c r="BZ6" s="738"/>
      <c r="CA6" s="738"/>
      <c r="CB6" s="738"/>
      <c r="CC6" s="738"/>
      <c r="CD6" s="738"/>
      <c r="CE6" s="738"/>
      <c r="CF6" s="738"/>
      <c r="CG6" s="738"/>
      <c r="CH6" s="738"/>
      <c r="CI6" s="738"/>
      <c r="CJ6" s="738"/>
      <c r="CK6" s="738"/>
      <c r="CL6" s="738"/>
      <c r="CM6" s="738"/>
      <c r="CN6" s="738"/>
      <c r="CO6" s="738"/>
      <c r="CP6" s="738"/>
      <c r="CQ6" s="738"/>
      <c r="CR6" s="738"/>
      <c r="CS6" s="738"/>
      <c r="CT6" s="738"/>
      <c r="CU6" s="738"/>
      <c r="CV6" s="738"/>
      <c r="CW6" s="738"/>
      <c r="CX6" s="738"/>
      <c r="CY6" s="738"/>
      <c r="CZ6" s="738"/>
      <c r="DA6" s="738"/>
      <c r="DB6" s="738"/>
      <c r="DC6" s="738"/>
      <c r="DD6" s="738"/>
      <c r="DE6" s="738"/>
      <c r="DF6" s="738"/>
      <c r="DG6" s="738"/>
      <c r="DH6" s="738"/>
      <c r="DI6" s="738"/>
      <c r="DJ6" s="738"/>
      <c r="DK6" s="738"/>
      <c r="DL6" s="738"/>
      <c r="DM6" s="738"/>
      <c r="DN6" s="738"/>
      <c r="DO6" s="738"/>
      <c r="DP6" s="738"/>
      <c r="DQ6" s="738"/>
      <c r="DR6" s="738"/>
      <c r="DS6" s="738"/>
      <c r="DT6" s="738"/>
      <c r="DU6" s="738"/>
      <c r="DV6" s="738"/>
      <c r="DW6" s="738"/>
      <c r="DX6" s="738"/>
      <c r="DY6" s="738"/>
      <c r="DZ6" s="738"/>
      <c r="EA6" s="738"/>
      <c r="EB6" s="738"/>
      <c r="EC6" s="738"/>
      <c r="ED6" s="738"/>
      <c r="EE6" s="738"/>
      <c r="EF6" s="738"/>
      <c r="EG6" s="738"/>
      <c r="EH6" s="738"/>
      <c r="EI6" s="738"/>
      <c r="EJ6" s="738"/>
      <c r="EK6" s="738"/>
      <c r="EL6" s="738"/>
      <c r="EM6" s="738"/>
      <c r="EN6" s="738"/>
      <c r="EO6" s="738"/>
      <c r="EP6" s="738"/>
      <c r="EQ6" s="738"/>
      <c r="ER6" s="738"/>
      <c r="ES6" s="738"/>
      <c r="ET6" s="738"/>
      <c r="EU6" s="738"/>
      <c r="EV6" s="738"/>
      <c r="EW6" s="738"/>
      <c r="EX6" s="738"/>
      <c r="EY6" s="738"/>
      <c r="EZ6" s="738"/>
      <c r="FA6" s="738"/>
      <c r="FB6" s="738"/>
      <c r="FC6" s="738"/>
      <c r="FD6" s="738"/>
      <c r="FE6" s="738"/>
      <c r="FF6" s="738"/>
      <c r="FG6" s="738"/>
      <c r="FH6" s="738"/>
      <c r="FI6" s="738"/>
      <c r="FJ6" s="738"/>
      <c r="FK6" s="738"/>
      <c r="FL6" s="738"/>
      <c r="FM6" s="738"/>
      <c r="FN6" s="738"/>
      <c r="FO6" s="738"/>
      <c r="FP6" s="738"/>
      <c r="FQ6" s="738"/>
      <c r="FR6" s="738"/>
      <c r="FS6" s="738"/>
      <c r="FT6" s="738"/>
      <c r="FU6" s="738"/>
      <c r="FV6" s="738"/>
    </row>
    <row r="7" spans="2:178" s="32" customFormat="1" ht="9.75" customHeight="1">
      <c r="B7" s="977"/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1203"/>
      <c r="V7" s="1203"/>
      <c r="W7" s="977"/>
      <c r="X7" s="977"/>
      <c r="Y7" s="977"/>
      <c r="Z7" s="977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977"/>
      <c r="AL7" s="977"/>
      <c r="AM7" s="977"/>
      <c r="AN7" s="977"/>
      <c r="AO7" s="977"/>
      <c r="AP7" s="977"/>
      <c r="AQ7" s="977"/>
      <c r="AR7" s="977"/>
      <c r="AS7" s="977"/>
      <c r="AT7" s="977"/>
      <c r="AU7" s="977"/>
      <c r="AV7" s="977"/>
      <c r="AW7" s="977"/>
      <c r="AX7" s="977"/>
      <c r="AY7" s="977"/>
      <c r="AZ7" s="977"/>
      <c r="BA7" s="977"/>
      <c r="BB7" s="977"/>
      <c r="BC7" s="977"/>
      <c r="BD7" s="977"/>
      <c r="BE7" s="977"/>
      <c r="BF7" s="977"/>
      <c r="BG7" s="977"/>
      <c r="BH7" s="977"/>
      <c r="BI7" s="977"/>
      <c r="BJ7" s="977"/>
      <c r="BK7" s="977"/>
      <c r="BL7" s="977"/>
      <c r="BM7" s="977"/>
      <c r="BN7" s="977"/>
      <c r="BO7" s="977"/>
      <c r="BP7" s="977"/>
      <c r="BQ7" s="977"/>
      <c r="BR7" s="977"/>
      <c r="BS7" s="977"/>
      <c r="BT7" s="977"/>
      <c r="BU7" s="977"/>
      <c r="BV7" s="977"/>
      <c r="BW7" s="977"/>
      <c r="BX7" s="977"/>
      <c r="BY7" s="977"/>
      <c r="BZ7" s="977"/>
      <c r="CA7" s="977"/>
      <c r="CB7" s="977"/>
      <c r="CC7" s="977"/>
      <c r="CD7" s="977"/>
      <c r="CE7" s="977"/>
      <c r="CF7" s="977"/>
      <c r="CG7" s="977"/>
      <c r="CH7" s="977"/>
      <c r="CI7" s="977"/>
      <c r="CJ7" s="977"/>
      <c r="CK7" s="977"/>
      <c r="CL7" s="977"/>
      <c r="CM7" s="977"/>
      <c r="CN7" s="977"/>
      <c r="CO7" s="977"/>
      <c r="CP7" s="977"/>
      <c r="CQ7" s="977"/>
      <c r="CR7" s="977"/>
      <c r="CS7" s="977"/>
      <c r="CT7" s="977"/>
      <c r="CU7" s="977"/>
      <c r="CV7" s="977"/>
      <c r="CW7" s="977"/>
      <c r="CX7" s="977"/>
      <c r="CY7" s="977"/>
      <c r="CZ7" s="977"/>
      <c r="DA7" s="977"/>
      <c r="DB7" s="977"/>
      <c r="DC7" s="977"/>
      <c r="DD7" s="977"/>
      <c r="DE7" s="977"/>
      <c r="DF7" s="977"/>
      <c r="DG7" s="977"/>
      <c r="DH7" s="977"/>
      <c r="DI7" s="977"/>
      <c r="DJ7" s="977"/>
      <c r="DK7" s="977"/>
      <c r="DL7" s="977"/>
      <c r="DM7" s="977"/>
      <c r="DN7" s="977"/>
      <c r="DO7" s="977"/>
      <c r="DP7" s="977"/>
      <c r="DQ7" s="977"/>
      <c r="DR7" s="977"/>
      <c r="DS7" s="977"/>
      <c r="DT7" s="977"/>
      <c r="DU7" s="977"/>
      <c r="DV7" s="977"/>
      <c r="DW7" s="977"/>
      <c r="DX7" s="977"/>
      <c r="DY7" s="977"/>
      <c r="DZ7" s="977"/>
      <c r="EA7" s="977"/>
      <c r="EB7" s="977"/>
      <c r="EC7" s="977"/>
      <c r="ED7" s="977"/>
      <c r="EE7" s="977"/>
      <c r="EF7" s="977"/>
      <c r="EG7" s="977"/>
      <c r="EH7" s="977"/>
      <c r="EI7" s="977"/>
      <c r="EJ7" s="977"/>
      <c r="EK7" s="977"/>
      <c r="EL7" s="977"/>
      <c r="EM7" s="977"/>
      <c r="EN7" s="977"/>
      <c r="EO7" s="977"/>
      <c r="EP7" s="977"/>
      <c r="EQ7" s="977"/>
      <c r="ER7" s="977"/>
      <c r="ES7" s="977"/>
      <c r="ET7" s="977"/>
      <c r="EU7" s="977"/>
      <c r="EV7" s="977"/>
      <c r="EW7" s="977"/>
      <c r="EX7" s="977"/>
      <c r="EY7" s="977"/>
      <c r="EZ7" s="977"/>
      <c r="FA7" s="977"/>
      <c r="FB7" s="977"/>
      <c r="FC7" s="977"/>
      <c r="FD7" s="977"/>
      <c r="FE7" s="977"/>
      <c r="FF7" s="977"/>
      <c r="FG7" s="977"/>
      <c r="FH7" s="977"/>
      <c r="FI7" s="977"/>
      <c r="FJ7" s="977"/>
      <c r="FK7" s="977"/>
      <c r="FL7" s="977"/>
      <c r="FM7" s="977"/>
      <c r="FN7" s="977"/>
      <c r="FO7" s="977"/>
      <c r="FP7" s="977"/>
      <c r="FQ7" s="977"/>
      <c r="FR7" s="977"/>
      <c r="FS7" s="977"/>
      <c r="FT7" s="977"/>
      <c r="FU7" s="977"/>
      <c r="FV7" s="977"/>
    </row>
    <row r="8" spans="2:178" s="1219" customFormat="1" ht="23.25">
      <c r="B8" s="738" t="s">
        <v>88</v>
      </c>
      <c r="C8" s="1217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217"/>
      <c r="U8" s="1217"/>
      <c r="V8" s="1220"/>
      <c r="W8" s="1217"/>
      <c r="X8" s="1217"/>
      <c r="Y8" s="1217"/>
      <c r="Z8" s="1217"/>
      <c r="AA8" s="1217"/>
      <c r="AB8" s="1217"/>
      <c r="AC8" s="1217"/>
      <c r="AD8" s="1217"/>
      <c r="AE8" s="1217"/>
      <c r="AF8" s="1217"/>
      <c r="AG8" s="1217"/>
      <c r="AH8" s="1217"/>
      <c r="AI8" s="1217"/>
      <c r="AJ8" s="1217"/>
      <c r="AK8" s="1217"/>
      <c r="AL8" s="1217"/>
      <c r="AM8" s="1217"/>
      <c r="AN8" s="1217"/>
      <c r="AO8" s="1217"/>
      <c r="AP8" s="1217"/>
      <c r="AQ8" s="1217"/>
      <c r="AR8" s="1217"/>
      <c r="AS8" s="1217"/>
      <c r="AT8" s="1217"/>
      <c r="AU8" s="1217"/>
      <c r="AV8" s="1217"/>
      <c r="AW8" s="1217"/>
      <c r="AX8" s="1217"/>
      <c r="AY8" s="1217"/>
      <c r="AZ8" s="1217"/>
      <c r="BA8" s="1217"/>
      <c r="BB8" s="1217"/>
      <c r="BC8" s="1217"/>
      <c r="BD8" s="1217"/>
      <c r="BE8" s="1217"/>
      <c r="BF8" s="1217"/>
      <c r="BG8" s="1217"/>
      <c r="BH8" s="1217"/>
      <c r="BI8" s="1217"/>
      <c r="BJ8" s="1217"/>
      <c r="BK8" s="1217"/>
      <c r="BL8" s="1217"/>
      <c r="BM8" s="1217"/>
      <c r="BN8" s="1217"/>
      <c r="BO8" s="1217"/>
      <c r="BP8" s="1217"/>
      <c r="BQ8" s="1217"/>
      <c r="BR8" s="1217"/>
      <c r="BS8" s="1217"/>
      <c r="BT8" s="1217"/>
      <c r="BU8" s="1217"/>
      <c r="BV8" s="1217"/>
      <c r="BW8" s="1217"/>
      <c r="BX8" s="1217"/>
      <c r="BY8" s="1217"/>
      <c r="BZ8" s="1217"/>
      <c r="CA8" s="1217"/>
      <c r="CB8" s="1217"/>
      <c r="CC8" s="1217"/>
      <c r="CD8" s="1217"/>
      <c r="CE8" s="1217"/>
      <c r="CF8" s="1217"/>
      <c r="CG8" s="1217"/>
      <c r="CH8" s="1217"/>
      <c r="CI8" s="1217"/>
      <c r="CJ8" s="1217"/>
      <c r="CK8" s="1217"/>
      <c r="CL8" s="1217"/>
      <c r="CM8" s="1217"/>
      <c r="CN8" s="1217"/>
      <c r="CO8" s="1217"/>
      <c r="CP8" s="1217"/>
      <c r="CQ8" s="1217"/>
      <c r="CR8" s="1217"/>
      <c r="CS8" s="1217"/>
      <c r="CT8" s="1217"/>
      <c r="CU8" s="1217"/>
      <c r="CV8" s="1217"/>
      <c r="CW8" s="1217"/>
      <c r="CX8" s="1217"/>
      <c r="CY8" s="1217"/>
      <c r="CZ8" s="1217"/>
      <c r="DA8" s="1217"/>
      <c r="DB8" s="1217"/>
      <c r="DC8" s="1217"/>
      <c r="DD8" s="1217"/>
      <c r="DE8" s="1217"/>
      <c r="DF8" s="1217"/>
      <c r="DG8" s="1217"/>
      <c r="DH8" s="1217"/>
      <c r="DI8" s="1217"/>
      <c r="DJ8" s="1217"/>
      <c r="DK8" s="1217"/>
      <c r="DL8" s="1217"/>
      <c r="DM8" s="1217"/>
      <c r="DN8" s="1217"/>
      <c r="DO8" s="1217"/>
      <c r="DP8" s="1217"/>
      <c r="DQ8" s="1217"/>
      <c r="DR8" s="1217"/>
      <c r="DS8" s="1217"/>
      <c r="DT8" s="1217"/>
      <c r="DU8" s="1217"/>
      <c r="DV8" s="1217"/>
      <c r="DW8" s="1217"/>
      <c r="DX8" s="1217"/>
      <c r="DY8" s="1217"/>
      <c r="DZ8" s="1217"/>
      <c r="EA8" s="1217"/>
      <c r="EB8" s="1217"/>
      <c r="EC8" s="1217"/>
      <c r="ED8" s="1217"/>
      <c r="EE8" s="1217"/>
      <c r="EF8" s="1217"/>
      <c r="EG8" s="1217"/>
      <c r="EH8" s="1217"/>
      <c r="EI8" s="1217"/>
      <c r="EJ8" s="1217"/>
      <c r="EK8" s="1217"/>
      <c r="EL8" s="1217"/>
      <c r="EM8" s="1217"/>
      <c r="EN8" s="1217"/>
      <c r="EO8" s="1217"/>
      <c r="EP8" s="1217"/>
      <c r="EQ8" s="1217"/>
      <c r="ER8" s="1217"/>
      <c r="ES8" s="1217"/>
      <c r="ET8" s="1217"/>
      <c r="EU8" s="1217"/>
      <c r="EV8" s="1217"/>
      <c r="EW8" s="1217"/>
      <c r="EX8" s="1217"/>
      <c r="EY8" s="1217"/>
      <c r="EZ8" s="1217"/>
      <c r="FA8" s="1217"/>
      <c r="FB8" s="1217"/>
      <c r="FC8" s="1217"/>
      <c r="FD8" s="1217"/>
      <c r="FE8" s="1217"/>
      <c r="FF8" s="1217"/>
      <c r="FG8" s="1217"/>
      <c r="FH8" s="1217"/>
      <c r="FI8" s="1217"/>
      <c r="FJ8" s="1217"/>
      <c r="FK8" s="1217"/>
      <c r="FL8" s="1217"/>
      <c r="FM8" s="1217"/>
      <c r="FN8" s="1217"/>
      <c r="FO8" s="1217"/>
      <c r="FP8" s="1217"/>
      <c r="FQ8" s="1217"/>
      <c r="FR8" s="1217"/>
      <c r="FS8" s="1217"/>
      <c r="FT8" s="1217"/>
      <c r="FU8" s="1217"/>
      <c r="FV8" s="1217"/>
    </row>
    <row r="9" spans="2:178" s="32" customFormat="1" ht="9.75" customHeight="1"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1203"/>
      <c r="V9" s="1203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977"/>
      <c r="AL9" s="977"/>
      <c r="AM9" s="977"/>
      <c r="AN9" s="977"/>
      <c r="AO9" s="977"/>
      <c r="AP9" s="977"/>
      <c r="AQ9" s="977"/>
      <c r="AR9" s="977"/>
      <c r="AS9" s="977"/>
      <c r="AT9" s="977"/>
      <c r="AU9" s="977"/>
      <c r="AV9" s="977"/>
      <c r="AW9" s="977"/>
      <c r="AX9" s="977"/>
      <c r="AY9" s="977"/>
      <c r="AZ9" s="977"/>
      <c r="BA9" s="977"/>
      <c r="BB9" s="977"/>
      <c r="BC9" s="977"/>
      <c r="BD9" s="977"/>
      <c r="BE9" s="977"/>
      <c r="BF9" s="977"/>
      <c r="BG9" s="977"/>
      <c r="BH9" s="977"/>
      <c r="BI9" s="977"/>
      <c r="BJ9" s="977"/>
      <c r="BK9" s="977"/>
      <c r="BL9" s="977"/>
      <c r="BM9" s="977"/>
      <c r="BN9" s="977"/>
      <c r="BO9" s="977"/>
      <c r="BP9" s="977"/>
      <c r="BQ9" s="977"/>
      <c r="BR9" s="977"/>
      <c r="BS9" s="977"/>
      <c r="BT9" s="977"/>
      <c r="BU9" s="977"/>
      <c r="BV9" s="977"/>
      <c r="BW9" s="977"/>
      <c r="BX9" s="977"/>
      <c r="BY9" s="977"/>
      <c r="BZ9" s="977"/>
      <c r="CA9" s="977"/>
      <c r="CB9" s="977"/>
      <c r="CC9" s="977"/>
      <c r="CD9" s="977"/>
      <c r="CE9" s="977"/>
      <c r="CF9" s="977"/>
      <c r="CG9" s="977"/>
      <c r="CH9" s="977"/>
      <c r="CI9" s="977"/>
      <c r="CJ9" s="977"/>
      <c r="CK9" s="977"/>
      <c r="CL9" s="977"/>
      <c r="CM9" s="977"/>
      <c r="CN9" s="977"/>
      <c r="CO9" s="977"/>
      <c r="CP9" s="977"/>
      <c r="CQ9" s="977"/>
      <c r="CR9" s="977"/>
      <c r="CS9" s="977"/>
      <c r="CT9" s="977"/>
      <c r="CU9" s="977"/>
      <c r="CV9" s="977"/>
      <c r="CW9" s="977"/>
      <c r="CX9" s="977"/>
      <c r="CY9" s="977"/>
      <c r="CZ9" s="977"/>
      <c r="DA9" s="977"/>
      <c r="DB9" s="977"/>
      <c r="DC9" s="977"/>
      <c r="DD9" s="977"/>
      <c r="DE9" s="977"/>
      <c r="DF9" s="977"/>
      <c r="DG9" s="977"/>
      <c r="DH9" s="977"/>
      <c r="DI9" s="977"/>
      <c r="DJ9" s="977"/>
      <c r="DK9" s="977"/>
      <c r="DL9" s="977"/>
      <c r="DM9" s="977"/>
      <c r="DN9" s="977"/>
      <c r="DO9" s="977"/>
      <c r="DP9" s="977"/>
      <c r="DQ9" s="977"/>
      <c r="DR9" s="977"/>
      <c r="DS9" s="977"/>
      <c r="DT9" s="977"/>
      <c r="DU9" s="977"/>
      <c r="DV9" s="977"/>
      <c r="DW9" s="977"/>
      <c r="DX9" s="977"/>
      <c r="DY9" s="977"/>
      <c r="DZ9" s="977"/>
      <c r="EA9" s="977"/>
      <c r="EB9" s="977"/>
      <c r="EC9" s="977"/>
      <c r="ED9" s="977"/>
      <c r="EE9" s="977"/>
      <c r="EF9" s="977"/>
      <c r="EG9" s="977"/>
      <c r="EH9" s="977"/>
      <c r="EI9" s="977"/>
      <c r="EJ9" s="977"/>
      <c r="EK9" s="977"/>
      <c r="EL9" s="977"/>
      <c r="EM9" s="977"/>
      <c r="EN9" s="977"/>
      <c r="EO9" s="977"/>
      <c r="EP9" s="977"/>
      <c r="EQ9" s="977"/>
      <c r="ER9" s="977"/>
      <c r="ES9" s="977"/>
      <c r="ET9" s="977"/>
      <c r="EU9" s="977"/>
      <c r="EV9" s="977"/>
      <c r="EW9" s="977"/>
      <c r="EX9" s="977"/>
      <c r="EY9" s="977"/>
      <c r="EZ9" s="977"/>
      <c r="FA9" s="977"/>
      <c r="FB9" s="977"/>
      <c r="FC9" s="977"/>
      <c r="FD9" s="977"/>
      <c r="FE9" s="977"/>
      <c r="FF9" s="977"/>
      <c r="FG9" s="977"/>
      <c r="FH9" s="977"/>
      <c r="FI9" s="977"/>
      <c r="FJ9" s="977"/>
      <c r="FK9" s="977"/>
      <c r="FL9" s="977"/>
      <c r="FM9" s="977"/>
      <c r="FN9" s="977"/>
      <c r="FO9" s="977"/>
      <c r="FP9" s="977"/>
      <c r="FQ9" s="977"/>
      <c r="FR9" s="977"/>
      <c r="FS9" s="977"/>
      <c r="FT9" s="977"/>
      <c r="FU9" s="977"/>
      <c r="FV9" s="977"/>
    </row>
    <row r="10" spans="2:178" s="1219" customFormat="1" ht="23.25">
      <c r="B10" s="738" t="s">
        <v>416</v>
      </c>
      <c r="C10" s="1217"/>
      <c r="D10" s="1217"/>
      <c r="E10" s="1217"/>
      <c r="F10" s="1217"/>
      <c r="G10" s="1217"/>
      <c r="H10" s="1217"/>
      <c r="I10" s="1217"/>
      <c r="J10" s="1217"/>
      <c r="K10" s="1217"/>
      <c r="L10" s="1217"/>
      <c r="M10" s="1217"/>
      <c r="N10" s="1217"/>
      <c r="O10" s="1217"/>
      <c r="P10" s="1217"/>
      <c r="Q10" s="1217"/>
      <c r="R10" s="1217"/>
      <c r="S10" s="1217"/>
      <c r="T10" s="1217"/>
      <c r="U10" s="1217"/>
      <c r="V10" s="1220"/>
      <c r="W10" s="1217"/>
      <c r="X10" s="1217"/>
      <c r="Y10" s="1217"/>
      <c r="Z10" s="1217"/>
      <c r="AA10" s="1217"/>
      <c r="AB10" s="1217"/>
      <c r="AC10" s="1217"/>
      <c r="AD10" s="1217"/>
      <c r="AE10" s="1217"/>
      <c r="AF10" s="1217"/>
      <c r="AG10" s="1217"/>
      <c r="AH10" s="1217"/>
      <c r="AI10" s="1217"/>
      <c r="AJ10" s="1217"/>
      <c r="AK10" s="1217"/>
      <c r="AL10" s="1217"/>
      <c r="AM10" s="1217"/>
      <c r="AN10" s="1217"/>
      <c r="AO10" s="1217"/>
      <c r="AP10" s="1217"/>
      <c r="AQ10" s="1217"/>
      <c r="AR10" s="1217"/>
      <c r="AS10" s="1217"/>
      <c r="AT10" s="1217"/>
      <c r="AU10" s="1217"/>
      <c r="AV10" s="1217"/>
      <c r="AW10" s="1217"/>
      <c r="AX10" s="1217"/>
      <c r="AY10" s="1217"/>
      <c r="AZ10" s="1217"/>
      <c r="BA10" s="1217"/>
      <c r="BB10" s="1217"/>
      <c r="BC10" s="1217"/>
      <c r="BD10" s="1217"/>
      <c r="BE10" s="1217"/>
      <c r="BF10" s="1217"/>
      <c r="BG10" s="1217"/>
      <c r="BH10" s="1217"/>
      <c r="BI10" s="1217"/>
      <c r="BJ10" s="1217"/>
      <c r="BK10" s="1217"/>
      <c r="BL10" s="1217"/>
      <c r="BM10" s="1217"/>
      <c r="BN10" s="1217"/>
      <c r="BO10" s="1217"/>
      <c r="BP10" s="1217"/>
      <c r="BQ10" s="1217"/>
      <c r="BR10" s="1217"/>
      <c r="BS10" s="1217"/>
      <c r="BT10" s="1217"/>
      <c r="BU10" s="1217"/>
      <c r="BV10" s="1217"/>
      <c r="BW10" s="1217"/>
      <c r="BX10" s="1217"/>
      <c r="BY10" s="1217"/>
      <c r="BZ10" s="1217"/>
      <c r="CA10" s="1217"/>
      <c r="CB10" s="1217"/>
      <c r="CC10" s="1217"/>
      <c r="CD10" s="1217"/>
      <c r="CE10" s="1217"/>
      <c r="CF10" s="1217"/>
      <c r="CG10" s="1217"/>
      <c r="CH10" s="1217"/>
      <c r="CI10" s="1217"/>
      <c r="CJ10" s="1217"/>
      <c r="CK10" s="1217"/>
      <c r="CL10" s="1217"/>
      <c r="CM10" s="1217"/>
      <c r="CN10" s="1217"/>
      <c r="CO10" s="1217"/>
      <c r="CP10" s="1217"/>
      <c r="CQ10" s="1217"/>
      <c r="CR10" s="1217"/>
      <c r="CS10" s="1217"/>
      <c r="CT10" s="1217"/>
      <c r="CU10" s="1217"/>
      <c r="CV10" s="1217"/>
      <c r="CW10" s="1217"/>
      <c r="CX10" s="1217"/>
      <c r="CY10" s="1217"/>
      <c r="CZ10" s="1217"/>
      <c r="DA10" s="1217"/>
      <c r="DB10" s="1217"/>
      <c r="DC10" s="1217"/>
      <c r="DD10" s="1217"/>
      <c r="DE10" s="1217"/>
      <c r="DF10" s="1217"/>
      <c r="DG10" s="1217"/>
      <c r="DH10" s="1217"/>
      <c r="DI10" s="1217"/>
      <c r="DJ10" s="1217"/>
      <c r="DK10" s="1217"/>
      <c r="DL10" s="1217"/>
      <c r="DM10" s="1217"/>
      <c r="DN10" s="1217"/>
      <c r="DO10" s="1217"/>
      <c r="DP10" s="1217"/>
      <c r="DQ10" s="1217"/>
      <c r="DR10" s="1217"/>
      <c r="DS10" s="1217"/>
      <c r="DT10" s="1217"/>
      <c r="DU10" s="1217"/>
      <c r="DV10" s="1217"/>
      <c r="DW10" s="1217"/>
      <c r="DX10" s="1217"/>
      <c r="DY10" s="1217"/>
      <c r="DZ10" s="1217"/>
      <c r="EA10" s="1217"/>
      <c r="EB10" s="1217"/>
      <c r="EC10" s="1217"/>
      <c r="ED10" s="1217"/>
      <c r="EE10" s="1217"/>
      <c r="EF10" s="1217"/>
      <c r="EG10" s="1217"/>
      <c r="EH10" s="1217"/>
      <c r="EI10" s="1217"/>
      <c r="EJ10" s="1217"/>
      <c r="EK10" s="1217"/>
      <c r="EL10" s="1217"/>
      <c r="EM10" s="1217"/>
      <c r="EN10" s="1217"/>
      <c r="EO10" s="1217"/>
      <c r="EP10" s="1217"/>
      <c r="EQ10" s="1217"/>
      <c r="ER10" s="1217"/>
      <c r="ES10" s="1217"/>
      <c r="ET10" s="1217"/>
      <c r="EU10" s="1217"/>
      <c r="EV10" s="1217"/>
      <c r="EW10" s="1217"/>
      <c r="EX10" s="1217"/>
      <c r="EY10" s="1217"/>
      <c r="EZ10" s="1217"/>
      <c r="FA10" s="1217"/>
      <c r="FB10" s="1217"/>
      <c r="FC10" s="1217"/>
      <c r="FD10" s="1217"/>
      <c r="FE10" s="1217"/>
      <c r="FF10" s="1217"/>
      <c r="FG10" s="1217"/>
      <c r="FH10" s="1217"/>
      <c r="FI10" s="1217"/>
      <c r="FJ10" s="1217"/>
      <c r="FK10" s="1217"/>
      <c r="FL10" s="1217"/>
      <c r="FM10" s="1217"/>
      <c r="FN10" s="1217"/>
      <c r="FO10" s="1217"/>
      <c r="FP10" s="1217"/>
      <c r="FQ10" s="1217"/>
      <c r="FR10" s="1217"/>
      <c r="FS10" s="1217"/>
      <c r="FT10" s="1217"/>
      <c r="FU10" s="1217"/>
      <c r="FV10" s="1217"/>
    </row>
    <row r="11" spans="2:178" s="32" customFormat="1" ht="9.75" customHeight="1" thickBot="1">
      <c r="B11" s="977"/>
      <c r="C11" s="977"/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977"/>
      <c r="O11" s="977"/>
      <c r="P11" s="977"/>
      <c r="Q11" s="977"/>
      <c r="R11" s="977"/>
      <c r="S11" s="977"/>
      <c r="T11" s="977"/>
      <c r="U11" s="1203"/>
      <c r="V11" s="1203"/>
      <c r="W11" s="977"/>
      <c r="X11" s="977"/>
      <c r="Y11" s="977"/>
      <c r="Z11" s="977"/>
      <c r="AA11" s="977"/>
      <c r="AB11" s="977"/>
      <c r="AC11" s="977"/>
      <c r="AD11" s="977"/>
      <c r="AE11" s="977"/>
      <c r="AF11" s="977"/>
      <c r="AG11" s="977"/>
      <c r="AH11" s="977"/>
      <c r="AI11" s="977"/>
      <c r="AJ11" s="977"/>
      <c r="AK11" s="977"/>
      <c r="AL11" s="977"/>
      <c r="AM11" s="977"/>
      <c r="AN11" s="977"/>
      <c r="AO11" s="977"/>
      <c r="AP11" s="977"/>
      <c r="AQ11" s="977"/>
      <c r="AR11" s="977"/>
      <c r="AS11" s="977"/>
      <c r="AT11" s="977"/>
      <c r="AU11" s="977"/>
      <c r="AV11" s="977"/>
      <c r="AW11" s="977"/>
      <c r="AX11" s="977"/>
      <c r="AY11" s="977"/>
      <c r="AZ11" s="977"/>
      <c r="BA11" s="977"/>
      <c r="BB11" s="977"/>
      <c r="BC11" s="977"/>
      <c r="BD11" s="977"/>
      <c r="BE11" s="977"/>
      <c r="BF11" s="977"/>
      <c r="BG11" s="977"/>
      <c r="BH11" s="977"/>
      <c r="BI11" s="977"/>
      <c r="BJ11" s="977"/>
      <c r="BK11" s="977"/>
      <c r="BL11" s="977"/>
      <c r="BM11" s="977"/>
      <c r="BN11" s="977"/>
      <c r="BO11" s="977"/>
      <c r="BP11" s="977"/>
      <c r="BQ11" s="977"/>
      <c r="BR11" s="977"/>
      <c r="BS11" s="977"/>
      <c r="BT11" s="977"/>
      <c r="BU11" s="977"/>
      <c r="BV11" s="977"/>
      <c r="BW11" s="977"/>
      <c r="BX11" s="977"/>
      <c r="BY11" s="977"/>
      <c r="BZ11" s="977"/>
      <c r="CA11" s="977"/>
      <c r="CB11" s="977"/>
      <c r="CC11" s="977"/>
      <c r="CD11" s="977"/>
      <c r="CE11" s="977"/>
      <c r="CF11" s="977"/>
      <c r="CG11" s="977"/>
      <c r="CH11" s="977"/>
      <c r="CI11" s="977"/>
      <c r="CJ11" s="977"/>
      <c r="CK11" s="977"/>
      <c r="CL11" s="977"/>
      <c r="CM11" s="977"/>
      <c r="CN11" s="977"/>
      <c r="CO11" s="977"/>
      <c r="CP11" s="977"/>
      <c r="CQ11" s="977"/>
      <c r="CR11" s="977"/>
      <c r="CS11" s="977"/>
      <c r="CT11" s="977"/>
      <c r="CU11" s="977"/>
      <c r="CV11" s="977"/>
      <c r="CW11" s="977"/>
      <c r="CX11" s="977"/>
      <c r="CY11" s="977"/>
      <c r="CZ11" s="977"/>
      <c r="DA11" s="977"/>
      <c r="DB11" s="977"/>
      <c r="DC11" s="977"/>
      <c r="DD11" s="977"/>
      <c r="DE11" s="977"/>
      <c r="DF11" s="977"/>
      <c r="DG11" s="977"/>
      <c r="DH11" s="977"/>
      <c r="DI11" s="977"/>
      <c r="DJ11" s="977"/>
      <c r="DK11" s="977"/>
      <c r="DL11" s="977"/>
      <c r="DM11" s="977"/>
      <c r="DN11" s="977"/>
      <c r="DO11" s="977"/>
      <c r="DP11" s="977"/>
      <c r="DQ11" s="977"/>
      <c r="DR11" s="977"/>
      <c r="DS11" s="977"/>
      <c r="DT11" s="977"/>
      <c r="DU11" s="977"/>
      <c r="DV11" s="977"/>
      <c r="DW11" s="977"/>
      <c r="DX11" s="977"/>
      <c r="DY11" s="977"/>
      <c r="DZ11" s="977"/>
      <c r="EA11" s="977"/>
      <c r="EB11" s="977"/>
      <c r="EC11" s="977"/>
      <c r="ED11" s="977"/>
      <c r="EE11" s="977"/>
      <c r="EF11" s="977"/>
      <c r="EG11" s="977"/>
      <c r="EH11" s="977"/>
      <c r="EI11" s="977"/>
      <c r="EJ11" s="977"/>
      <c r="EK11" s="977"/>
      <c r="EL11" s="977"/>
      <c r="EM11" s="977"/>
      <c r="EN11" s="977"/>
      <c r="EO11" s="977"/>
      <c r="EP11" s="977"/>
      <c r="EQ11" s="977"/>
      <c r="ER11" s="977"/>
      <c r="ES11" s="977"/>
      <c r="ET11" s="977"/>
      <c r="EU11" s="977"/>
      <c r="EV11" s="977"/>
      <c r="EW11" s="977"/>
      <c r="EX11" s="977"/>
      <c r="EY11" s="977"/>
      <c r="EZ11" s="977"/>
      <c r="FA11" s="977"/>
      <c r="FB11" s="977"/>
      <c r="FC11" s="977"/>
      <c r="FD11" s="977"/>
      <c r="FE11" s="977"/>
      <c r="FF11" s="977"/>
      <c r="FG11" s="977"/>
      <c r="FH11" s="977"/>
      <c r="FI11" s="977"/>
      <c r="FJ11" s="977"/>
      <c r="FK11" s="977"/>
      <c r="FL11" s="977"/>
      <c r="FM11" s="977"/>
      <c r="FN11" s="977"/>
      <c r="FO11" s="977"/>
      <c r="FP11" s="977"/>
      <c r="FQ11" s="977"/>
      <c r="FR11" s="977"/>
      <c r="FS11" s="977"/>
      <c r="FT11" s="977"/>
      <c r="FU11" s="977"/>
      <c r="FV11" s="977"/>
    </row>
    <row r="12" spans="2:177" s="32" customFormat="1" ht="9.75" customHeight="1" thickTop="1">
      <c r="B12" s="1221"/>
      <c r="C12" s="1222"/>
      <c r="D12" s="1222"/>
      <c r="E12" s="1222"/>
      <c r="F12" s="1222"/>
      <c r="G12" s="1222"/>
      <c r="H12" s="1222"/>
      <c r="I12" s="1222"/>
      <c r="J12" s="1222"/>
      <c r="K12" s="1222"/>
      <c r="L12" s="1222"/>
      <c r="M12" s="1222"/>
      <c r="N12" s="1222"/>
      <c r="O12" s="1222"/>
      <c r="P12" s="1222"/>
      <c r="Q12" s="1222"/>
      <c r="R12" s="1222"/>
      <c r="S12" s="1222"/>
      <c r="T12" s="1222"/>
      <c r="U12" s="1223"/>
      <c r="V12" s="977"/>
      <c r="W12" s="977"/>
      <c r="X12" s="977"/>
      <c r="Y12" s="977"/>
      <c r="Z12" s="977"/>
      <c r="AA12" s="977"/>
      <c r="AB12" s="977"/>
      <c r="AC12" s="977"/>
      <c r="AD12" s="977"/>
      <c r="AE12" s="977"/>
      <c r="AF12" s="977"/>
      <c r="AG12" s="977"/>
      <c r="AH12" s="977"/>
      <c r="AI12" s="977"/>
      <c r="AJ12" s="977"/>
      <c r="AK12" s="977"/>
      <c r="AL12" s="977"/>
      <c r="AM12" s="977"/>
      <c r="AN12" s="977"/>
      <c r="AO12" s="977"/>
      <c r="AP12" s="977"/>
      <c r="AQ12" s="977"/>
      <c r="AR12" s="977"/>
      <c r="AS12" s="977"/>
      <c r="AT12" s="977"/>
      <c r="AU12" s="977"/>
      <c r="AV12" s="977"/>
      <c r="AW12" s="977"/>
      <c r="AX12" s="977"/>
      <c r="AY12" s="977"/>
      <c r="AZ12" s="977"/>
      <c r="BA12" s="977"/>
      <c r="BB12" s="977"/>
      <c r="BC12" s="977"/>
      <c r="BD12" s="977"/>
      <c r="BE12" s="977"/>
      <c r="BF12" s="977"/>
      <c r="BG12" s="977"/>
      <c r="BH12" s="977"/>
      <c r="BI12" s="977"/>
      <c r="BJ12" s="977"/>
      <c r="BK12" s="977"/>
      <c r="BL12" s="977"/>
      <c r="BM12" s="977"/>
      <c r="BN12" s="977"/>
      <c r="BO12" s="977"/>
      <c r="BP12" s="977"/>
      <c r="BQ12" s="977"/>
      <c r="BR12" s="977"/>
      <c r="BS12" s="977"/>
      <c r="BT12" s="977"/>
      <c r="BU12" s="977"/>
      <c r="BV12" s="977"/>
      <c r="BW12" s="977"/>
      <c r="BX12" s="977"/>
      <c r="BY12" s="977"/>
      <c r="BZ12" s="977"/>
      <c r="CA12" s="977"/>
      <c r="CB12" s="977"/>
      <c r="CC12" s="977"/>
      <c r="CD12" s="977"/>
      <c r="CE12" s="977"/>
      <c r="CF12" s="977"/>
      <c r="CG12" s="977"/>
      <c r="CH12" s="977"/>
      <c r="CI12" s="977"/>
      <c r="CJ12" s="977"/>
      <c r="CK12" s="977"/>
      <c r="CL12" s="977"/>
      <c r="CM12" s="977"/>
      <c r="CN12" s="977"/>
      <c r="CO12" s="977"/>
      <c r="CP12" s="977"/>
      <c r="CQ12" s="977"/>
      <c r="CR12" s="977"/>
      <c r="CS12" s="977"/>
      <c r="CT12" s="977"/>
      <c r="CU12" s="977"/>
      <c r="CV12" s="977"/>
      <c r="CW12" s="977"/>
      <c r="CX12" s="977"/>
      <c r="CY12" s="977"/>
      <c r="CZ12" s="977"/>
      <c r="DA12" s="977"/>
      <c r="DB12" s="977"/>
      <c r="DC12" s="977"/>
      <c r="DD12" s="977"/>
      <c r="DE12" s="977"/>
      <c r="DF12" s="977"/>
      <c r="DG12" s="977"/>
      <c r="DH12" s="977"/>
      <c r="DI12" s="977"/>
      <c r="DJ12" s="977"/>
      <c r="DK12" s="977"/>
      <c r="DL12" s="977"/>
      <c r="DM12" s="977"/>
      <c r="DN12" s="977"/>
      <c r="DO12" s="977"/>
      <c r="DP12" s="977"/>
      <c r="DQ12" s="977"/>
      <c r="DR12" s="977"/>
      <c r="DS12" s="977"/>
      <c r="DT12" s="977"/>
      <c r="DU12" s="977"/>
      <c r="DV12" s="977"/>
      <c r="DW12" s="977"/>
      <c r="DX12" s="977"/>
      <c r="DY12" s="977"/>
      <c r="DZ12" s="977"/>
      <c r="EA12" s="977"/>
      <c r="EB12" s="977"/>
      <c r="EC12" s="977"/>
      <c r="ED12" s="977"/>
      <c r="EE12" s="977"/>
      <c r="EF12" s="977"/>
      <c r="EG12" s="977"/>
      <c r="EH12" s="977"/>
      <c r="EI12" s="977"/>
      <c r="EJ12" s="977"/>
      <c r="EK12" s="977"/>
      <c r="EL12" s="977"/>
      <c r="EM12" s="977"/>
      <c r="EN12" s="977"/>
      <c r="EO12" s="977"/>
      <c r="EP12" s="977"/>
      <c r="EQ12" s="977"/>
      <c r="ER12" s="977"/>
      <c r="ES12" s="977"/>
      <c r="ET12" s="977"/>
      <c r="EU12" s="977"/>
      <c r="EV12" s="977"/>
      <c r="EW12" s="977"/>
      <c r="EX12" s="977"/>
      <c r="EY12" s="977"/>
      <c r="EZ12" s="977"/>
      <c r="FA12" s="977"/>
      <c r="FB12" s="977"/>
      <c r="FC12" s="977"/>
      <c r="FD12" s="977"/>
      <c r="FE12" s="977"/>
      <c r="FF12" s="977"/>
      <c r="FG12" s="977"/>
      <c r="FH12" s="977"/>
      <c r="FI12" s="977"/>
      <c r="FJ12" s="977"/>
      <c r="FK12" s="977"/>
      <c r="FL12" s="977"/>
      <c r="FM12" s="977"/>
      <c r="FN12" s="977"/>
      <c r="FO12" s="977"/>
      <c r="FP12" s="977"/>
      <c r="FQ12" s="977"/>
      <c r="FR12" s="977"/>
      <c r="FS12" s="977"/>
      <c r="FT12" s="977"/>
      <c r="FU12" s="977"/>
    </row>
    <row r="13" spans="2:177" s="32" customFormat="1" ht="19.5">
      <c r="B13" s="37" t="s">
        <v>417</v>
      </c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5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7"/>
      <c r="AI13" s="977"/>
      <c r="AJ13" s="977"/>
      <c r="AK13" s="977"/>
      <c r="AL13" s="977"/>
      <c r="AM13" s="977"/>
      <c r="AN13" s="977"/>
      <c r="AO13" s="977"/>
      <c r="AP13" s="977"/>
      <c r="AQ13" s="977"/>
      <c r="AR13" s="977"/>
      <c r="AS13" s="977"/>
      <c r="AT13" s="977"/>
      <c r="AU13" s="977"/>
      <c r="AV13" s="977"/>
      <c r="AW13" s="977"/>
      <c r="AX13" s="977"/>
      <c r="AY13" s="977"/>
      <c r="AZ13" s="977"/>
      <c r="BA13" s="977"/>
      <c r="BB13" s="977"/>
      <c r="BC13" s="977"/>
      <c r="BD13" s="977"/>
      <c r="BE13" s="977"/>
      <c r="BF13" s="977"/>
      <c r="BG13" s="977"/>
      <c r="BH13" s="977"/>
      <c r="BI13" s="977"/>
      <c r="BJ13" s="977"/>
      <c r="BK13" s="977"/>
      <c r="BL13" s="977"/>
      <c r="BM13" s="977"/>
      <c r="BN13" s="977"/>
      <c r="BO13" s="977"/>
      <c r="BP13" s="977"/>
      <c r="BQ13" s="977"/>
      <c r="BR13" s="977"/>
      <c r="BS13" s="977"/>
      <c r="BT13" s="977"/>
      <c r="BU13" s="977"/>
      <c r="BV13" s="977"/>
      <c r="BW13" s="977"/>
      <c r="BX13" s="977"/>
      <c r="BY13" s="977"/>
      <c r="BZ13" s="977"/>
      <c r="CA13" s="977"/>
      <c r="CB13" s="977"/>
      <c r="CC13" s="977"/>
      <c r="CD13" s="977"/>
      <c r="CE13" s="977"/>
      <c r="CF13" s="977"/>
      <c r="CG13" s="977"/>
      <c r="CH13" s="977"/>
      <c r="CI13" s="977"/>
      <c r="CJ13" s="977"/>
      <c r="CK13" s="977"/>
      <c r="CL13" s="977"/>
      <c r="CM13" s="977"/>
      <c r="CN13" s="977"/>
      <c r="CO13" s="977"/>
      <c r="CP13" s="977"/>
      <c r="CQ13" s="977"/>
      <c r="CR13" s="977"/>
      <c r="CS13" s="977"/>
      <c r="CT13" s="977"/>
      <c r="CU13" s="977"/>
      <c r="CV13" s="977"/>
      <c r="CW13" s="977"/>
      <c r="CX13" s="977"/>
      <c r="CY13" s="977"/>
      <c r="CZ13" s="977"/>
      <c r="DA13" s="977"/>
      <c r="DB13" s="977"/>
      <c r="DC13" s="977"/>
      <c r="DD13" s="977"/>
      <c r="DE13" s="977"/>
      <c r="DF13" s="977"/>
      <c r="DG13" s="977"/>
      <c r="DH13" s="977"/>
      <c r="DI13" s="977"/>
      <c r="DJ13" s="977"/>
      <c r="DK13" s="977"/>
      <c r="DL13" s="977"/>
      <c r="DM13" s="977"/>
      <c r="DN13" s="977"/>
      <c r="DO13" s="977"/>
      <c r="DP13" s="977"/>
      <c r="DQ13" s="977"/>
      <c r="DR13" s="977"/>
      <c r="DS13" s="977"/>
      <c r="DT13" s="977"/>
      <c r="DU13" s="977"/>
      <c r="DV13" s="977"/>
      <c r="DW13" s="977"/>
      <c r="DX13" s="977"/>
      <c r="DY13" s="977"/>
      <c r="DZ13" s="977"/>
      <c r="EA13" s="977"/>
      <c r="EB13" s="977"/>
      <c r="EC13" s="977"/>
      <c r="ED13" s="977"/>
      <c r="EE13" s="977"/>
      <c r="EF13" s="977"/>
      <c r="EG13" s="977"/>
      <c r="EH13" s="977"/>
      <c r="EI13" s="977"/>
      <c r="EJ13" s="977"/>
      <c r="EK13" s="977"/>
      <c r="EL13" s="977"/>
      <c r="EM13" s="977"/>
      <c r="EN13" s="977"/>
      <c r="EO13" s="977"/>
      <c r="EP13" s="977"/>
      <c r="EQ13" s="977"/>
      <c r="ER13" s="977"/>
      <c r="ES13" s="977"/>
      <c r="ET13" s="977"/>
      <c r="EU13" s="977"/>
      <c r="EV13" s="977"/>
      <c r="EW13" s="977"/>
      <c r="EX13" s="977"/>
      <c r="EY13" s="977"/>
      <c r="EZ13" s="977"/>
      <c r="FA13" s="977"/>
      <c r="FB13" s="977"/>
      <c r="FC13" s="977"/>
      <c r="FD13" s="977"/>
      <c r="FE13" s="977"/>
      <c r="FF13" s="977"/>
      <c r="FG13" s="977"/>
      <c r="FH13" s="977"/>
      <c r="FI13" s="977"/>
      <c r="FJ13" s="977"/>
      <c r="FK13" s="977"/>
      <c r="FL13" s="977"/>
      <c r="FM13" s="977"/>
      <c r="FN13" s="977"/>
      <c r="FO13" s="977"/>
      <c r="FP13" s="977"/>
      <c r="FQ13" s="977"/>
      <c r="FR13" s="977"/>
      <c r="FS13" s="977"/>
      <c r="FT13" s="977"/>
      <c r="FU13" s="977"/>
    </row>
    <row r="14" spans="2:21" s="32" customFormat="1" ht="9.75" customHeight="1" thickBot="1">
      <c r="B14" s="77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226"/>
    </row>
    <row r="15" spans="2:21" s="740" customFormat="1" ht="33.75" customHeight="1" thickBot="1" thickTop="1">
      <c r="B15" s="741"/>
      <c r="C15" s="84"/>
      <c r="D15" s="84" t="s">
        <v>0</v>
      </c>
      <c r="E15" s="133" t="s">
        <v>14</v>
      </c>
      <c r="F15" s="133" t="s">
        <v>15</v>
      </c>
      <c r="G15" s="1227" t="s">
        <v>418</v>
      </c>
      <c r="H15" s="1227">
        <v>39356</v>
      </c>
      <c r="I15" s="1227">
        <v>39387</v>
      </c>
      <c r="J15" s="1227">
        <v>39417</v>
      </c>
      <c r="K15" s="1227">
        <v>39448</v>
      </c>
      <c r="L15" s="1227">
        <v>39479</v>
      </c>
      <c r="M15" s="1227">
        <v>39508</v>
      </c>
      <c r="N15" s="1227">
        <v>39539</v>
      </c>
      <c r="O15" s="1227">
        <v>39569</v>
      </c>
      <c r="P15" s="1227">
        <v>39600</v>
      </c>
      <c r="Q15" s="1227">
        <v>39630</v>
      </c>
      <c r="R15" s="1227">
        <v>39661</v>
      </c>
      <c r="S15" s="1227">
        <v>39692</v>
      </c>
      <c r="T15" s="1227">
        <v>39722</v>
      </c>
      <c r="U15" s="742"/>
    </row>
    <row r="16" spans="2:21" s="1228" customFormat="1" ht="9.75" customHeight="1" thickTop="1">
      <c r="B16" s="1229"/>
      <c r="C16" s="1230"/>
      <c r="D16" s="1231"/>
      <c r="E16" s="1231"/>
      <c r="F16" s="1231"/>
      <c r="G16" s="1231"/>
      <c r="H16" s="1232"/>
      <c r="I16" s="1232"/>
      <c r="J16" s="1232"/>
      <c r="K16" s="1232"/>
      <c r="L16" s="1232"/>
      <c r="M16" s="1232"/>
      <c r="N16" s="1232"/>
      <c r="O16" s="1232"/>
      <c r="P16" s="1232"/>
      <c r="Q16" s="1232"/>
      <c r="R16" s="1232"/>
      <c r="S16" s="1232"/>
      <c r="T16" s="1233"/>
      <c r="U16" s="1234"/>
    </row>
    <row r="17" spans="2:21" s="1228" customFormat="1" ht="19.5" customHeight="1">
      <c r="B17" s="1229"/>
      <c r="C17" s="1235">
        <f>IF('[1]BASE'!C17=0,"",'[1]BASE'!C17)</f>
        <v>1</v>
      </c>
      <c r="D17" s="1235" t="str">
        <f>IF('[1]BASE'!D17=0,"",'[1]BASE'!D17)</f>
        <v>ABASTO - OLAVARRIA 1</v>
      </c>
      <c r="E17" s="1235">
        <f>IF('[1]BASE'!E17=0,"",'[1]BASE'!E17)</f>
        <v>500</v>
      </c>
      <c r="F17" s="1235">
        <f>IF('[1]BASE'!F17=0,"",'[1]BASE'!F17)</f>
        <v>291</v>
      </c>
      <c r="G17" s="1236" t="str">
        <f>IF('[1]BASE'!G17=0,"",'[1]BASE'!G17)</f>
        <v>B</v>
      </c>
      <c r="H17" s="1237">
        <f>IF('[1]BASE'!FR17=0,"",'[1]BASE'!FR17)</f>
      </c>
      <c r="I17" s="1237">
        <f>IF('[1]BASE'!FS17=0,"",'[1]BASE'!FS17)</f>
      </c>
      <c r="J17" s="1237">
        <f>IF('[1]BASE'!FT17=0,"",'[1]BASE'!FT17)</f>
      </c>
      <c r="K17" s="1237">
        <f>IF('[1]BASE'!FU17=0,"",'[1]BASE'!FU17)</f>
      </c>
      <c r="L17" s="1237">
        <f>IF('[1]BASE'!FV17=0,"",'[1]BASE'!FV17)</f>
      </c>
      <c r="M17" s="1237">
        <f>IF('[1]BASE'!FW17=0,"",'[1]BASE'!FW17)</f>
      </c>
      <c r="N17" s="1237">
        <f>IF('[1]BASE'!FX17=0,"",'[1]BASE'!FX17)</f>
      </c>
      <c r="O17" s="1237">
        <f>IF('[1]BASE'!FY17=0,"",'[1]BASE'!FY17)</f>
      </c>
      <c r="P17" s="1237">
        <f>IF('[1]BASE'!FZ17=0,"",'[1]BASE'!FZ17)</f>
      </c>
      <c r="Q17" s="1237">
        <f>IF('[1]BASE'!GA17=0,"",'[1]BASE'!GA17)</f>
      </c>
      <c r="R17" s="1237">
        <f>IF('[1]BASE'!GB17=0,"",'[1]BASE'!GB17)</f>
      </c>
      <c r="S17" s="1237">
        <f>IF('[1]BASE'!GC17=0,"",'[1]BASE'!GC17)</f>
      </c>
      <c r="T17" s="1238"/>
      <c r="U17" s="1234"/>
    </row>
    <row r="18" spans="2:21" s="1228" customFormat="1" ht="19.5" customHeight="1">
      <c r="B18" s="1229"/>
      <c r="C18" s="1239">
        <f>IF('[1]BASE'!C18=0,"",'[1]BASE'!C18)</f>
        <v>2</v>
      </c>
      <c r="D18" s="1239" t="str">
        <f>IF('[1]BASE'!D18=0,"",'[1]BASE'!D18)</f>
        <v>ABASTO - OLAVARRIA 2</v>
      </c>
      <c r="E18" s="1239">
        <f>IF('[1]BASE'!E18=0,"",'[1]BASE'!E18)</f>
        <v>500</v>
      </c>
      <c r="F18" s="1239">
        <f>IF('[1]BASE'!F18=0,"",'[1]BASE'!F18)</f>
        <v>301.9</v>
      </c>
      <c r="G18" s="1240">
        <f>IF('[1]BASE'!G18=0,"",'[1]BASE'!G18)</f>
      </c>
      <c r="H18" s="1237">
        <f>IF('[1]BASE'!FR18=0,"",'[1]BASE'!FR18)</f>
      </c>
      <c r="I18" s="1237">
        <f>IF('[1]BASE'!FS18=0,"",'[1]BASE'!FS18)</f>
      </c>
      <c r="J18" s="1237">
        <f>IF('[1]BASE'!FT18=0,"",'[1]BASE'!FT18)</f>
      </c>
      <c r="K18" s="1237">
        <f>IF('[1]BASE'!FU18=0,"",'[1]BASE'!FU18)</f>
      </c>
      <c r="L18" s="1237">
        <f>IF('[1]BASE'!FV18=0,"",'[1]BASE'!FV18)</f>
      </c>
      <c r="M18" s="1237">
        <f>IF('[1]BASE'!FW18=0,"",'[1]BASE'!FW18)</f>
      </c>
      <c r="N18" s="1237">
        <f>IF('[1]BASE'!FX18=0,"",'[1]BASE'!FX18)</f>
      </c>
      <c r="O18" s="1237">
        <f>IF('[1]BASE'!FY18=0,"",'[1]BASE'!FY18)</f>
      </c>
      <c r="P18" s="1237">
        <f>IF('[1]BASE'!FZ18=0,"",'[1]BASE'!FZ18)</f>
      </c>
      <c r="Q18" s="1237">
        <f>IF('[1]BASE'!GA18=0,"",'[1]BASE'!GA18)</f>
      </c>
      <c r="R18" s="1237">
        <f>IF('[1]BASE'!GB18=0,"",'[1]BASE'!GB18)</f>
      </c>
      <c r="S18" s="1237">
        <f>IF('[1]BASE'!GC18=0,"",'[1]BASE'!GC18)</f>
      </c>
      <c r="T18" s="1238"/>
      <c r="U18" s="1234"/>
    </row>
    <row r="19" spans="2:21" s="1228" customFormat="1" ht="19.5" customHeight="1">
      <c r="B19" s="1229"/>
      <c r="C19" s="1241">
        <f>IF('[1]BASE'!C19=0,"",'[1]BASE'!C19)</f>
        <v>3</v>
      </c>
      <c r="D19" s="1241" t="str">
        <f>IF('[1]BASE'!D19=0,"",'[1]BASE'!D19)</f>
        <v>AGUA DEL CAJON - CHOCON OESTE</v>
      </c>
      <c r="E19" s="1241">
        <f>IF('[1]BASE'!E19=0,"",'[1]BASE'!E19)</f>
        <v>500</v>
      </c>
      <c r="F19" s="1241">
        <f>IF('[1]BASE'!F19=0,"",'[1]BASE'!F19)</f>
        <v>52</v>
      </c>
      <c r="G19" s="1242">
        <f>IF('[1]BASE'!G19=0,"",'[1]BASE'!G19)</f>
      </c>
      <c r="H19" s="1237">
        <f>IF('[1]BASE'!FR19=0,"",'[1]BASE'!FR19)</f>
      </c>
      <c r="I19" s="1237">
        <f>IF('[1]BASE'!FS19=0,"",'[1]BASE'!FS19)</f>
      </c>
      <c r="J19" s="1237">
        <f>IF('[1]BASE'!FT19=0,"",'[1]BASE'!FT19)</f>
      </c>
      <c r="K19" s="1237">
        <f>IF('[1]BASE'!FU19=0,"",'[1]BASE'!FU19)</f>
      </c>
      <c r="L19" s="1237">
        <f>IF('[1]BASE'!FV19=0,"",'[1]BASE'!FV19)</f>
      </c>
      <c r="M19" s="1237">
        <f>IF('[1]BASE'!FW19=0,"",'[1]BASE'!FW19)</f>
      </c>
      <c r="N19" s="1237">
        <f>IF('[1]BASE'!FX19=0,"",'[1]BASE'!FX19)</f>
      </c>
      <c r="O19" s="1237">
        <f>IF('[1]BASE'!FY19=0,"",'[1]BASE'!FY19)</f>
      </c>
      <c r="P19" s="1237">
        <f>IF('[1]BASE'!FZ19=0,"",'[1]BASE'!FZ19)</f>
      </c>
      <c r="Q19" s="1237">
        <f>IF('[1]BASE'!GA19=0,"",'[1]BASE'!GA19)</f>
      </c>
      <c r="R19" s="1237">
        <f>IF('[1]BASE'!GB19=0,"",'[1]BASE'!GB19)</f>
      </c>
      <c r="S19" s="1237">
        <f>IF('[1]BASE'!GC19=0,"",'[1]BASE'!GC19)</f>
      </c>
      <c r="T19" s="1238"/>
      <c r="U19" s="1234"/>
    </row>
    <row r="20" spans="2:21" s="1228" customFormat="1" ht="19.5" customHeight="1">
      <c r="B20" s="1229"/>
      <c r="C20" s="1239">
        <f>IF('[1]BASE'!C20=0,"",'[1]BASE'!C20)</f>
        <v>4</v>
      </c>
      <c r="D20" s="1239" t="str">
        <f>IF('[1]BASE'!D20=0,"",'[1]BASE'!D20)</f>
        <v>ALICURA - E.T. P.del A. 1 (5LG1)</v>
      </c>
      <c r="E20" s="1239">
        <f>IF('[1]BASE'!E20=0,"",'[1]BASE'!E20)</f>
        <v>500</v>
      </c>
      <c r="F20" s="1239">
        <f>IF('[1]BASE'!F20=0,"",'[1]BASE'!F20)</f>
        <v>76</v>
      </c>
      <c r="G20" s="1240" t="str">
        <f>IF('[1]BASE'!G20=0,"",'[1]BASE'!G20)</f>
        <v>C</v>
      </c>
      <c r="H20" s="1237">
        <f>IF('[1]BASE'!FR20=0,"",'[1]BASE'!FR20)</f>
      </c>
      <c r="I20" s="1237">
        <f>IF('[1]BASE'!FS20=0,"",'[1]BASE'!FS20)</f>
      </c>
      <c r="J20" s="1237">
        <f>IF('[1]BASE'!FT20=0,"",'[1]BASE'!FT20)</f>
        <v>1</v>
      </c>
      <c r="K20" s="1237">
        <f>IF('[1]BASE'!FU20=0,"",'[1]BASE'!FU20)</f>
      </c>
      <c r="L20" s="1237">
        <f>IF('[1]BASE'!FV20=0,"",'[1]BASE'!FV20)</f>
      </c>
      <c r="M20" s="1237">
        <f>IF('[1]BASE'!FW20=0,"",'[1]BASE'!FW20)</f>
      </c>
      <c r="N20" s="1237">
        <f>IF('[1]BASE'!FX20=0,"",'[1]BASE'!FX20)</f>
      </c>
      <c r="O20" s="1237">
        <f>IF('[1]BASE'!FY20=0,"",'[1]BASE'!FY20)</f>
      </c>
      <c r="P20" s="1237">
        <f>IF('[1]BASE'!FZ20=0,"",'[1]BASE'!FZ20)</f>
      </c>
      <c r="Q20" s="1237">
        <f>IF('[1]BASE'!GA20=0,"",'[1]BASE'!GA20)</f>
      </c>
      <c r="R20" s="1237">
        <f>IF('[1]BASE'!GB20=0,"",'[1]BASE'!GB20)</f>
      </c>
      <c r="S20" s="1237">
        <f>IF('[1]BASE'!GC20=0,"",'[1]BASE'!GC20)</f>
      </c>
      <c r="T20" s="1238"/>
      <c r="U20" s="1234"/>
    </row>
    <row r="21" spans="2:21" s="1228" customFormat="1" ht="19.5" customHeight="1">
      <c r="B21" s="1229"/>
      <c r="C21" s="1241">
        <f>IF('[1]BASE'!C21=0,"",'[1]BASE'!C21)</f>
        <v>5</v>
      </c>
      <c r="D21" s="1241" t="str">
        <f>IF('[1]BASE'!D21=0,"",'[1]BASE'!D21)</f>
        <v>ALICURA - E.T. P.del A. 2 (5LG2)</v>
      </c>
      <c r="E21" s="1241">
        <f>IF('[1]BASE'!E21=0,"",'[1]BASE'!E21)</f>
        <v>500</v>
      </c>
      <c r="F21" s="1241">
        <f>IF('[1]BASE'!F21=0,"",'[1]BASE'!F21)</f>
        <v>76</v>
      </c>
      <c r="G21" s="1242" t="str">
        <f>IF('[1]BASE'!G21=0,"",'[1]BASE'!G21)</f>
        <v>C</v>
      </c>
      <c r="H21" s="1237">
        <f>IF('[1]BASE'!FR21=0,"",'[1]BASE'!FR21)</f>
      </c>
      <c r="I21" s="1237">
        <f>IF('[1]BASE'!FS21=0,"",'[1]BASE'!FS21)</f>
      </c>
      <c r="J21" s="1237">
        <f>IF('[1]BASE'!FT21=0,"",'[1]BASE'!FT21)</f>
      </c>
      <c r="K21" s="1237">
        <f>IF('[1]BASE'!FU21=0,"",'[1]BASE'!FU21)</f>
      </c>
      <c r="L21" s="1237">
        <f>IF('[1]BASE'!FV21=0,"",'[1]BASE'!FV21)</f>
      </c>
      <c r="M21" s="1237">
        <f>IF('[1]BASE'!FW21=0,"",'[1]BASE'!FW21)</f>
      </c>
      <c r="N21" s="1237">
        <f>IF('[1]BASE'!FX21=0,"",'[1]BASE'!FX21)</f>
      </c>
      <c r="O21" s="1237">
        <f>IF('[1]BASE'!FY21=0,"",'[1]BASE'!FY21)</f>
      </c>
      <c r="P21" s="1237">
        <f>IF('[1]BASE'!FZ21=0,"",'[1]BASE'!FZ21)</f>
      </c>
      <c r="Q21" s="1237">
        <f>IF('[1]BASE'!GA21=0,"",'[1]BASE'!GA21)</f>
      </c>
      <c r="R21" s="1237">
        <f>IF('[1]BASE'!GB21=0,"",'[1]BASE'!GB21)</f>
      </c>
      <c r="S21" s="1237">
        <f>IF('[1]BASE'!GC21=0,"",'[1]BASE'!GC21)</f>
      </c>
      <c r="T21" s="1238"/>
      <c r="U21" s="1234"/>
    </row>
    <row r="22" spans="2:21" s="1228" customFormat="1" ht="19.5" customHeight="1">
      <c r="B22" s="1229"/>
      <c r="C22" s="1239">
        <f>IF('[1]BASE'!C22=0,"",'[1]BASE'!C22)</f>
        <v>6</v>
      </c>
      <c r="D22" s="1239" t="str">
        <f>IF('[1]BASE'!D22=0,"",'[1]BASE'!D22)</f>
        <v>ALMAFUERTE - EMBALSE </v>
      </c>
      <c r="E22" s="1239">
        <f>IF('[1]BASE'!E22=0,"",'[1]BASE'!E22)</f>
        <v>500</v>
      </c>
      <c r="F22" s="1239">
        <f>IF('[1]BASE'!F22=0,"",'[1]BASE'!F22)</f>
        <v>12</v>
      </c>
      <c r="G22" s="1240" t="str">
        <f>IF('[1]BASE'!G22=0,"",'[1]BASE'!G22)</f>
        <v>A</v>
      </c>
      <c r="H22" s="1237">
        <f>IF('[1]BASE'!FR22=0,"",'[1]BASE'!FR22)</f>
      </c>
      <c r="I22" s="1237">
        <f>IF('[1]BASE'!FS22=0,"",'[1]BASE'!FS22)</f>
      </c>
      <c r="J22" s="1237">
        <f>IF('[1]BASE'!FT22=0,"",'[1]BASE'!FT22)</f>
      </c>
      <c r="K22" s="1237">
        <f>IF('[1]BASE'!FU22=0,"",'[1]BASE'!FU22)</f>
      </c>
      <c r="L22" s="1237">
        <f>IF('[1]BASE'!FV22=0,"",'[1]BASE'!FV22)</f>
      </c>
      <c r="M22" s="1237">
        <f>IF('[1]BASE'!FW22=0,"",'[1]BASE'!FW22)</f>
      </c>
      <c r="N22" s="1237">
        <f>IF('[1]BASE'!FX22=0,"",'[1]BASE'!FX22)</f>
      </c>
      <c r="O22" s="1237">
        <f>IF('[1]BASE'!FY22=0,"",'[1]BASE'!FY22)</f>
      </c>
      <c r="P22" s="1237">
        <f>IF('[1]BASE'!FZ22=0,"",'[1]BASE'!FZ22)</f>
      </c>
      <c r="Q22" s="1237">
        <f>IF('[1]BASE'!GA22=0,"",'[1]BASE'!GA22)</f>
      </c>
      <c r="R22" s="1237">
        <f>IF('[1]BASE'!GB22=0,"",'[1]BASE'!GB22)</f>
      </c>
      <c r="S22" s="1237">
        <f>IF('[1]BASE'!GC22=0,"",'[1]BASE'!GC22)</f>
      </c>
      <c r="T22" s="1238"/>
      <c r="U22" s="1234"/>
    </row>
    <row r="23" spans="2:21" s="1228" customFormat="1" ht="19.5" customHeight="1">
      <c r="B23" s="1229"/>
      <c r="C23" s="1241">
        <f>IF('[1]BASE'!C23=0,"",'[1]BASE'!C23)</f>
        <v>7</v>
      </c>
      <c r="D23" s="1241" t="str">
        <f>IF('[1]BASE'!D23=0,"",'[1]BASE'!D23)</f>
        <v> ALMAFUERTE - ROSARIO OESTE</v>
      </c>
      <c r="E23" s="1241">
        <f>IF('[1]BASE'!E23=0,"",'[1]BASE'!E23)</f>
        <v>500</v>
      </c>
      <c r="F23" s="1241">
        <f>IF('[1]BASE'!F23=0,"",'[1]BASE'!F23)</f>
        <v>345</v>
      </c>
      <c r="G23" s="1242" t="str">
        <f>IF('[1]BASE'!G23=0,"",'[1]BASE'!G23)</f>
        <v>B</v>
      </c>
      <c r="H23" s="1237">
        <f>IF('[1]BASE'!FR23=0,"",'[1]BASE'!FR23)</f>
      </c>
      <c r="I23" s="1237">
        <f>IF('[1]BASE'!FS23=0,"",'[1]BASE'!FS23)</f>
      </c>
      <c r="J23" s="1237">
        <f>IF('[1]BASE'!FT23=0,"",'[1]BASE'!FT23)</f>
      </c>
      <c r="K23" s="1237">
        <f>IF('[1]BASE'!FU23=0,"",'[1]BASE'!FU23)</f>
      </c>
      <c r="L23" s="1237">
        <f>IF('[1]BASE'!FV23=0,"",'[1]BASE'!FV23)</f>
      </c>
      <c r="M23" s="1237">
        <f>IF('[1]BASE'!FW23=0,"",'[1]BASE'!FW23)</f>
      </c>
      <c r="N23" s="1237">
        <f>IF('[1]BASE'!FX23=0,"",'[1]BASE'!FX23)</f>
      </c>
      <c r="O23" s="1237">
        <f>IF('[1]BASE'!FY23=0,"",'[1]BASE'!FY23)</f>
      </c>
      <c r="P23" s="1237">
        <f>IF('[1]BASE'!FZ23=0,"",'[1]BASE'!FZ23)</f>
      </c>
      <c r="Q23" s="1237">
        <f>IF('[1]BASE'!GA23=0,"",'[1]BASE'!GA23)</f>
        <v>1</v>
      </c>
      <c r="R23" s="1237">
        <f>IF('[1]BASE'!GB23=0,"",'[1]BASE'!GB23)</f>
      </c>
      <c r="S23" s="1237">
        <f>IF('[1]BASE'!GC23=0,"",'[1]BASE'!GC23)</f>
      </c>
      <c r="T23" s="1238"/>
      <c r="U23" s="1234"/>
    </row>
    <row r="24" spans="2:21" s="1228" customFormat="1" ht="19.5" customHeight="1">
      <c r="B24" s="1229"/>
      <c r="C24" s="1239">
        <f>IF('[1]BASE'!C24=0,"",'[1]BASE'!C24)</f>
        <v>8</v>
      </c>
      <c r="D24" s="1239" t="str">
        <f>IF('[1]BASE'!D24=0,"",'[1]BASE'!D24)</f>
        <v>BAHIA BLANCA - CHOELE CHOEL 1</v>
      </c>
      <c r="E24" s="1239">
        <f>IF('[1]BASE'!E24=0,"",'[1]BASE'!E24)</f>
        <v>500</v>
      </c>
      <c r="F24" s="1239">
        <f>IF('[1]BASE'!F24=0,"",'[1]BASE'!F24)</f>
        <v>346</v>
      </c>
      <c r="G24" s="1240" t="str">
        <f>IF('[1]BASE'!G24=0,"",'[1]BASE'!G24)</f>
        <v>B</v>
      </c>
      <c r="H24" s="1237">
        <f>IF('[1]BASE'!FR24=0,"",'[1]BASE'!FR24)</f>
      </c>
      <c r="I24" s="1237">
        <f>IF('[1]BASE'!FS24=0,"",'[1]BASE'!FS24)</f>
        <v>1</v>
      </c>
      <c r="J24" s="1237">
        <f>IF('[1]BASE'!FT24=0,"",'[1]BASE'!FT24)</f>
      </c>
      <c r="K24" s="1237">
        <f>IF('[1]BASE'!FU24=0,"",'[1]BASE'!FU24)</f>
      </c>
      <c r="L24" s="1237">
        <f>IF('[1]BASE'!FV24=0,"",'[1]BASE'!FV24)</f>
      </c>
      <c r="M24" s="1237">
        <f>IF('[1]BASE'!FW24=0,"",'[1]BASE'!FW24)</f>
      </c>
      <c r="N24" s="1237">
        <f>IF('[1]BASE'!FX24=0,"",'[1]BASE'!FX24)</f>
      </c>
      <c r="O24" s="1237">
        <f>IF('[1]BASE'!FY24=0,"",'[1]BASE'!FY24)</f>
      </c>
      <c r="P24" s="1237">
        <f>IF('[1]BASE'!FZ24=0,"",'[1]BASE'!FZ24)</f>
      </c>
      <c r="Q24" s="1237">
        <f>IF('[1]BASE'!GA24=0,"",'[1]BASE'!GA24)</f>
      </c>
      <c r="R24" s="1237">
        <f>IF('[1]BASE'!GB24=0,"",'[1]BASE'!GB24)</f>
      </c>
      <c r="S24" s="1237">
        <f>IF('[1]BASE'!GC24=0,"",'[1]BASE'!GC24)</f>
        <v>1</v>
      </c>
      <c r="T24" s="1238"/>
      <c r="U24" s="1234"/>
    </row>
    <row r="25" spans="2:21" s="1228" customFormat="1" ht="19.5" customHeight="1">
      <c r="B25" s="1229"/>
      <c r="C25" s="1241">
        <f>IF('[1]BASE'!C25=0,"",'[1]BASE'!C25)</f>
        <v>9</v>
      </c>
      <c r="D25" s="1241" t="str">
        <f>IF('[1]BASE'!D25=0,"",'[1]BASE'!D25)</f>
        <v>BAHIA BLANCA - CHOELE CHOEL 2</v>
      </c>
      <c r="E25" s="1241">
        <f>IF('[1]BASE'!E25=0,"",'[1]BASE'!E25)</f>
        <v>500</v>
      </c>
      <c r="F25" s="1241">
        <f>IF('[1]BASE'!F25=0,"",'[1]BASE'!F25)</f>
        <v>348.4</v>
      </c>
      <c r="G25" s="1242">
        <f>IF('[1]BASE'!G25=0,"",'[1]BASE'!G25)</f>
      </c>
      <c r="H25" s="1237">
        <f>IF('[1]BASE'!FR25=0,"",'[1]BASE'!FR25)</f>
      </c>
      <c r="I25" s="1237">
        <f>IF('[1]BASE'!FS25=0,"",'[1]BASE'!FS25)</f>
      </c>
      <c r="J25" s="1237">
        <f>IF('[1]BASE'!FT25=0,"",'[1]BASE'!FT25)</f>
      </c>
      <c r="K25" s="1237">
        <f>IF('[1]BASE'!FU25=0,"",'[1]BASE'!FU25)</f>
      </c>
      <c r="L25" s="1237">
        <f>IF('[1]BASE'!FV25=0,"",'[1]BASE'!FV25)</f>
      </c>
      <c r="M25" s="1237">
        <f>IF('[1]BASE'!FW25=0,"",'[1]BASE'!FW25)</f>
      </c>
      <c r="N25" s="1237">
        <f>IF('[1]BASE'!FX25=0,"",'[1]BASE'!FX25)</f>
      </c>
      <c r="O25" s="1237">
        <f>IF('[1]BASE'!FY25=0,"",'[1]BASE'!FY25)</f>
      </c>
      <c r="P25" s="1237">
        <f>IF('[1]BASE'!FZ25=0,"",'[1]BASE'!FZ25)</f>
      </c>
      <c r="Q25" s="1237">
        <f>IF('[1]BASE'!GA25=0,"",'[1]BASE'!GA25)</f>
      </c>
      <c r="R25" s="1237">
        <f>IF('[1]BASE'!GB25=0,"",'[1]BASE'!GB25)</f>
      </c>
      <c r="S25" s="1237">
        <f>IF('[1]BASE'!GC25=0,"",'[1]BASE'!GC25)</f>
      </c>
      <c r="T25" s="1238"/>
      <c r="U25" s="1234"/>
    </row>
    <row r="26" spans="2:21" s="1228" customFormat="1" ht="19.5" customHeight="1">
      <c r="B26" s="1229"/>
      <c r="C26" s="1239">
        <f>IF('[1]BASE'!C26=0,"",'[1]BASE'!C26)</f>
        <v>10</v>
      </c>
      <c r="D26" s="1239" t="str">
        <f>IF('[1]BASE'!D26=0,"",'[1]BASE'!D26)</f>
        <v>CERR. de la CTA - P.BAND. (A3)</v>
      </c>
      <c r="E26" s="1239">
        <f>IF('[1]BASE'!E26=0,"",'[1]BASE'!E26)</f>
        <v>500</v>
      </c>
      <c r="F26" s="1239">
        <f>IF('[1]BASE'!F26=0,"",'[1]BASE'!F26)</f>
        <v>27</v>
      </c>
      <c r="G26" s="1240" t="str">
        <f>IF('[1]BASE'!G26=0,"",'[1]BASE'!G26)</f>
        <v>C</v>
      </c>
      <c r="H26" s="1237">
        <f>IF('[1]BASE'!FR26=0,"",'[1]BASE'!FR26)</f>
      </c>
      <c r="I26" s="1237">
        <f>IF('[1]BASE'!FS26=0,"",'[1]BASE'!FS26)</f>
        <v>2</v>
      </c>
      <c r="J26" s="1237">
        <f>IF('[1]BASE'!FT26=0,"",'[1]BASE'!FT26)</f>
      </c>
      <c r="K26" s="1237">
        <f>IF('[1]BASE'!FU26=0,"",'[1]BASE'!FU26)</f>
      </c>
      <c r="L26" s="1237">
        <f>IF('[1]BASE'!FV26=0,"",'[1]BASE'!FV26)</f>
      </c>
      <c r="M26" s="1237">
        <f>IF('[1]BASE'!FW26=0,"",'[1]BASE'!FW26)</f>
      </c>
      <c r="N26" s="1237">
        <f>IF('[1]BASE'!FX26=0,"",'[1]BASE'!FX26)</f>
        <v>2</v>
      </c>
      <c r="O26" s="1237">
        <f>IF('[1]BASE'!FY26=0,"",'[1]BASE'!FY26)</f>
      </c>
      <c r="P26" s="1237">
        <f>IF('[1]BASE'!FZ26=0,"",'[1]BASE'!FZ26)</f>
      </c>
      <c r="Q26" s="1237">
        <f>IF('[1]BASE'!GA26=0,"",'[1]BASE'!GA26)</f>
        <v>1</v>
      </c>
      <c r="R26" s="1237">
        <f>IF('[1]BASE'!GB26=0,"",'[1]BASE'!GB26)</f>
      </c>
      <c r="S26" s="1237">
        <f>IF('[1]BASE'!GC26=0,"",'[1]BASE'!GC26)</f>
      </c>
      <c r="T26" s="1238"/>
      <c r="U26" s="1234"/>
    </row>
    <row r="27" spans="2:21" s="1228" customFormat="1" ht="19.5" customHeight="1">
      <c r="B27" s="1229"/>
      <c r="C27" s="1241">
        <f>IF('[1]BASE'!C27=0,"",'[1]BASE'!C27)</f>
        <v>11</v>
      </c>
      <c r="D27" s="1241" t="str">
        <f>IF('[1]BASE'!D27=0,"",'[1]BASE'!D27)</f>
        <v>COLONIA ELIA - CAMPANA</v>
      </c>
      <c r="E27" s="1241">
        <f>IF('[1]BASE'!E27=0,"",'[1]BASE'!E27)</f>
        <v>500</v>
      </c>
      <c r="F27" s="1241">
        <f>IF('[1]BASE'!F27=0,"",'[1]BASE'!F27)</f>
        <v>194</v>
      </c>
      <c r="G27" s="1242" t="str">
        <f>IF('[1]BASE'!G27=0,"",'[1]BASE'!G27)</f>
        <v>C</v>
      </c>
      <c r="H27" s="1237">
        <f>IF('[1]BASE'!FR27=0,"",'[1]BASE'!FR27)</f>
      </c>
      <c r="I27" s="1237">
        <f>IF('[1]BASE'!FS27=0,"",'[1]BASE'!FS27)</f>
      </c>
      <c r="J27" s="1237">
        <f>IF('[1]BASE'!FT27=0,"",'[1]BASE'!FT27)</f>
      </c>
      <c r="K27" s="1237">
        <f>IF('[1]BASE'!FU27=0,"",'[1]BASE'!FU27)</f>
      </c>
      <c r="L27" s="1237">
        <f>IF('[1]BASE'!FV27=0,"",'[1]BASE'!FV27)</f>
      </c>
      <c r="M27" s="1237">
        <f>IF('[1]BASE'!FW27=0,"",'[1]BASE'!FW27)</f>
      </c>
      <c r="N27" s="1237">
        <f>IF('[1]BASE'!FX27=0,"",'[1]BASE'!FX27)</f>
      </c>
      <c r="O27" s="1237">
        <f>IF('[1]BASE'!FY27=0,"",'[1]BASE'!FY27)</f>
      </c>
      <c r="P27" s="1237">
        <f>IF('[1]BASE'!FZ27=0,"",'[1]BASE'!FZ27)</f>
      </c>
      <c r="Q27" s="1237">
        <f>IF('[1]BASE'!GA27=0,"",'[1]BASE'!GA27)</f>
      </c>
      <c r="R27" s="1237">
        <f>IF('[1]BASE'!GB27=0,"",'[1]BASE'!GB27)</f>
      </c>
      <c r="S27" s="1237">
        <f>IF('[1]BASE'!GC27=0,"",'[1]BASE'!GC27)</f>
      </c>
      <c r="T27" s="1238"/>
      <c r="U27" s="1234"/>
    </row>
    <row r="28" spans="2:21" s="1228" customFormat="1" ht="19.5" customHeight="1">
      <c r="B28" s="1229"/>
      <c r="C28" s="1239">
        <f>IF('[1]BASE'!C28=0,"",'[1]BASE'!C28)</f>
        <v>12</v>
      </c>
      <c r="D28" s="1239" t="str">
        <f>IF('[1]BASE'!D28=0,"",'[1]BASE'!D28)</f>
        <v>CHO. W. - CHOELE CHOEL (5WH1)</v>
      </c>
      <c r="E28" s="1239">
        <f>IF('[1]BASE'!E28=0,"",'[1]BASE'!E28)</f>
        <v>500</v>
      </c>
      <c r="F28" s="1239">
        <f>IF('[1]BASE'!F28=0,"",'[1]BASE'!F28)</f>
        <v>269</v>
      </c>
      <c r="G28" s="1240" t="str">
        <f>IF('[1]BASE'!G28=0,"",'[1]BASE'!G28)</f>
        <v>B</v>
      </c>
      <c r="H28" s="1237">
        <f>IF('[1]BASE'!FR28=0,"",'[1]BASE'!FR28)</f>
      </c>
      <c r="I28" s="1237">
        <f>IF('[1]BASE'!FS28=0,"",'[1]BASE'!FS28)</f>
      </c>
      <c r="J28" s="1237">
        <f>IF('[1]BASE'!FT28=0,"",'[1]BASE'!FT28)</f>
      </c>
      <c r="K28" s="1237">
        <f>IF('[1]BASE'!FU28=0,"",'[1]BASE'!FU28)</f>
      </c>
      <c r="L28" s="1237">
        <f>IF('[1]BASE'!FV28=0,"",'[1]BASE'!FV28)</f>
      </c>
      <c r="M28" s="1237">
        <f>IF('[1]BASE'!FW28=0,"",'[1]BASE'!FW28)</f>
      </c>
      <c r="N28" s="1237">
        <f>IF('[1]BASE'!FX28=0,"",'[1]BASE'!FX28)</f>
      </c>
      <c r="O28" s="1237">
        <f>IF('[1]BASE'!FY28=0,"",'[1]BASE'!FY28)</f>
      </c>
      <c r="P28" s="1237">
        <f>IF('[1]BASE'!FZ28=0,"",'[1]BASE'!FZ28)</f>
      </c>
      <c r="Q28" s="1237">
        <f>IF('[1]BASE'!GA28=0,"",'[1]BASE'!GA28)</f>
      </c>
      <c r="R28" s="1237">
        <f>IF('[1]BASE'!GB28=0,"",'[1]BASE'!GB28)</f>
      </c>
      <c r="S28" s="1237">
        <f>IF('[1]BASE'!GC28=0,"",'[1]BASE'!GC28)</f>
      </c>
      <c r="T28" s="1238"/>
      <c r="U28" s="1234"/>
    </row>
    <row r="29" spans="2:21" s="1228" customFormat="1" ht="19.5" customHeight="1">
      <c r="B29" s="1229"/>
      <c r="C29" s="1241">
        <f>IF('[1]BASE'!C29=0,"",'[1]BASE'!C29)</f>
        <v>13</v>
      </c>
      <c r="D29" s="1241" t="str">
        <f>IF('[1]BASE'!D29=0,"",'[1]BASE'!D29)</f>
        <v>CHO.W. - CHO. 1 (5WC1)</v>
      </c>
      <c r="E29" s="1241">
        <f>IF('[1]BASE'!E29=0,"",'[1]BASE'!E29)</f>
        <v>500</v>
      </c>
      <c r="F29" s="1241">
        <f>IF('[1]BASE'!F29=0,"",'[1]BASE'!F29)</f>
        <v>4.5</v>
      </c>
      <c r="G29" s="1242" t="str">
        <f>IF('[1]BASE'!G29=0,"",'[1]BASE'!G29)</f>
        <v>C</v>
      </c>
      <c r="H29" s="1237">
        <f>IF('[1]BASE'!FR29=0,"",'[1]BASE'!FR29)</f>
      </c>
      <c r="I29" s="1237">
        <f>IF('[1]BASE'!FS29=0,"",'[1]BASE'!FS29)</f>
      </c>
      <c r="J29" s="1237">
        <f>IF('[1]BASE'!FT29=0,"",'[1]BASE'!FT29)</f>
      </c>
      <c r="K29" s="1237">
        <f>IF('[1]BASE'!FU29=0,"",'[1]BASE'!FU29)</f>
      </c>
      <c r="L29" s="1237">
        <f>IF('[1]BASE'!FV29=0,"",'[1]BASE'!FV29)</f>
      </c>
      <c r="M29" s="1237">
        <f>IF('[1]BASE'!FW29=0,"",'[1]BASE'!FW29)</f>
      </c>
      <c r="N29" s="1237">
        <f>IF('[1]BASE'!FX29=0,"",'[1]BASE'!FX29)</f>
      </c>
      <c r="O29" s="1237">
        <f>IF('[1]BASE'!FY29=0,"",'[1]BASE'!FY29)</f>
      </c>
      <c r="P29" s="1237">
        <f>IF('[1]BASE'!FZ29=0,"",'[1]BASE'!FZ29)</f>
      </c>
      <c r="Q29" s="1237">
        <f>IF('[1]BASE'!GA29=0,"",'[1]BASE'!GA29)</f>
      </c>
      <c r="R29" s="1237">
        <f>IF('[1]BASE'!GB29=0,"",'[1]BASE'!GB29)</f>
      </c>
      <c r="S29" s="1237">
        <f>IF('[1]BASE'!GC29=0,"",'[1]BASE'!GC29)</f>
      </c>
      <c r="T29" s="1238"/>
      <c r="U29" s="1234"/>
    </row>
    <row r="30" spans="2:21" s="1228" customFormat="1" ht="19.5" customHeight="1">
      <c r="B30" s="1229"/>
      <c r="C30" s="1239">
        <f>IF('[1]BASE'!C30=0,"",'[1]BASE'!C30)</f>
        <v>14</v>
      </c>
      <c r="D30" s="1239" t="str">
        <f>IF('[1]BASE'!D30=0,"",'[1]BASE'!D30)</f>
        <v>CHO.W. - CHO. 2 (5WC2)</v>
      </c>
      <c r="E30" s="1239">
        <f>IF('[1]BASE'!E30=0,"",'[1]BASE'!E30)</f>
        <v>500</v>
      </c>
      <c r="F30" s="1239">
        <f>IF('[1]BASE'!F30=0,"",'[1]BASE'!F30)</f>
        <v>4.5</v>
      </c>
      <c r="G30" s="1240" t="str">
        <f>IF('[1]BASE'!G30=0,"",'[1]BASE'!G30)</f>
        <v>C</v>
      </c>
      <c r="H30" s="1237">
        <f>IF('[1]BASE'!FR30=0,"",'[1]BASE'!FR30)</f>
      </c>
      <c r="I30" s="1237">
        <f>IF('[1]BASE'!FS30=0,"",'[1]BASE'!FS30)</f>
      </c>
      <c r="J30" s="1237">
        <f>IF('[1]BASE'!FT30=0,"",'[1]BASE'!FT30)</f>
      </c>
      <c r="K30" s="1237">
        <f>IF('[1]BASE'!FU30=0,"",'[1]BASE'!FU30)</f>
      </c>
      <c r="L30" s="1237">
        <f>IF('[1]BASE'!FV30=0,"",'[1]BASE'!FV30)</f>
      </c>
      <c r="M30" s="1237">
        <f>IF('[1]BASE'!FW30=0,"",'[1]BASE'!FW30)</f>
      </c>
      <c r="N30" s="1237">
        <f>IF('[1]BASE'!FX30=0,"",'[1]BASE'!FX30)</f>
      </c>
      <c r="O30" s="1237">
        <f>IF('[1]BASE'!FY30=0,"",'[1]BASE'!FY30)</f>
      </c>
      <c r="P30" s="1237">
        <f>IF('[1]BASE'!FZ30=0,"",'[1]BASE'!FZ30)</f>
      </c>
      <c r="Q30" s="1237">
        <f>IF('[1]BASE'!GA30=0,"",'[1]BASE'!GA30)</f>
      </c>
      <c r="R30" s="1237">
        <f>IF('[1]BASE'!GB30=0,"",'[1]BASE'!GB30)</f>
      </c>
      <c r="S30" s="1237">
        <f>IF('[1]BASE'!GC30=0,"",'[1]BASE'!GC30)</f>
      </c>
      <c r="T30" s="1238"/>
      <c r="U30" s="1234"/>
    </row>
    <row r="31" spans="2:21" s="1228" customFormat="1" ht="19.5" customHeight="1">
      <c r="B31" s="1229"/>
      <c r="C31" s="1241">
        <f>IF('[1]BASE'!C31=0,"",'[1]BASE'!C31)</f>
        <v>15</v>
      </c>
      <c r="D31" s="1241" t="str">
        <f>IF('[1]BASE'!D31=0,"",'[1]BASE'!D31)</f>
        <v>CHOCON - C.H. CHOCON 1</v>
      </c>
      <c r="E31" s="1241">
        <f>IF('[1]BASE'!E31=0,"",'[1]BASE'!E31)</f>
        <v>500</v>
      </c>
      <c r="F31" s="1241">
        <f>IF('[1]BASE'!F31=0,"",'[1]BASE'!F31)</f>
        <v>3</v>
      </c>
      <c r="G31" s="1242" t="str">
        <f>IF('[1]BASE'!G31=0,"",'[1]BASE'!G31)</f>
        <v>C</v>
      </c>
      <c r="H31" s="1237">
        <f>IF('[1]BASE'!FR31=0,"",'[1]BASE'!FR31)</f>
      </c>
      <c r="I31" s="1237">
        <f>IF('[1]BASE'!FS31=0,"",'[1]BASE'!FS31)</f>
      </c>
      <c r="J31" s="1237">
        <f>IF('[1]BASE'!FT31=0,"",'[1]BASE'!FT31)</f>
      </c>
      <c r="K31" s="1237">
        <f>IF('[1]BASE'!FU31=0,"",'[1]BASE'!FU31)</f>
      </c>
      <c r="L31" s="1237">
        <f>IF('[1]BASE'!FV31=0,"",'[1]BASE'!FV31)</f>
      </c>
      <c r="M31" s="1237">
        <f>IF('[1]BASE'!FW31=0,"",'[1]BASE'!FW31)</f>
      </c>
      <c r="N31" s="1237">
        <f>IF('[1]BASE'!FX31=0,"",'[1]BASE'!FX31)</f>
      </c>
      <c r="O31" s="1237">
        <f>IF('[1]BASE'!FY31=0,"",'[1]BASE'!FY31)</f>
      </c>
      <c r="P31" s="1237">
        <f>IF('[1]BASE'!FZ31=0,"",'[1]BASE'!FZ31)</f>
      </c>
      <c r="Q31" s="1237">
        <f>IF('[1]BASE'!GA31=0,"",'[1]BASE'!GA31)</f>
      </c>
      <c r="R31" s="1237">
        <f>IF('[1]BASE'!GB31=0,"",'[1]BASE'!GB31)</f>
      </c>
      <c r="S31" s="1237">
        <f>IF('[1]BASE'!GC31=0,"",'[1]BASE'!GC31)</f>
      </c>
      <c r="T31" s="1238"/>
      <c r="U31" s="1234"/>
    </row>
    <row r="32" spans="2:21" s="1228" customFormat="1" ht="19.5" customHeight="1">
      <c r="B32" s="1229"/>
      <c r="C32" s="1239">
        <f>IF('[1]BASE'!C32=0,"",'[1]BASE'!C32)</f>
        <v>16</v>
      </c>
      <c r="D32" s="1239" t="str">
        <f>IF('[1]BASE'!D32=0,"",'[1]BASE'!D32)</f>
        <v>CHOCON - C.H. CHOCON 2</v>
      </c>
      <c r="E32" s="1239">
        <f>IF('[1]BASE'!E32=0,"",'[1]BASE'!E32)</f>
        <v>500</v>
      </c>
      <c r="F32" s="1239">
        <f>IF('[1]BASE'!F32=0,"",'[1]BASE'!F32)</f>
        <v>3</v>
      </c>
      <c r="G32" s="1240" t="str">
        <f>IF('[1]BASE'!G32=0,"",'[1]BASE'!G32)</f>
        <v>C</v>
      </c>
      <c r="H32" s="1237">
        <f>IF('[1]BASE'!FR32=0,"",'[1]BASE'!FR32)</f>
      </c>
      <c r="I32" s="1237">
        <f>IF('[1]BASE'!FS32=0,"",'[1]BASE'!FS32)</f>
      </c>
      <c r="J32" s="1237">
        <f>IF('[1]BASE'!FT32=0,"",'[1]BASE'!FT32)</f>
      </c>
      <c r="K32" s="1237">
        <f>IF('[1]BASE'!FU32=0,"",'[1]BASE'!FU32)</f>
      </c>
      <c r="L32" s="1237">
        <f>IF('[1]BASE'!FV32=0,"",'[1]BASE'!FV32)</f>
      </c>
      <c r="M32" s="1237">
        <f>IF('[1]BASE'!FW32=0,"",'[1]BASE'!FW32)</f>
      </c>
      <c r="N32" s="1237">
        <f>IF('[1]BASE'!FX32=0,"",'[1]BASE'!FX32)</f>
      </c>
      <c r="O32" s="1237">
        <f>IF('[1]BASE'!FY32=0,"",'[1]BASE'!FY32)</f>
      </c>
      <c r="P32" s="1237">
        <f>IF('[1]BASE'!FZ32=0,"",'[1]BASE'!FZ32)</f>
      </c>
      <c r="Q32" s="1237">
        <f>IF('[1]BASE'!GA32=0,"",'[1]BASE'!GA32)</f>
      </c>
      <c r="R32" s="1237">
        <f>IF('[1]BASE'!GB32=0,"",'[1]BASE'!GB32)</f>
      </c>
      <c r="S32" s="1237">
        <f>IF('[1]BASE'!GC32=0,"",'[1]BASE'!GC32)</f>
      </c>
      <c r="T32" s="1238"/>
      <c r="U32" s="1234"/>
    </row>
    <row r="33" spans="2:21" s="1228" customFormat="1" ht="19.5" customHeight="1">
      <c r="B33" s="1229"/>
      <c r="C33" s="1241">
        <f>IF('[1]BASE'!C33=0,"",'[1]BASE'!C33)</f>
        <v>17</v>
      </c>
      <c r="D33" s="1241" t="str">
        <f>IF('[1]BASE'!D33=0,"",'[1]BASE'!D33)</f>
        <v>CHOCON - C.H. CHOCON 3</v>
      </c>
      <c r="E33" s="1241">
        <f>IF('[1]BASE'!E33=0,"",'[1]BASE'!E33)</f>
        <v>500</v>
      </c>
      <c r="F33" s="1241">
        <f>IF('[1]BASE'!F33=0,"",'[1]BASE'!F33)</f>
        <v>3</v>
      </c>
      <c r="G33" s="1242" t="str">
        <f>IF('[1]BASE'!G33=0,"",'[1]BASE'!G33)</f>
        <v>C</v>
      </c>
      <c r="H33" s="1237">
        <f>IF('[1]BASE'!FR33=0,"",'[1]BASE'!FR33)</f>
      </c>
      <c r="I33" s="1237">
        <f>IF('[1]BASE'!FS33=0,"",'[1]BASE'!FS33)</f>
      </c>
      <c r="J33" s="1237">
        <f>IF('[1]BASE'!FT33=0,"",'[1]BASE'!FT33)</f>
      </c>
      <c r="K33" s="1237">
        <f>IF('[1]BASE'!FU33=0,"",'[1]BASE'!FU33)</f>
      </c>
      <c r="L33" s="1237">
        <f>IF('[1]BASE'!FV33=0,"",'[1]BASE'!FV33)</f>
      </c>
      <c r="M33" s="1237">
        <f>IF('[1]BASE'!FW33=0,"",'[1]BASE'!FW33)</f>
      </c>
      <c r="N33" s="1237">
        <f>IF('[1]BASE'!FX33=0,"",'[1]BASE'!FX33)</f>
        <v>1</v>
      </c>
      <c r="O33" s="1237">
        <f>IF('[1]BASE'!FY33=0,"",'[1]BASE'!FY33)</f>
      </c>
      <c r="P33" s="1237">
        <f>IF('[1]BASE'!FZ33=0,"",'[1]BASE'!FZ33)</f>
      </c>
      <c r="Q33" s="1237">
        <f>IF('[1]BASE'!GA33=0,"",'[1]BASE'!GA33)</f>
      </c>
      <c r="R33" s="1237">
        <f>IF('[1]BASE'!GB33=0,"",'[1]BASE'!GB33)</f>
      </c>
      <c r="S33" s="1237">
        <f>IF('[1]BASE'!GC33=0,"",'[1]BASE'!GC33)</f>
      </c>
      <c r="T33" s="1238"/>
      <c r="U33" s="1234"/>
    </row>
    <row r="34" spans="2:21" s="1228" customFormat="1" ht="19.5" customHeight="1">
      <c r="B34" s="1229"/>
      <c r="C34" s="1239">
        <f>IF('[1]BASE'!C34=0,"",'[1]BASE'!C34)</f>
        <v>18</v>
      </c>
      <c r="D34" s="1239" t="str">
        <f>IF('[1]BASE'!D34=0,"",'[1]BASE'!D34)</f>
        <v>CHOCON - PUELCHES 1</v>
      </c>
      <c r="E34" s="1239">
        <f>IF('[1]BASE'!E34=0,"",'[1]BASE'!E34)</f>
        <v>500</v>
      </c>
      <c r="F34" s="1239">
        <f>IF('[1]BASE'!F34=0,"",'[1]BASE'!F34)</f>
        <v>304</v>
      </c>
      <c r="G34" s="1240" t="str">
        <f>IF('[1]BASE'!G34=0,"",'[1]BASE'!G34)</f>
        <v>A</v>
      </c>
      <c r="H34" s="1237">
        <f>IF('[1]BASE'!FR34=0,"",'[1]BASE'!FR34)</f>
      </c>
      <c r="I34" s="1237">
        <f>IF('[1]BASE'!FS34=0,"",'[1]BASE'!FS34)</f>
      </c>
      <c r="J34" s="1237">
        <f>IF('[1]BASE'!FT34=0,"",'[1]BASE'!FT34)</f>
      </c>
      <c r="K34" s="1237">
        <f>IF('[1]BASE'!FU34=0,"",'[1]BASE'!FU34)</f>
      </c>
      <c r="L34" s="1237">
        <f>IF('[1]BASE'!FV34=0,"",'[1]BASE'!FV34)</f>
      </c>
      <c r="M34" s="1237">
        <f>IF('[1]BASE'!FW34=0,"",'[1]BASE'!FW34)</f>
      </c>
      <c r="N34" s="1237">
        <f>IF('[1]BASE'!FX34=0,"",'[1]BASE'!FX34)</f>
      </c>
      <c r="O34" s="1237">
        <f>IF('[1]BASE'!FY34=0,"",'[1]BASE'!FY34)</f>
      </c>
      <c r="P34" s="1237">
        <f>IF('[1]BASE'!FZ34=0,"",'[1]BASE'!FZ34)</f>
      </c>
      <c r="Q34" s="1237">
        <f>IF('[1]BASE'!GA34=0,"",'[1]BASE'!GA34)</f>
      </c>
      <c r="R34" s="1237">
        <f>IF('[1]BASE'!GB34=0,"",'[1]BASE'!GB34)</f>
      </c>
      <c r="S34" s="1237">
        <f>IF('[1]BASE'!GC34=0,"",'[1]BASE'!GC34)</f>
        <v>2</v>
      </c>
      <c r="T34" s="1238"/>
      <c r="U34" s="1234"/>
    </row>
    <row r="35" spans="2:21" s="1228" customFormat="1" ht="19.5" customHeight="1">
      <c r="B35" s="1229"/>
      <c r="C35" s="1241">
        <f>IF('[1]BASE'!C35=0,"",'[1]BASE'!C35)</f>
        <v>19</v>
      </c>
      <c r="D35" s="1241" t="str">
        <f>IF('[1]BASE'!D35=0,"",'[1]BASE'!D35)</f>
        <v>CHOCON - PUELCHES 2</v>
      </c>
      <c r="E35" s="1241">
        <f>IF('[1]BASE'!E35=0,"",'[1]BASE'!E35)</f>
        <v>500</v>
      </c>
      <c r="F35" s="1241">
        <f>IF('[1]BASE'!F35=0,"",'[1]BASE'!F35)</f>
        <v>304</v>
      </c>
      <c r="G35" s="1242" t="str">
        <f>IF('[1]BASE'!G35=0,"",'[1]BASE'!G35)</f>
        <v>A</v>
      </c>
      <c r="H35" s="1237">
        <f>IF('[1]BASE'!FR35=0,"",'[1]BASE'!FR35)</f>
      </c>
      <c r="I35" s="1237">
        <f>IF('[1]BASE'!FS35=0,"",'[1]BASE'!FS35)</f>
      </c>
      <c r="J35" s="1237">
        <f>IF('[1]BASE'!FT35=0,"",'[1]BASE'!FT35)</f>
      </c>
      <c r="K35" s="1237">
        <f>IF('[1]BASE'!FU35=0,"",'[1]BASE'!FU35)</f>
      </c>
      <c r="L35" s="1237">
        <f>IF('[1]BASE'!FV35=0,"",'[1]BASE'!FV35)</f>
      </c>
      <c r="M35" s="1237">
        <f>IF('[1]BASE'!FW35=0,"",'[1]BASE'!FW35)</f>
        <v>1</v>
      </c>
      <c r="N35" s="1237">
        <f>IF('[1]BASE'!FX35=0,"",'[1]BASE'!FX35)</f>
      </c>
      <c r="O35" s="1237">
        <f>IF('[1]BASE'!FY35=0,"",'[1]BASE'!FY35)</f>
      </c>
      <c r="P35" s="1237">
        <f>IF('[1]BASE'!FZ35=0,"",'[1]BASE'!FZ35)</f>
      </c>
      <c r="Q35" s="1237">
        <f>IF('[1]BASE'!GA35=0,"",'[1]BASE'!GA35)</f>
      </c>
      <c r="R35" s="1237">
        <f>IF('[1]BASE'!GB35=0,"",'[1]BASE'!GB35)</f>
      </c>
      <c r="S35" s="1237">
        <f>IF('[1]BASE'!GC35=0,"",'[1]BASE'!GC35)</f>
      </c>
      <c r="T35" s="1238"/>
      <c r="U35" s="1234"/>
    </row>
    <row r="36" spans="2:21" s="1228" customFormat="1" ht="19.5" customHeight="1">
      <c r="B36" s="1229"/>
      <c r="C36" s="1239">
        <f>IF('[1]BASE'!C36=0,"",'[1]BASE'!C36)</f>
        <v>20</v>
      </c>
      <c r="D36" s="1239" t="str">
        <f>IF('[1]BASE'!D36=0,"",'[1]BASE'!D36)</f>
        <v>E.T.P.del AGUILA - CENTRAL P.del A. 1</v>
      </c>
      <c r="E36" s="1239">
        <f>IF('[1]BASE'!E36=0,"",'[1]BASE'!E36)</f>
        <v>500</v>
      </c>
      <c r="F36" s="1239">
        <f>IF('[1]BASE'!F36=0,"",'[1]BASE'!F36)</f>
        <v>5.6</v>
      </c>
      <c r="G36" s="1240" t="str">
        <f>IF('[1]BASE'!G36=0,"",'[1]BASE'!G36)</f>
        <v>C</v>
      </c>
      <c r="H36" s="1237">
        <f>IF('[1]BASE'!FR36=0,"",'[1]BASE'!FR36)</f>
      </c>
      <c r="I36" s="1237">
        <f>IF('[1]BASE'!FS36=0,"",'[1]BASE'!FS36)</f>
      </c>
      <c r="J36" s="1237">
        <f>IF('[1]BASE'!FT36=0,"",'[1]BASE'!FT36)</f>
      </c>
      <c r="K36" s="1237">
        <f>IF('[1]BASE'!FU36=0,"",'[1]BASE'!FU36)</f>
      </c>
      <c r="L36" s="1237">
        <f>IF('[1]BASE'!FV36=0,"",'[1]BASE'!FV36)</f>
      </c>
      <c r="M36" s="1237">
        <f>IF('[1]BASE'!FW36=0,"",'[1]BASE'!FW36)</f>
      </c>
      <c r="N36" s="1237">
        <f>IF('[1]BASE'!FX36=0,"",'[1]BASE'!FX36)</f>
      </c>
      <c r="O36" s="1237">
        <f>IF('[1]BASE'!FY36=0,"",'[1]BASE'!FY36)</f>
      </c>
      <c r="P36" s="1237">
        <f>IF('[1]BASE'!FZ36=0,"",'[1]BASE'!FZ36)</f>
      </c>
      <c r="Q36" s="1237">
        <f>IF('[1]BASE'!GA36=0,"",'[1]BASE'!GA36)</f>
      </c>
      <c r="R36" s="1237">
        <f>IF('[1]BASE'!GB36=0,"",'[1]BASE'!GB36)</f>
      </c>
      <c r="S36" s="1237">
        <f>IF('[1]BASE'!GC36=0,"",'[1]BASE'!GC36)</f>
      </c>
      <c r="T36" s="1238"/>
      <c r="U36" s="1234"/>
    </row>
    <row r="37" spans="2:21" s="1228" customFormat="1" ht="19.5" customHeight="1">
      <c r="B37" s="1229"/>
      <c r="C37" s="1241">
        <f>IF('[1]BASE'!C37=0,"",'[1]BASE'!C37)</f>
        <v>21</v>
      </c>
      <c r="D37" s="1241" t="str">
        <f>IF('[1]BASE'!D37=0,"",'[1]BASE'!D37)</f>
        <v>E.T.P.del AGUILA - CENTRAL P.del A. 2</v>
      </c>
      <c r="E37" s="1241">
        <f>IF('[1]BASE'!E37=0,"",'[1]BASE'!E37)</f>
        <v>500</v>
      </c>
      <c r="F37" s="1241">
        <f>IF('[1]BASE'!F37=0,"",'[1]BASE'!F37)</f>
        <v>5.6</v>
      </c>
      <c r="G37" s="1242" t="str">
        <f>IF('[1]BASE'!G37=0,"",'[1]BASE'!G37)</f>
        <v>C</v>
      </c>
      <c r="H37" s="1237">
        <f>IF('[1]BASE'!FR37=0,"",'[1]BASE'!FR37)</f>
      </c>
      <c r="I37" s="1237">
        <f>IF('[1]BASE'!FS37=0,"",'[1]BASE'!FS37)</f>
      </c>
      <c r="J37" s="1237">
        <f>IF('[1]BASE'!FT37=0,"",'[1]BASE'!FT37)</f>
      </c>
      <c r="K37" s="1237">
        <f>IF('[1]BASE'!FU37=0,"",'[1]BASE'!FU37)</f>
      </c>
      <c r="L37" s="1237">
        <f>IF('[1]BASE'!FV37=0,"",'[1]BASE'!FV37)</f>
      </c>
      <c r="M37" s="1237">
        <f>IF('[1]BASE'!FW37=0,"",'[1]BASE'!FW37)</f>
      </c>
      <c r="N37" s="1237">
        <f>IF('[1]BASE'!FX37=0,"",'[1]BASE'!FX37)</f>
      </c>
      <c r="O37" s="1237">
        <f>IF('[1]BASE'!FY37=0,"",'[1]BASE'!FY37)</f>
      </c>
      <c r="P37" s="1237">
        <f>IF('[1]BASE'!FZ37=0,"",'[1]BASE'!FZ37)</f>
      </c>
      <c r="Q37" s="1237">
        <f>IF('[1]BASE'!GA37=0,"",'[1]BASE'!GA37)</f>
      </c>
      <c r="R37" s="1237">
        <f>IF('[1]BASE'!GB37=0,"",'[1]BASE'!GB37)</f>
      </c>
      <c r="S37" s="1237">
        <f>IF('[1]BASE'!GC37=0,"",'[1]BASE'!GC37)</f>
      </c>
      <c r="T37" s="1238"/>
      <c r="U37" s="1234"/>
    </row>
    <row r="38" spans="2:21" s="1228" customFormat="1" ht="19.5" customHeight="1">
      <c r="B38" s="1229"/>
      <c r="C38" s="1239">
        <f>IF('[1]BASE'!C38=0,"",'[1]BASE'!C38)</f>
        <v>22</v>
      </c>
      <c r="D38" s="1239" t="str">
        <f>IF('[1]BASE'!D38=0,"",'[1]BASE'!D38)</f>
        <v>EL BRACHO - RECREO(5)</v>
      </c>
      <c r="E38" s="1239">
        <f>IF('[1]BASE'!E38=0,"",'[1]BASE'!E38)</f>
        <v>500</v>
      </c>
      <c r="F38" s="1239">
        <f>IF('[1]BASE'!F38=0,"",'[1]BASE'!F38)</f>
        <v>255</v>
      </c>
      <c r="G38" s="1240" t="str">
        <f>IF('[1]BASE'!G38=0,"",'[1]BASE'!G38)</f>
        <v>C</v>
      </c>
      <c r="H38" s="1237">
        <f>IF('[1]BASE'!FR38=0,"",'[1]BASE'!FR38)</f>
      </c>
      <c r="I38" s="1237">
        <f>IF('[1]BASE'!FS38=0,"",'[1]BASE'!FS38)</f>
      </c>
      <c r="J38" s="1237">
        <f>IF('[1]BASE'!FT38=0,"",'[1]BASE'!FT38)</f>
      </c>
      <c r="K38" s="1237">
        <f>IF('[1]BASE'!FU38=0,"",'[1]BASE'!FU38)</f>
      </c>
      <c r="L38" s="1237">
        <f>IF('[1]BASE'!FV38=0,"",'[1]BASE'!FV38)</f>
      </c>
      <c r="M38" s="1237">
        <f>IF('[1]BASE'!FW38=0,"",'[1]BASE'!FW38)</f>
      </c>
      <c r="N38" s="1237">
        <f>IF('[1]BASE'!FX38=0,"",'[1]BASE'!FX38)</f>
      </c>
      <c r="O38" s="1237">
        <f>IF('[1]BASE'!FY38=0,"",'[1]BASE'!FY38)</f>
      </c>
      <c r="P38" s="1237">
        <f>IF('[1]BASE'!FZ38=0,"",'[1]BASE'!FZ38)</f>
      </c>
      <c r="Q38" s="1237">
        <f>IF('[1]BASE'!GA38=0,"",'[1]BASE'!GA38)</f>
      </c>
      <c r="R38" s="1237">
        <f>IF('[1]BASE'!GB38=0,"",'[1]BASE'!GB38)</f>
      </c>
      <c r="S38" s="1237">
        <f>IF('[1]BASE'!GC38=0,"",'[1]BASE'!GC38)</f>
      </c>
      <c r="T38" s="1238"/>
      <c r="U38" s="1234"/>
    </row>
    <row r="39" spans="2:21" s="1228" customFormat="1" ht="19.5" customHeight="1">
      <c r="B39" s="1229"/>
      <c r="C39" s="1241">
        <f>IF('[1]BASE'!C39=0,"",'[1]BASE'!C39)</f>
        <v>23</v>
      </c>
      <c r="D39" s="1241" t="str">
        <f>IF('[1]BASE'!D39=0,"",'[1]BASE'!D39)</f>
        <v>EZEIZA - ABASTO 1</v>
      </c>
      <c r="E39" s="1241">
        <f>IF('[1]BASE'!E39=0,"",'[1]BASE'!E39)</f>
        <v>500</v>
      </c>
      <c r="F39" s="1241">
        <f>IF('[1]BASE'!F39=0,"",'[1]BASE'!F39)</f>
        <v>58</v>
      </c>
      <c r="G39" s="1242" t="str">
        <f>IF('[1]BASE'!G39=0,"",'[1]BASE'!G39)</f>
        <v>C</v>
      </c>
      <c r="H39" s="1237">
        <f>IF('[1]BASE'!FR39=0,"",'[1]BASE'!FR39)</f>
      </c>
      <c r="I39" s="1237">
        <f>IF('[1]BASE'!FS39=0,"",'[1]BASE'!FS39)</f>
      </c>
      <c r="J39" s="1237">
        <f>IF('[1]BASE'!FT39=0,"",'[1]BASE'!FT39)</f>
      </c>
      <c r="K39" s="1237">
        <f>IF('[1]BASE'!FU39=0,"",'[1]BASE'!FU39)</f>
      </c>
      <c r="L39" s="1237">
        <f>IF('[1]BASE'!FV39=0,"",'[1]BASE'!FV39)</f>
      </c>
      <c r="M39" s="1237">
        <f>IF('[1]BASE'!FW39=0,"",'[1]BASE'!FW39)</f>
      </c>
      <c r="N39" s="1237">
        <f>IF('[1]BASE'!FX39=0,"",'[1]BASE'!FX39)</f>
      </c>
      <c r="O39" s="1237">
        <f>IF('[1]BASE'!FY39=0,"",'[1]BASE'!FY39)</f>
      </c>
      <c r="P39" s="1237">
        <f>IF('[1]BASE'!FZ39=0,"",'[1]BASE'!FZ39)</f>
      </c>
      <c r="Q39" s="1237">
        <f>IF('[1]BASE'!GA39=0,"",'[1]BASE'!GA39)</f>
      </c>
      <c r="R39" s="1237">
        <f>IF('[1]BASE'!GB39=0,"",'[1]BASE'!GB39)</f>
      </c>
      <c r="S39" s="1237">
        <f>IF('[1]BASE'!GC39=0,"",'[1]BASE'!GC39)</f>
      </c>
      <c r="T39" s="1238"/>
      <c r="U39" s="1234"/>
    </row>
    <row r="40" spans="2:21" s="1228" customFormat="1" ht="19.5" customHeight="1">
      <c r="B40" s="1229"/>
      <c r="C40" s="1239">
        <f>IF('[1]BASE'!C40=0,"",'[1]BASE'!C40)</f>
        <v>24</v>
      </c>
      <c r="D40" s="1239" t="str">
        <f>IF('[1]BASE'!D40=0,"",'[1]BASE'!D40)</f>
        <v>EZEIZA - ABASTO 2</v>
      </c>
      <c r="E40" s="1239">
        <f>IF('[1]BASE'!E40=0,"",'[1]BASE'!E40)</f>
        <v>500</v>
      </c>
      <c r="F40" s="1239">
        <f>IF('[1]BASE'!F40=0,"",'[1]BASE'!F40)</f>
        <v>58</v>
      </c>
      <c r="G40" s="1240" t="str">
        <f>IF('[1]BASE'!G40=0,"",'[1]BASE'!G40)</f>
        <v>C</v>
      </c>
      <c r="H40" s="1237">
        <f>IF('[1]BASE'!FR40=0,"",'[1]BASE'!FR40)</f>
      </c>
      <c r="I40" s="1237">
        <f>IF('[1]BASE'!FS40=0,"",'[1]BASE'!FS40)</f>
      </c>
      <c r="J40" s="1237">
        <f>IF('[1]BASE'!FT40=0,"",'[1]BASE'!FT40)</f>
      </c>
      <c r="K40" s="1237">
        <f>IF('[1]BASE'!FU40=0,"",'[1]BASE'!FU40)</f>
      </c>
      <c r="L40" s="1237">
        <f>IF('[1]BASE'!FV40=0,"",'[1]BASE'!FV40)</f>
      </c>
      <c r="M40" s="1237">
        <f>IF('[1]BASE'!FW40=0,"",'[1]BASE'!FW40)</f>
      </c>
      <c r="N40" s="1237">
        <f>IF('[1]BASE'!FX40=0,"",'[1]BASE'!FX40)</f>
      </c>
      <c r="O40" s="1237">
        <f>IF('[1]BASE'!FY40=0,"",'[1]BASE'!FY40)</f>
      </c>
      <c r="P40" s="1237">
        <f>IF('[1]BASE'!FZ40=0,"",'[1]BASE'!FZ40)</f>
      </c>
      <c r="Q40" s="1237">
        <f>IF('[1]BASE'!GA40=0,"",'[1]BASE'!GA40)</f>
      </c>
      <c r="R40" s="1237">
        <f>IF('[1]BASE'!GB40=0,"",'[1]BASE'!GB40)</f>
      </c>
      <c r="S40" s="1237">
        <f>IF('[1]BASE'!GC40=0,"",'[1]BASE'!GC40)</f>
      </c>
      <c r="T40" s="1238"/>
      <c r="U40" s="1234"/>
    </row>
    <row r="41" spans="2:21" s="1228" customFormat="1" ht="19.5" customHeight="1">
      <c r="B41" s="1229"/>
      <c r="C41" s="1241">
        <f>IF('[1]BASE'!C41=0,"",'[1]BASE'!C41)</f>
        <v>25</v>
      </c>
      <c r="D41" s="1241" t="str">
        <f>IF('[1]BASE'!D41=0,"",'[1]BASE'!D41)</f>
        <v>EZEIZA - RODRIGUEZ 1</v>
      </c>
      <c r="E41" s="1241">
        <f>IF('[1]BASE'!E41=0,"",'[1]BASE'!E41)</f>
        <v>500</v>
      </c>
      <c r="F41" s="1241">
        <f>IF('[1]BASE'!F41=0,"",'[1]BASE'!F41)</f>
        <v>53</v>
      </c>
      <c r="G41" s="1242" t="str">
        <f>IF('[1]BASE'!G41=0,"",'[1]BASE'!G41)</f>
        <v>C</v>
      </c>
      <c r="H41" s="1237">
        <f>IF('[1]BASE'!FR41=0,"",'[1]BASE'!FR41)</f>
      </c>
      <c r="I41" s="1237">
        <f>IF('[1]BASE'!FS41=0,"",'[1]BASE'!FS41)</f>
      </c>
      <c r="J41" s="1237">
        <f>IF('[1]BASE'!FT41=0,"",'[1]BASE'!FT41)</f>
      </c>
      <c r="K41" s="1237">
        <f>IF('[1]BASE'!FU41=0,"",'[1]BASE'!FU41)</f>
      </c>
      <c r="L41" s="1237">
        <f>IF('[1]BASE'!FV41=0,"",'[1]BASE'!FV41)</f>
      </c>
      <c r="M41" s="1237">
        <f>IF('[1]BASE'!FW41=0,"",'[1]BASE'!FW41)</f>
      </c>
      <c r="N41" s="1237">
        <f>IF('[1]BASE'!FX41=0,"",'[1]BASE'!FX41)</f>
      </c>
      <c r="O41" s="1237">
        <f>IF('[1]BASE'!FY41=0,"",'[1]BASE'!FY41)</f>
      </c>
      <c r="P41" s="1237">
        <f>IF('[1]BASE'!FZ41=0,"",'[1]BASE'!FZ41)</f>
      </c>
      <c r="Q41" s="1237">
        <f>IF('[1]BASE'!GA41=0,"",'[1]BASE'!GA41)</f>
      </c>
      <c r="R41" s="1237">
        <f>IF('[1]BASE'!GB41=0,"",'[1]BASE'!GB41)</f>
      </c>
      <c r="S41" s="1237">
        <f>IF('[1]BASE'!GC41=0,"",'[1]BASE'!GC41)</f>
      </c>
      <c r="T41" s="1238"/>
      <c r="U41" s="1234"/>
    </row>
    <row r="42" spans="2:21" s="1228" customFormat="1" ht="19.5" customHeight="1">
      <c r="B42" s="1229"/>
      <c r="C42" s="1239">
        <f>IF('[1]BASE'!C42=0,"",'[1]BASE'!C42)</f>
        <v>26</v>
      </c>
      <c r="D42" s="1239" t="str">
        <f>IF('[1]BASE'!D42=0,"",'[1]BASE'!D42)</f>
        <v>EZEIZA - RODRIGUEZ 2</v>
      </c>
      <c r="E42" s="1239">
        <f>IF('[1]BASE'!E42=0,"",'[1]BASE'!E42)</f>
        <v>500</v>
      </c>
      <c r="F42" s="1239">
        <f>IF('[1]BASE'!F42=0,"",'[1]BASE'!F42)</f>
        <v>53</v>
      </c>
      <c r="G42" s="1240" t="str">
        <f>IF('[1]BASE'!G42=0,"",'[1]BASE'!G42)</f>
        <v>C</v>
      </c>
      <c r="H42" s="1237">
        <f>IF('[1]BASE'!FR42=0,"",'[1]BASE'!FR42)</f>
      </c>
      <c r="I42" s="1237">
        <f>IF('[1]BASE'!FS42=0,"",'[1]BASE'!FS42)</f>
      </c>
      <c r="J42" s="1237">
        <f>IF('[1]BASE'!FT42=0,"",'[1]BASE'!FT42)</f>
      </c>
      <c r="K42" s="1237">
        <f>IF('[1]BASE'!FU42=0,"",'[1]BASE'!FU42)</f>
      </c>
      <c r="L42" s="1237">
        <f>IF('[1]BASE'!FV42=0,"",'[1]BASE'!FV42)</f>
      </c>
      <c r="M42" s="1237">
        <f>IF('[1]BASE'!FW42=0,"",'[1]BASE'!FW42)</f>
      </c>
      <c r="N42" s="1237">
        <f>IF('[1]BASE'!FX42=0,"",'[1]BASE'!FX42)</f>
      </c>
      <c r="O42" s="1237">
        <f>IF('[1]BASE'!FY42=0,"",'[1]BASE'!FY42)</f>
      </c>
      <c r="P42" s="1237">
        <f>IF('[1]BASE'!FZ42=0,"",'[1]BASE'!FZ42)</f>
      </c>
      <c r="Q42" s="1237">
        <f>IF('[1]BASE'!GA42=0,"",'[1]BASE'!GA42)</f>
      </c>
      <c r="R42" s="1237">
        <f>IF('[1]BASE'!GB42=0,"",'[1]BASE'!GB42)</f>
      </c>
      <c r="S42" s="1237">
        <f>IF('[1]BASE'!GC42=0,"",'[1]BASE'!GC42)</f>
      </c>
      <c r="T42" s="1238"/>
      <c r="U42" s="1234"/>
    </row>
    <row r="43" spans="2:21" s="1228" customFormat="1" ht="19.5" customHeight="1">
      <c r="B43" s="1229"/>
      <c r="C43" s="1241">
        <f>IF('[1]BASE'!C43=0,"",'[1]BASE'!C43)</f>
        <v>27</v>
      </c>
      <c r="D43" s="1241" t="str">
        <f>IF('[1]BASE'!D43=0,"",'[1]BASE'!D43)</f>
        <v>EZEIZA- HENDERSON 1</v>
      </c>
      <c r="E43" s="1241">
        <f>IF('[1]BASE'!E43=0,"",'[1]BASE'!E43)</f>
        <v>500</v>
      </c>
      <c r="F43" s="1241">
        <f>IF('[1]BASE'!F43=0,"",'[1]BASE'!F43)</f>
        <v>313</v>
      </c>
      <c r="G43" s="1242" t="str">
        <f>IF('[1]BASE'!G43=0,"",'[1]BASE'!G43)</f>
        <v>A</v>
      </c>
      <c r="H43" s="1237">
        <f>IF('[1]BASE'!FR43=0,"",'[1]BASE'!FR43)</f>
      </c>
      <c r="I43" s="1237">
        <f>IF('[1]BASE'!FS43=0,"",'[1]BASE'!FS43)</f>
      </c>
      <c r="J43" s="1237">
        <f>IF('[1]BASE'!FT43=0,"",'[1]BASE'!FT43)</f>
      </c>
      <c r="K43" s="1237">
        <f>IF('[1]BASE'!FU43=0,"",'[1]BASE'!FU43)</f>
      </c>
      <c r="L43" s="1237">
        <f>IF('[1]BASE'!FV43=0,"",'[1]BASE'!FV43)</f>
      </c>
      <c r="M43" s="1237">
        <f>IF('[1]BASE'!FW43=0,"",'[1]BASE'!FW43)</f>
      </c>
      <c r="N43" s="1237">
        <f>IF('[1]BASE'!FX43=0,"",'[1]BASE'!FX43)</f>
      </c>
      <c r="O43" s="1237">
        <f>IF('[1]BASE'!FY43=0,"",'[1]BASE'!FY43)</f>
      </c>
      <c r="P43" s="1237">
        <f>IF('[1]BASE'!FZ43=0,"",'[1]BASE'!FZ43)</f>
      </c>
      <c r="Q43" s="1237">
        <f>IF('[1]BASE'!GA43=0,"",'[1]BASE'!GA43)</f>
      </c>
      <c r="R43" s="1237">
        <f>IF('[1]BASE'!GB43=0,"",'[1]BASE'!GB43)</f>
        <v>1</v>
      </c>
      <c r="S43" s="1237">
        <f>IF('[1]BASE'!GC43=0,"",'[1]BASE'!GC43)</f>
        <v>1</v>
      </c>
      <c r="T43" s="1238"/>
      <c r="U43" s="1234"/>
    </row>
    <row r="44" spans="2:21" s="1228" customFormat="1" ht="19.5" customHeight="1">
      <c r="B44" s="1229"/>
      <c r="C44" s="1239">
        <f>IF('[1]BASE'!C44=0,"",'[1]BASE'!C44)</f>
        <v>28</v>
      </c>
      <c r="D44" s="1239" t="str">
        <f>IF('[1]BASE'!D44=0,"",'[1]BASE'!D44)</f>
        <v>EZEIZA - HENDERSON 2</v>
      </c>
      <c r="E44" s="1239">
        <f>IF('[1]BASE'!E44=0,"",'[1]BASE'!E44)</f>
        <v>500</v>
      </c>
      <c r="F44" s="1239">
        <f>IF('[1]BASE'!F44=0,"",'[1]BASE'!F44)</f>
        <v>313</v>
      </c>
      <c r="G44" s="1240" t="str">
        <f>IF('[1]BASE'!G44=0,"",'[1]BASE'!G44)</f>
        <v>A</v>
      </c>
      <c r="H44" s="1237">
        <f>IF('[1]BASE'!FR44=0,"",'[1]BASE'!FR44)</f>
      </c>
      <c r="I44" s="1237">
        <f>IF('[1]BASE'!FS44=0,"",'[1]BASE'!FS44)</f>
      </c>
      <c r="J44" s="1237">
        <f>IF('[1]BASE'!FT44=0,"",'[1]BASE'!FT44)</f>
      </c>
      <c r="K44" s="1237">
        <f>IF('[1]BASE'!FU44=0,"",'[1]BASE'!FU44)</f>
      </c>
      <c r="L44" s="1237">
        <f>IF('[1]BASE'!FV44=0,"",'[1]BASE'!FV44)</f>
      </c>
      <c r="M44" s="1237">
        <f>IF('[1]BASE'!FW44=0,"",'[1]BASE'!FW44)</f>
      </c>
      <c r="N44" s="1237">
        <f>IF('[1]BASE'!FX44=0,"",'[1]BASE'!FX44)</f>
      </c>
      <c r="O44" s="1237">
        <f>IF('[1]BASE'!FY44=0,"",'[1]BASE'!FY44)</f>
      </c>
      <c r="P44" s="1237">
        <f>IF('[1]BASE'!FZ44=0,"",'[1]BASE'!FZ44)</f>
      </c>
      <c r="Q44" s="1237">
        <f>IF('[1]BASE'!GA44=0,"",'[1]BASE'!GA44)</f>
      </c>
      <c r="R44" s="1237">
        <f>IF('[1]BASE'!GB44=0,"",'[1]BASE'!GB44)</f>
        <v>2</v>
      </c>
      <c r="S44" s="1237">
        <f>IF('[1]BASE'!GC44=0,"",'[1]BASE'!GC44)</f>
      </c>
      <c r="T44" s="1238"/>
      <c r="U44" s="1234"/>
    </row>
    <row r="45" spans="2:21" s="1228" customFormat="1" ht="19.5" customHeight="1">
      <c r="B45" s="1229"/>
      <c r="C45" s="1241">
        <f>IF('[1]BASE'!C45=0,"",'[1]BASE'!C45)</f>
        <v>29</v>
      </c>
      <c r="D45" s="1241" t="str">
        <f>IF('[1]BASE'!D45=0,"",'[1]BASE'!D45)</f>
        <v>GRAL. RODRIGUEZ - CAMPANA </v>
      </c>
      <c r="E45" s="1241">
        <f>IF('[1]BASE'!E45=0,"",'[1]BASE'!E45)</f>
        <v>500</v>
      </c>
      <c r="F45" s="1241">
        <f>IF('[1]BASE'!F45=0,"",'[1]BASE'!F45)</f>
        <v>42</v>
      </c>
      <c r="G45" s="1242" t="str">
        <f>IF('[1]BASE'!G45=0,"",'[1]BASE'!G45)</f>
        <v>B</v>
      </c>
      <c r="H45" s="1237">
        <f>IF('[1]BASE'!FR45=0,"",'[1]BASE'!FR45)</f>
      </c>
      <c r="I45" s="1237">
        <f>IF('[1]BASE'!FS45=0,"",'[1]BASE'!FS45)</f>
      </c>
      <c r="J45" s="1237">
        <f>IF('[1]BASE'!FT45=0,"",'[1]BASE'!FT45)</f>
      </c>
      <c r="K45" s="1237">
        <f>IF('[1]BASE'!FU45=0,"",'[1]BASE'!FU45)</f>
      </c>
      <c r="L45" s="1237">
        <f>IF('[1]BASE'!FV45=0,"",'[1]BASE'!FV45)</f>
      </c>
      <c r="M45" s="1237">
        <f>IF('[1]BASE'!FW45=0,"",'[1]BASE'!FW45)</f>
      </c>
      <c r="N45" s="1237">
        <f>IF('[1]BASE'!FX45=0,"",'[1]BASE'!FX45)</f>
      </c>
      <c r="O45" s="1237">
        <f>IF('[1]BASE'!FY45=0,"",'[1]BASE'!FY45)</f>
      </c>
      <c r="P45" s="1237">
        <f>IF('[1]BASE'!FZ45=0,"",'[1]BASE'!FZ45)</f>
      </c>
      <c r="Q45" s="1237">
        <f>IF('[1]BASE'!GA45=0,"",'[1]BASE'!GA45)</f>
      </c>
      <c r="R45" s="1237">
        <f>IF('[1]BASE'!GB45=0,"",'[1]BASE'!GB45)</f>
        <v>1</v>
      </c>
      <c r="S45" s="1237">
        <f>IF('[1]BASE'!GC45=0,"",'[1]BASE'!GC45)</f>
      </c>
      <c r="T45" s="1238"/>
      <c r="U45" s="1234"/>
    </row>
    <row r="46" spans="2:21" s="1228" customFormat="1" ht="19.5" customHeight="1">
      <c r="B46" s="1229"/>
      <c r="C46" s="1239">
        <f>IF('[1]BASE'!C46=0,"",'[1]BASE'!C46)</f>
        <v>30</v>
      </c>
      <c r="D46" s="1239" t="str">
        <f>IF('[1]BASE'!D46=0,"",'[1]BASE'!D46)</f>
        <v>GRAL. RODRIGUEZ- ROSARIO OESTE </v>
      </c>
      <c r="E46" s="1239">
        <f>IF('[1]BASE'!E46=0,"",'[1]BASE'!E46)</f>
        <v>500</v>
      </c>
      <c r="F46" s="1239">
        <f>IF('[1]BASE'!F46=0,"",'[1]BASE'!F46)</f>
        <v>258</v>
      </c>
      <c r="G46" s="1240" t="str">
        <f>IF('[1]BASE'!G46=0,"",'[1]BASE'!G46)</f>
        <v>C</v>
      </c>
      <c r="H46" s="1237" t="str">
        <f>IF('[1]BASE'!FR46=0,"",'[1]BASE'!FR46)</f>
        <v>XXXX</v>
      </c>
      <c r="I46" s="1237" t="str">
        <f>IF('[1]BASE'!FS46=0,"",'[1]BASE'!FS46)</f>
        <v>XXXX</v>
      </c>
      <c r="J46" s="1237" t="str">
        <f>IF('[1]BASE'!FT46=0,"",'[1]BASE'!FT46)</f>
        <v>XXXX</v>
      </c>
      <c r="K46" s="1237" t="str">
        <f>IF('[1]BASE'!FU46=0,"",'[1]BASE'!FU46)</f>
        <v>XXXX</v>
      </c>
      <c r="L46" s="1237" t="str">
        <f>IF('[1]BASE'!FV46=0,"",'[1]BASE'!FV46)</f>
        <v>XXXX</v>
      </c>
      <c r="M46" s="1237" t="str">
        <f>IF('[1]BASE'!FW46=0,"",'[1]BASE'!FW46)</f>
        <v>XXXX</v>
      </c>
      <c r="N46" s="1237" t="str">
        <f>IF('[1]BASE'!FX46=0,"",'[1]BASE'!FX46)</f>
        <v>XXXX</v>
      </c>
      <c r="O46" s="1237" t="str">
        <f>IF('[1]BASE'!FY46=0,"",'[1]BASE'!FY46)</f>
        <v>XXXX</v>
      </c>
      <c r="P46" s="1237" t="str">
        <f>IF('[1]BASE'!FZ46=0,"",'[1]BASE'!FZ46)</f>
        <v>XXXX</v>
      </c>
      <c r="Q46" s="1237" t="str">
        <f>IF('[1]BASE'!GA46=0,"",'[1]BASE'!GA46)</f>
        <v>XXXX</v>
      </c>
      <c r="R46" s="1237" t="str">
        <f>IF('[1]BASE'!GB46=0,"",'[1]BASE'!GB46)</f>
        <v>XXXX</v>
      </c>
      <c r="S46" s="1237" t="str">
        <f>IF('[1]BASE'!GC46=0,"",'[1]BASE'!GC46)</f>
        <v>XXXX</v>
      </c>
      <c r="T46" s="1238"/>
      <c r="U46" s="1234"/>
    </row>
    <row r="47" spans="2:21" s="1228" customFormat="1" ht="19.5" customHeight="1">
      <c r="B47" s="1229"/>
      <c r="C47" s="1241">
        <f>IF('[1]BASE'!C47=0,"",'[1]BASE'!C47)</f>
        <v>31</v>
      </c>
      <c r="D47" s="1241" t="str">
        <f>IF('[1]BASE'!D47=0,"",'[1]BASE'!D47)</f>
        <v>MALVINAS ARG. - ALMAFUERTE </v>
      </c>
      <c r="E47" s="1241">
        <f>IF('[1]BASE'!E47=0,"",'[1]BASE'!E47)</f>
        <v>500</v>
      </c>
      <c r="F47" s="1241">
        <f>IF('[1]BASE'!F47=0,"",'[1]BASE'!F47)</f>
        <v>105</v>
      </c>
      <c r="G47" s="1242" t="str">
        <f>IF('[1]BASE'!G47=0,"",'[1]BASE'!G47)</f>
        <v>B</v>
      </c>
      <c r="H47" s="1237">
        <f>IF('[1]BASE'!FR47=0,"",'[1]BASE'!FR47)</f>
        <v>1</v>
      </c>
      <c r="I47" s="1237">
        <f>IF('[1]BASE'!FS47=0,"",'[1]BASE'!FS47)</f>
      </c>
      <c r="J47" s="1237">
        <f>IF('[1]BASE'!FT47=0,"",'[1]BASE'!FT47)</f>
      </c>
      <c r="K47" s="1237">
        <f>IF('[1]BASE'!FU47=0,"",'[1]BASE'!FU47)</f>
      </c>
      <c r="L47" s="1237">
        <f>IF('[1]BASE'!FV47=0,"",'[1]BASE'!FV47)</f>
      </c>
      <c r="M47" s="1237">
        <f>IF('[1]BASE'!FW47=0,"",'[1]BASE'!FW47)</f>
      </c>
      <c r="N47" s="1237">
        <f>IF('[1]BASE'!FX47=0,"",'[1]BASE'!FX47)</f>
      </c>
      <c r="O47" s="1237">
        <f>IF('[1]BASE'!FY47=0,"",'[1]BASE'!FY47)</f>
      </c>
      <c r="P47" s="1237">
        <f>IF('[1]BASE'!FZ47=0,"",'[1]BASE'!FZ47)</f>
      </c>
      <c r="Q47" s="1237">
        <f>IF('[1]BASE'!GA47=0,"",'[1]BASE'!GA47)</f>
      </c>
      <c r="R47" s="1237">
        <f>IF('[1]BASE'!GB47=0,"",'[1]BASE'!GB47)</f>
      </c>
      <c r="S47" s="1237">
        <f>IF('[1]BASE'!GC47=0,"",'[1]BASE'!GC47)</f>
      </c>
      <c r="T47" s="1238"/>
      <c r="U47" s="1234"/>
    </row>
    <row r="48" spans="2:21" s="1228" customFormat="1" ht="19.5" customHeight="1">
      <c r="B48" s="1229"/>
      <c r="C48" s="1239">
        <f>IF('[1]BASE'!C48=0,"",'[1]BASE'!C48)</f>
        <v>32</v>
      </c>
      <c r="D48" s="1239" t="str">
        <f>IF('[1]BASE'!D48=0,"",'[1]BASE'!D48)</f>
        <v>OLAVARRIA - BAHIA BLANCA 1</v>
      </c>
      <c r="E48" s="1239">
        <f>IF('[1]BASE'!E48=0,"",'[1]BASE'!E48)</f>
        <v>500</v>
      </c>
      <c r="F48" s="1239">
        <f>IF('[1]BASE'!F48=0,"",'[1]BASE'!F48)</f>
        <v>255</v>
      </c>
      <c r="G48" s="1240" t="str">
        <f>IF('[1]BASE'!G48=0,"",'[1]BASE'!G48)</f>
        <v>B</v>
      </c>
      <c r="H48" s="1237">
        <f>IF('[1]BASE'!FR48=0,"",'[1]BASE'!FR48)</f>
      </c>
      <c r="I48" s="1237">
        <f>IF('[1]BASE'!FS48=0,"",'[1]BASE'!FS48)</f>
      </c>
      <c r="J48" s="1237">
        <f>IF('[1]BASE'!FT48=0,"",'[1]BASE'!FT48)</f>
      </c>
      <c r="K48" s="1237">
        <f>IF('[1]BASE'!FU48=0,"",'[1]BASE'!FU48)</f>
      </c>
      <c r="L48" s="1237">
        <f>IF('[1]BASE'!FV48=0,"",'[1]BASE'!FV48)</f>
      </c>
      <c r="M48" s="1237">
        <f>IF('[1]BASE'!FW48=0,"",'[1]BASE'!FW48)</f>
      </c>
      <c r="N48" s="1237">
        <f>IF('[1]BASE'!FX48=0,"",'[1]BASE'!FX48)</f>
      </c>
      <c r="O48" s="1237">
        <f>IF('[1]BASE'!FY48=0,"",'[1]BASE'!FY48)</f>
        <v>1</v>
      </c>
      <c r="P48" s="1237">
        <f>IF('[1]BASE'!FZ48=0,"",'[1]BASE'!FZ48)</f>
      </c>
      <c r="Q48" s="1237">
        <f>IF('[1]BASE'!GA48=0,"",'[1]BASE'!GA48)</f>
      </c>
      <c r="R48" s="1237">
        <f>IF('[1]BASE'!GB48=0,"",'[1]BASE'!GB48)</f>
      </c>
      <c r="S48" s="1237">
        <f>IF('[1]BASE'!GC48=0,"",'[1]BASE'!GC48)</f>
      </c>
      <c r="T48" s="1238"/>
      <c r="U48" s="1234"/>
    </row>
    <row r="49" spans="2:21" s="1228" customFormat="1" ht="19.5" customHeight="1">
      <c r="B49" s="1229"/>
      <c r="C49" s="1241">
        <f>IF('[1]BASE'!C49=0,"",'[1]BASE'!C49)</f>
        <v>33</v>
      </c>
      <c r="D49" s="1241" t="str">
        <f>IF('[1]BASE'!D49=0,"",'[1]BASE'!D49)</f>
        <v>OLAVARRIA - BAHIA BLANCA 2</v>
      </c>
      <c r="E49" s="1241">
        <f>IF('[1]BASE'!E49=0,"",'[1]BASE'!E49)</f>
        <v>500</v>
      </c>
      <c r="F49" s="1241">
        <f>IF('[1]BASE'!F49=0,"",'[1]BASE'!F49)</f>
        <v>254.8</v>
      </c>
      <c r="G49" s="1242">
        <f>IF('[1]BASE'!G49=0,"",'[1]BASE'!G49)</f>
      </c>
      <c r="H49" s="1237">
        <f>IF('[1]BASE'!FR49=0,"",'[1]BASE'!FR49)</f>
      </c>
      <c r="I49" s="1237">
        <f>IF('[1]BASE'!FS49=0,"",'[1]BASE'!FS49)</f>
      </c>
      <c r="J49" s="1237">
        <f>IF('[1]BASE'!FT49=0,"",'[1]BASE'!FT49)</f>
      </c>
      <c r="K49" s="1237">
        <f>IF('[1]BASE'!FU49=0,"",'[1]BASE'!FU49)</f>
      </c>
      <c r="L49" s="1237">
        <f>IF('[1]BASE'!FV49=0,"",'[1]BASE'!FV49)</f>
      </c>
      <c r="M49" s="1237">
        <f>IF('[1]BASE'!FW49=0,"",'[1]BASE'!FW49)</f>
      </c>
      <c r="N49" s="1237">
        <f>IF('[1]BASE'!FX49=0,"",'[1]BASE'!FX49)</f>
      </c>
      <c r="O49" s="1237">
        <f>IF('[1]BASE'!FY49=0,"",'[1]BASE'!FY49)</f>
      </c>
      <c r="P49" s="1237">
        <f>IF('[1]BASE'!FZ49=0,"",'[1]BASE'!FZ49)</f>
      </c>
      <c r="Q49" s="1237">
        <f>IF('[1]BASE'!GA49=0,"",'[1]BASE'!GA49)</f>
      </c>
      <c r="R49" s="1237">
        <f>IF('[1]BASE'!GB49=0,"",'[1]BASE'!GB49)</f>
      </c>
      <c r="S49" s="1237">
        <f>IF('[1]BASE'!GC49=0,"",'[1]BASE'!GC49)</f>
      </c>
      <c r="T49" s="1238"/>
      <c r="U49" s="1234"/>
    </row>
    <row r="50" spans="2:21" s="1228" customFormat="1" ht="19.5" customHeight="1">
      <c r="B50" s="1229"/>
      <c r="C50" s="1239">
        <f>IF('[1]BASE'!C50=0,"",'[1]BASE'!C50)</f>
        <v>34</v>
      </c>
      <c r="D50" s="1239" t="str">
        <f>IF('[1]BASE'!D50=0,"",'[1]BASE'!D50)</f>
        <v>P.del AGUILA  - CHOELE CHOEL</v>
      </c>
      <c r="E50" s="1239">
        <f>IF('[1]BASE'!E50=0,"",'[1]BASE'!E50)</f>
        <v>500</v>
      </c>
      <c r="F50" s="1239">
        <f>IF('[1]BASE'!F50=0,"",'[1]BASE'!F50)</f>
        <v>386.7</v>
      </c>
      <c r="G50" s="1240">
        <f>IF('[1]BASE'!G50=0,"",'[1]BASE'!G50)</f>
      </c>
      <c r="H50" s="1237">
        <f>IF('[1]BASE'!FR50=0,"",'[1]BASE'!FR50)</f>
      </c>
      <c r="I50" s="1237">
        <f>IF('[1]BASE'!FS50=0,"",'[1]BASE'!FS50)</f>
      </c>
      <c r="J50" s="1237">
        <f>IF('[1]BASE'!FT50=0,"",'[1]BASE'!FT50)</f>
      </c>
      <c r="K50" s="1237">
        <f>IF('[1]BASE'!FU50=0,"",'[1]BASE'!FU50)</f>
      </c>
      <c r="L50" s="1237">
        <f>IF('[1]BASE'!FV50=0,"",'[1]BASE'!FV50)</f>
      </c>
      <c r="M50" s="1237">
        <f>IF('[1]BASE'!FW50=0,"",'[1]BASE'!FW50)</f>
      </c>
      <c r="N50" s="1237">
        <f>IF('[1]BASE'!FX50=0,"",'[1]BASE'!FX50)</f>
      </c>
      <c r="O50" s="1237">
        <f>IF('[1]BASE'!FY50=0,"",'[1]BASE'!FY50)</f>
      </c>
      <c r="P50" s="1237">
        <f>IF('[1]BASE'!FZ50=0,"",'[1]BASE'!FZ50)</f>
      </c>
      <c r="Q50" s="1237">
        <f>IF('[1]BASE'!GA50=0,"",'[1]BASE'!GA50)</f>
      </c>
      <c r="R50" s="1237">
        <f>IF('[1]BASE'!GB50=0,"",'[1]BASE'!GB50)</f>
      </c>
      <c r="S50" s="1237">
        <f>IF('[1]BASE'!GC50=0,"",'[1]BASE'!GC50)</f>
      </c>
      <c r="T50" s="1238"/>
      <c r="U50" s="1234"/>
    </row>
    <row r="51" spans="2:21" s="1228" customFormat="1" ht="19.5" customHeight="1">
      <c r="B51" s="1229"/>
      <c r="C51" s="1241">
        <f>IF('[1]BASE'!C51=0,"",'[1]BASE'!C51)</f>
        <v>35</v>
      </c>
      <c r="D51" s="1241" t="str">
        <f>IF('[1]BASE'!D51=0,"",'[1]BASE'!D51)</f>
        <v>P.del AGUILA  - CHO. W. 1 (5GW1)</v>
      </c>
      <c r="E51" s="1241">
        <f>IF('[1]BASE'!E51=0,"",'[1]BASE'!E51)</f>
        <v>500</v>
      </c>
      <c r="F51" s="1241">
        <f>IF('[1]BASE'!F51=0,"",'[1]BASE'!F51)</f>
        <v>165</v>
      </c>
      <c r="G51" s="1242" t="str">
        <f>IF('[1]BASE'!G51=0,"",'[1]BASE'!G51)</f>
        <v>A</v>
      </c>
      <c r="H51" s="1237">
        <f>IF('[1]BASE'!FR51=0,"",'[1]BASE'!FR51)</f>
      </c>
      <c r="I51" s="1237">
        <f>IF('[1]BASE'!FS51=0,"",'[1]BASE'!FS51)</f>
        <v>1</v>
      </c>
      <c r="J51" s="1237">
        <f>IF('[1]BASE'!FT51=0,"",'[1]BASE'!FT51)</f>
      </c>
      <c r="K51" s="1237">
        <f>IF('[1]BASE'!FU51=0,"",'[1]BASE'!FU51)</f>
      </c>
      <c r="L51" s="1237">
        <f>IF('[1]BASE'!FV51=0,"",'[1]BASE'!FV51)</f>
      </c>
      <c r="M51" s="1237">
        <f>IF('[1]BASE'!FW51=0,"",'[1]BASE'!FW51)</f>
      </c>
      <c r="N51" s="1237">
        <f>IF('[1]BASE'!FX51=0,"",'[1]BASE'!FX51)</f>
      </c>
      <c r="O51" s="1237">
        <f>IF('[1]BASE'!FY51=0,"",'[1]BASE'!FY51)</f>
      </c>
      <c r="P51" s="1237">
        <f>IF('[1]BASE'!FZ51=0,"",'[1]BASE'!FZ51)</f>
      </c>
      <c r="Q51" s="1237">
        <f>IF('[1]BASE'!GA51=0,"",'[1]BASE'!GA51)</f>
      </c>
      <c r="R51" s="1237">
        <f>IF('[1]BASE'!GB51=0,"",'[1]BASE'!GB51)</f>
      </c>
      <c r="S51" s="1237">
        <f>IF('[1]BASE'!GC51=0,"",'[1]BASE'!GC51)</f>
      </c>
      <c r="T51" s="1238"/>
      <c r="U51" s="1234"/>
    </row>
    <row r="52" spans="2:21" s="1228" customFormat="1" ht="19.5" customHeight="1">
      <c r="B52" s="1229"/>
      <c r="C52" s="1239">
        <f>IF('[1]BASE'!C52=0,"",'[1]BASE'!C52)</f>
        <v>36</v>
      </c>
      <c r="D52" s="1239" t="str">
        <f>IF('[1]BASE'!D52=0,"",'[1]BASE'!D52)</f>
        <v>P.del AGUILA  - CHO. W. 2 (5GW2)</v>
      </c>
      <c r="E52" s="1239">
        <f>IF('[1]BASE'!E52=0,"",'[1]BASE'!E52)</f>
        <v>500</v>
      </c>
      <c r="F52" s="1239">
        <f>IF('[1]BASE'!F52=0,"",'[1]BASE'!F52)</f>
        <v>170</v>
      </c>
      <c r="G52" s="1240" t="str">
        <f>IF('[1]BASE'!G52=0,"",'[1]BASE'!G52)</f>
        <v>A</v>
      </c>
      <c r="H52" s="1237">
        <f>IF('[1]BASE'!FR52=0,"",'[1]BASE'!FR52)</f>
      </c>
      <c r="I52" s="1237">
        <f>IF('[1]BASE'!FS52=0,"",'[1]BASE'!FS52)</f>
      </c>
      <c r="J52" s="1237">
        <f>IF('[1]BASE'!FT52=0,"",'[1]BASE'!FT52)</f>
      </c>
      <c r="K52" s="1237">
        <f>IF('[1]BASE'!FU52=0,"",'[1]BASE'!FU52)</f>
      </c>
      <c r="L52" s="1237">
        <f>IF('[1]BASE'!FV52=0,"",'[1]BASE'!FV52)</f>
      </c>
      <c r="M52" s="1237">
        <f>IF('[1]BASE'!FW52=0,"",'[1]BASE'!FW52)</f>
      </c>
      <c r="N52" s="1237">
        <f>IF('[1]BASE'!FX52=0,"",'[1]BASE'!FX52)</f>
      </c>
      <c r="O52" s="1237">
        <f>IF('[1]BASE'!FY52=0,"",'[1]BASE'!FY52)</f>
      </c>
      <c r="P52" s="1237">
        <f>IF('[1]BASE'!FZ52=0,"",'[1]BASE'!FZ52)</f>
      </c>
      <c r="Q52" s="1237">
        <f>IF('[1]BASE'!GA52=0,"",'[1]BASE'!GA52)</f>
      </c>
      <c r="R52" s="1237">
        <f>IF('[1]BASE'!GB52=0,"",'[1]BASE'!GB52)</f>
      </c>
      <c r="S52" s="1237">
        <f>IF('[1]BASE'!GC52=0,"",'[1]BASE'!GC52)</f>
      </c>
      <c r="T52" s="1238"/>
      <c r="U52" s="1234"/>
    </row>
    <row r="53" spans="2:21" s="1228" customFormat="1" ht="19.5" customHeight="1">
      <c r="B53" s="1229"/>
      <c r="C53" s="1241">
        <f>IF('[1]BASE'!C53=0,"",'[1]BASE'!C53)</f>
        <v>37</v>
      </c>
      <c r="D53" s="1241" t="str">
        <f>IF('[1]BASE'!D53=0,"",'[1]BASE'!D53)</f>
        <v>PUELCHES - HENDERSON 1 (B1)</v>
      </c>
      <c r="E53" s="1241">
        <f>IF('[1]BASE'!E53=0,"",'[1]BASE'!E53)</f>
        <v>500</v>
      </c>
      <c r="F53" s="1241">
        <f>IF('[1]BASE'!F53=0,"",'[1]BASE'!F53)</f>
        <v>421</v>
      </c>
      <c r="G53" s="1242" t="str">
        <f>IF('[1]BASE'!G53=0,"",'[1]BASE'!G53)</f>
        <v>A</v>
      </c>
      <c r="H53" s="1237">
        <f>IF('[1]BASE'!FR53=0,"",'[1]BASE'!FR53)</f>
        <v>1</v>
      </c>
      <c r="I53" s="1237">
        <f>IF('[1]BASE'!FS53=0,"",'[1]BASE'!FS53)</f>
      </c>
      <c r="J53" s="1237">
        <f>IF('[1]BASE'!FT53=0,"",'[1]BASE'!FT53)</f>
      </c>
      <c r="K53" s="1237">
        <f>IF('[1]BASE'!FU53=0,"",'[1]BASE'!FU53)</f>
      </c>
      <c r="L53" s="1237">
        <f>IF('[1]BASE'!FV53=0,"",'[1]BASE'!FV53)</f>
      </c>
      <c r="M53" s="1237">
        <f>IF('[1]BASE'!FW53=0,"",'[1]BASE'!FW53)</f>
      </c>
      <c r="N53" s="1237">
        <f>IF('[1]BASE'!FX53=0,"",'[1]BASE'!FX53)</f>
      </c>
      <c r="O53" s="1237">
        <f>IF('[1]BASE'!FY53=0,"",'[1]BASE'!FY53)</f>
        <v>1</v>
      </c>
      <c r="P53" s="1237">
        <f>IF('[1]BASE'!FZ53=0,"",'[1]BASE'!FZ53)</f>
      </c>
      <c r="Q53" s="1237">
        <f>IF('[1]BASE'!GA53=0,"",'[1]BASE'!GA53)</f>
      </c>
      <c r="R53" s="1237">
        <f>IF('[1]BASE'!GB53=0,"",'[1]BASE'!GB53)</f>
      </c>
      <c r="S53" s="1237">
        <f>IF('[1]BASE'!GC53=0,"",'[1]BASE'!GC53)</f>
      </c>
      <c r="T53" s="1238"/>
      <c r="U53" s="1234"/>
    </row>
    <row r="54" spans="2:21" s="1228" customFormat="1" ht="19.5" customHeight="1">
      <c r="B54" s="1229"/>
      <c r="C54" s="1239">
        <f>IF('[1]BASE'!C54=0,"",'[1]BASE'!C54)</f>
        <v>38</v>
      </c>
      <c r="D54" s="1239" t="str">
        <f>IF('[1]BASE'!D54=0,"",'[1]BASE'!D54)</f>
        <v>PUELCHES - HENDERSON 2 (B2)</v>
      </c>
      <c r="E54" s="1239">
        <f>IF('[1]BASE'!E54=0,"",'[1]BASE'!E54)</f>
        <v>500</v>
      </c>
      <c r="F54" s="1239">
        <f>IF('[1]BASE'!F54=0,"",'[1]BASE'!F54)</f>
        <v>421</v>
      </c>
      <c r="G54" s="1240" t="str">
        <f>IF('[1]BASE'!G54=0,"",'[1]BASE'!G54)</f>
        <v>A</v>
      </c>
      <c r="H54" s="1237" t="str">
        <f>IF('[1]BASE'!FR54=0,"",'[1]BASE'!FR54)</f>
        <v>XXXX</v>
      </c>
      <c r="I54" s="1237" t="str">
        <f>IF('[1]BASE'!FS54=0,"",'[1]BASE'!FS54)</f>
        <v>XXXX</v>
      </c>
      <c r="J54" s="1237" t="str">
        <f>IF('[1]BASE'!FT54=0,"",'[1]BASE'!FT54)</f>
        <v>XXXX</v>
      </c>
      <c r="K54" s="1237" t="str">
        <f>IF('[1]BASE'!FU54=0,"",'[1]BASE'!FU54)</f>
        <v>XXXX</v>
      </c>
      <c r="L54" s="1237" t="str">
        <f>IF('[1]BASE'!FV54=0,"",'[1]BASE'!FV54)</f>
        <v>XXXX</v>
      </c>
      <c r="M54" s="1237" t="str">
        <f>IF('[1]BASE'!FW54=0,"",'[1]BASE'!FW54)</f>
        <v>XXXX</v>
      </c>
      <c r="N54" s="1237" t="str">
        <f>IF('[1]BASE'!FX54=0,"",'[1]BASE'!FX54)</f>
        <v>XXXX</v>
      </c>
      <c r="O54" s="1237" t="str">
        <f>IF('[1]BASE'!FY54=0,"",'[1]BASE'!FY54)</f>
        <v>XXXX</v>
      </c>
      <c r="P54" s="1237" t="str">
        <f>IF('[1]BASE'!FZ54=0,"",'[1]BASE'!FZ54)</f>
        <v>XXXX</v>
      </c>
      <c r="Q54" s="1237" t="str">
        <f>IF('[1]BASE'!GA54=0,"",'[1]BASE'!GA54)</f>
        <v>XXXX</v>
      </c>
      <c r="R54" s="1237" t="str">
        <f>IF('[1]BASE'!GB54=0,"",'[1]BASE'!GB54)</f>
        <v>XXXX</v>
      </c>
      <c r="S54" s="1237" t="str">
        <f>IF('[1]BASE'!GC54=0,"",'[1]BASE'!GC54)</f>
        <v>XXXX</v>
      </c>
      <c r="T54" s="1238"/>
      <c r="U54" s="1234"/>
    </row>
    <row r="55" spans="2:21" s="1228" customFormat="1" ht="19.5" customHeight="1">
      <c r="B55" s="1229"/>
      <c r="C55" s="1241">
        <f>IF('[1]BASE'!C55=0,"",'[1]BASE'!C55)</f>
        <v>39</v>
      </c>
      <c r="D55" s="1241" t="str">
        <f>IF('[1]BASE'!D55=0,"",'[1]BASE'!D55)</f>
        <v>RECREO - MALVINAS ARG. </v>
      </c>
      <c r="E55" s="1241">
        <f>IF('[1]BASE'!E55=0,"",'[1]BASE'!E55)</f>
        <v>500</v>
      </c>
      <c r="F55" s="1241">
        <f>IF('[1]BASE'!F55=0,"",'[1]BASE'!F55)</f>
        <v>259</v>
      </c>
      <c r="G55" s="1242" t="str">
        <f>IF('[1]BASE'!G55=0,"",'[1]BASE'!G55)</f>
        <v>C</v>
      </c>
      <c r="H55" s="1237">
        <f>IF('[1]BASE'!FR55=0,"",'[1]BASE'!FR55)</f>
      </c>
      <c r="I55" s="1237">
        <f>IF('[1]BASE'!FS55=0,"",'[1]BASE'!FS55)</f>
      </c>
      <c r="J55" s="1237">
        <f>IF('[1]BASE'!FT55=0,"",'[1]BASE'!FT55)</f>
      </c>
      <c r="K55" s="1237">
        <f>IF('[1]BASE'!FU55=0,"",'[1]BASE'!FU55)</f>
      </c>
      <c r="L55" s="1237">
        <f>IF('[1]BASE'!FV55=0,"",'[1]BASE'!FV55)</f>
      </c>
      <c r="M55" s="1237">
        <f>IF('[1]BASE'!FW55=0,"",'[1]BASE'!FW55)</f>
      </c>
      <c r="N55" s="1237">
        <f>IF('[1]BASE'!FX55=0,"",'[1]BASE'!FX55)</f>
      </c>
      <c r="O55" s="1237">
        <f>IF('[1]BASE'!FY55=0,"",'[1]BASE'!FY55)</f>
      </c>
      <c r="P55" s="1237">
        <f>IF('[1]BASE'!FZ55=0,"",'[1]BASE'!FZ55)</f>
      </c>
      <c r="Q55" s="1237">
        <f>IF('[1]BASE'!GA55=0,"",'[1]BASE'!GA55)</f>
      </c>
      <c r="R55" s="1237">
        <f>IF('[1]BASE'!GB55=0,"",'[1]BASE'!GB55)</f>
      </c>
      <c r="S55" s="1237">
        <f>IF('[1]BASE'!GC55=0,"",'[1]BASE'!GC55)</f>
      </c>
      <c r="T55" s="1238"/>
      <c r="U55" s="1234"/>
    </row>
    <row r="56" spans="2:21" s="1228" customFormat="1" ht="19.5" customHeight="1">
      <c r="B56" s="1229"/>
      <c r="C56" s="1239">
        <f>IF('[1]BASE'!C56=0,"",'[1]BASE'!C56)</f>
        <v>40</v>
      </c>
      <c r="D56" s="1239" t="str">
        <f>IF('[1]BASE'!D56=0,"",'[1]BASE'!D56)</f>
        <v>RIO GRANDE - EMBALSE</v>
      </c>
      <c r="E56" s="1239">
        <f>IF('[1]BASE'!E56=0,"",'[1]BASE'!E56)</f>
        <v>500</v>
      </c>
      <c r="F56" s="1239">
        <f>IF('[1]BASE'!F56=0,"",'[1]BASE'!F56)</f>
        <v>30</v>
      </c>
      <c r="G56" s="1240" t="str">
        <f>IF('[1]BASE'!G56=0,"",'[1]BASE'!G56)</f>
        <v>B</v>
      </c>
      <c r="H56" s="1237">
        <f>IF('[1]BASE'!FR56=0,"",'[1]BASE'!FR56)</f>
      </c>
      <c r="I56" s="1237">
        <f>IF('[1]BASE'!FS56=0,"",'[1]BASE'!FS56)</f>
      </c>
      <c r="J56" s="1237">
        <f>IF('[1]BASE'!FT56=0,"",'[1]BASE'!FT56)</f>
      </c>
      <c r="K56" s="1237">
        <f>IF('[1]BASE'!FU56=0,"",'[1]BASE'!FU56)</f>
      </c>
      <c r="L56" s="1237">
        <f>IF('[1]BASE'!FV56=0,"",'[1]BASE'!FV56)</f>
      </c>
      <c r="M56" s="1237">
        <f>IF('[1]BASE'!FW56=0,"",'[1]BASE'!FW56)</f>
      </c>
      <c r="N56" s="1237">
        <f>IF('[1]BASE'!FX56=0,"",'[1]BASE'!FX56)</f>
      </c>
      <c r="O56" s="1237">
        <f>IF('[1]BASE'!FY56=0,"",'[1]BASE'!FY56)</f>
      </c>
      <c r="P56" s="1237">
        <f>IF('[1]BASE'!FZ56=0,"",'[1]BASE'!FZ56)</f>
      </c>
      <c r="Q56" s="1237">
        <f>IF('[1]BASE'!GA56=0,"",'[1]BASE'!GA56)</f>
      </c>
      <c r="R56" s="1237">
        <f>IF('[1]BASE'!GB56=0,"",'[1]BASE'!GB56)</f>
      </c>
      <c r="S56" s="1237">
        <f>IF('[1]BASE'!GC56=0,"",'[1]BASE'!GC56)</f>
      </c>
      <c r="T56" s="1238"/>
      <c r="U56" s="1234"/>
    </row>
    <row r="57" spans="2:21" s="1228" customFormat="1" ht="19.5" customHeight="1">
      <c r="B57" s="1229"/>
      <c r="C57" s="1241">
        <f>IF('[1]BASE'!C57=0,"",'[1]BASE'!C57)</f>
        <v>41</v>
      </c>
      <c r="D57" s="1241" t="str">
        <f>IF('[1]BASE'!D57=0,"",'[1]BASE'!D57)</f>
        <v>RIO GRANDE - GRAN MENDOZA</v>
      </c>
      <c r="E57" s="1241">
        <f>IF('[1]BASE'!E57=0,"",'[1]BASE'!E57)</f>
        <v>500</v>
      </c>
      <c r="F57" s="1241">
        <f>IF('[1]BASE'!F57=0,"",'[1]BASE'!F57)</f>
        <v>407</v>
      </c>
      <c r="G57" s="1242" t="str">
        <f>IF('[1]BASE'!G57=0,"",'[1]BASE'!G57)</f>
        <v>B</v>
      </c>
      <c r="H57" s="1237" t="str">
        <f>IF('[1]BASE'!FR57=0,"",'[1]BASE'!FR57)</f>
        <v>XXXX</v>
      </c>
      <c r="I57" s="1237" t="str">
        <f>IF('[1]BASE'!FS57=0,"",'[1]BASE'!FS57)</f>
        <v>XXXX</v>
      </c>
      <c r="J57" s="1237" t="str">
        <f>IF('[1]BASE'!FT57=0,"",'[1]BASE'!FT57)</f>
        <v>XXXX</v>
      </c>
      <c r="K57" s="1237" t="str">
        <f>IF('[1]BASE'!FU57=0,"",'[1]BASE'!FU57)</f>
        <v>XXXX</v>
      </c>
      <c r="L57" s="1237" t="str">
        <f>IF('[1]BASE'!FV57=0,"",'[1]BASE'!FV57)</f>
        <v>XXXX</v>
      </c>
      <c r="M57" s="1237" t="str">
        <f>IF('[1]BASE'!FW57=0,"",'[1]BASE'!FW57)</f>
        <v>XXXX</v>
      </c>
      <c r="N57" s="1237" t="str">
        <f>IF('[1]BASE'!FX57=0,"",'[1]BASE'!FX57)</f>
        <v>XXXX</v>
      </c>
      <c r="O57" s="1237" t="str">
        <f>IF('[1]BASE'!FY57=0,"",'[1]BASE'!FY57)</f>
        <v>XXXX</v>
      </c>
      <c r="P57" s="1237" t="str">
        <f>IF('[1]BASE'!FZ57=0,"",'[1]BASE'!FZ57)</f>
        <v>XXXX</v>
      </c>
      <c r="Q57" s="1237" t="str">
        <f>IF('[1]BASE'!GA57=0,"",'[1]BASE'!GA57)</f>
        <v>XXXX</v>
      </c>
      <c r="R57" s="1237" t="str">
        <f>IF('[1]BASE'!GB57=0,"",'[1]BASE'!GB57)</f>
        <v>XXXX</v>
      </c>
      <c r="S57" s="1237" t="str">
        <f>IF('[1]BASE'!GC57=0,"",'[1]BASE'!GC57)</f>
        <v>XXXX</v>
      </c>
      <c r="T57" s="1238"/>
      <c r="U57" s="1234"/>
    </row>
    <row r="58" spans="2:21" s="1228" customFormat="1" ht="19.5" customHeight="1">
      <c r="B58" s="1229"/>
      <c r="C58" s="1239">
        <f>IF('[1]BASE'!C58=0,"",'[1]BASE'!C58)</f>
        <v>42</v>
      </c>
      <c r="D58" s="1239" t="str">
        <f>IF('[1]BASE'!D58=0,"",'[1]BASE'!D58)</f>
        <v>RIO GRANDE - LUJAN</v>
      </c>
      <c r="E58" s="1239">
        <f>IF('[1]BASE'!E58=0,"",'[1]BASE'!E58)</f>
        <v>500</v>
      </c>
      <c r="F58" s="1239">
        <f>IF('[1]BASE'!F58=0,"",'[1]BASE'!F58)</f>
        <v>150</v>
      </c>
      <c r="G58" s="1240" t="str">
        <f>IF('[1]BASE'!G58=0,"",'[1]BASE'!G58)</f>
        <v>A</v>
      </c>
      <c r="H58" s="1237">
        <f>IF('[1]BASE'!FR58=0,"",'[1]BASE'!FR58)</f>
      </c>
      <c r="I58" s="1237">
        <f>IF('[1]BASE'!FS58=0,"",'[1]BASE'!FS58)</f>
      </c>
      <c r="J58" s="1237">
        <f>IF('[1]BASE'!FT58=0,"",'[1]BASE'!FT58)</f>
      </c>
      <c r="K58" s="1237">
        <f>IF('[1]BASE'!FU58=0,"",'[1]BASE'!FU58)</f>
      </c>
      <c r="L58" s="1237">
        <f>IF('[1]BASE'!FV58=0,"",'[1]BASE'!FV58)</f>
      </c>
      <c r="M58" s="1237">
        <f>IF('[1]BASE'!FW58=0,"",'[1]BASE'!FW58)</f>
      </c>
      <c r="N58" s="1237">
        <f>IF('[1]BASE'!FX58=0,"",'[1]BASE'!FX58)</f>
      </c>
      <c r="O58" s="1237">
        <f>IF('[1]BASE'!FY58=0,"",'[1]BASE'!FY58)</f>
      </c>
      <c r="P58" s="1237">
        <f>IF('[1]BASE'!FZ58=0,"",'[1]BASE'!FZ58)</f>
      </c>
      <c r="Q58" s="1237">
        <f>IF('[1]BASE'!GA58=0,"",'[1]BASE'!GA58)</f>
      </c>
      <c r="R58" s="1237">
        <f>IF('[1]BASE'!GB58=0,"",'[1]BASE'!GB58)</f>
      </c>
      <c r="S58" s="1237">
        <f>IF('[1]BASE'!GC58=0,"",'[1]BASE'!GC58)</f>
      </c>
      <c r="T58" s="1238"/>
      <c r="U58" s="1234"/>
    </row>
    <row r="59" spans="2:21" s="1228" customFormat="1" ht="19.5" customHeight="1">
      <c r="B59" s="1229"/>
      <c r="C59" s="1241">
        <f>IF('[1]BASE'!C59=0,"",'[1]BASE'!C59)</f>
        <v>43</v>
      </c>
      <c r="D59" s="1241" t="str">
        <f>IF('[1]BASE'!D59=0,"",'[1]BASE'!D59)</f>
        <v>LUJAN - GRAN MENDOZA</v>
      </c>
      <c r="E59" s="1241">
        <f>IF('[1]BASE'!E59=0,"",'[1]BASE'!E59)</f>
        <v>500</v>
      </c>
      <c r="F59" s="1241">
        <f>IF('[1]BASE'!F59=0,"",'[1]BASE'!F59)</f>
        <v>257</v>
      </c>
      <c r="G59" s="1242" t="str">
        <f>IF('[1]BASE'!G59=0,"",'[1]BASE'!G59)</f>
        <v>B</v>
      </c>
      <c r="H59" s="1237">
        <f>IF('[1]BASE'!FR59=0,"",'[1]BASE'!FR59)</f>
      </c>
      <c r="I59" s="1237">
        <f>IF('[1]BASE'!FS59=0,"",'[1]BASE'!FS59)</f>
      </c>
      <c r="J59" s="1237">
        <f>IF('[1]BASE'!FT59=0,"",'[1]BASE'!FT59)</f>
      </c>
      <c r="K59" s="1237">
        <f>IF('[1]BASE'!FU59=0,"",'[1]BASE'!FU59)</f>
      </c>
      <c r="L59" s="1237">
        <f>IF('[1]BASE'!FV59=0,"",'[1]BASE'!FV59)</f>
      </c>
      <c r="M59" s="1237">
        <f>IF('[1]BASE'!FW59=0,"",'[1]BASE'!FW59)</f>
      </c>
      <c r="N59" s="1237">
        <f>IF('[1]BASE'!FX59=0,"",'[1]BASE'!FX59)</f>
      </c>
      <c r="O59" s="1237">
        <f>IF('[1]BASE'!FY59=0,"",'[1]BASE'!FY59)</f>
      </c>
      <c r="P59" s="1237">
        <f>IF('[1]BASE'!FZ59=0,"",'[1]BASE'!FZ59)</f>
      </c>
      <c r="Q59" s="1237">
        <f>IF('[1]BASE'!GA59=0,"",'[1]BASE'!GA59)</f>
      </c>
      <c r="R59" s="1237">
        <f>IF('[1]BASE'!GB59=0,"",'[1]BASE'!GB59)</f>
      </c>
      <c r="S59" s="1237">
        <f>IF('[1]BASE'!GC59=0,"",'[1]BASE'!GC59)</f>
      </c>
      <c r="T59" s="1238"/>
      <c r="U59" s="1234"/>
    </row>
    <row r="60" spans="2:21" s="1228" customFormat="1" ht="19.5" customHeight="1">
      <c r="B60" s="1229"/>
      <c r="C60" s="1239">
        <f>IF('[1]BASE'!C60=0,"",'[1]BASE'!C60)</f>
        <v>44</v>
      </c>
      <c r="D60" s="1239" t="str">
        <f>IF('[1]BASE'!D60=0,"",'[1]BASE'!D60)</f>
        <v>ROMANG - RESISTENCIA</v>
      </c>
      <c r="E60" s="1239">
        <f>IF('[1]BASE'!E60=0,"",'[1]BASE'!E60)</f>
        <v>500</v>
      </c>
      <c r="F60" s="1239">
        <f>IF('[1]BASE'!F60=0,"",'[1]BASE'!F60)</f>
        <v>256</v>
      </c>
      <c r="G60" s="1240" t="str">
        <f>IF('[1]BASE'!G60=0,"",'[1]BASE'!G60)</f>
        <v>A</v>
      </c>
      <c r="H60" s="1237">
        <f>IF('[1]BASE'!FR60=0,"",'[1]BASE'!FR60)</f>
      </c>
      <c r="I60" s="1237">
        <f>IF('[1]BASE'!FS60=0,"",'[1]BASE'!FS60)</f>
      </c>
      <c r="J60" s="1237">
        <f>IF('[1]BASE'!FT60=0,"",'[1]BASE'!FT60)</f>
      </c>
      <c r="K60" s="1237">
        <f>IF('[1]BASE'!FU60=0,"",'[1]BASE'!FU60)</f>
      </c>
      <c r="L60" s="1237">
        <f>IF('[1]BASE'!FV60=0,"",'[1]BASE'!FV60)</f>
      </c>
      <c r="M60" s="1237">
        <f>IF('[1]BASE'!FW60=0,"",'[1]BASE'!FW60)</f>
      </c>
      <c r="N60" s="1237">
        <f>IF('[1]BASE'!FX60=0,"",'[1]BASE'!FX60)</f>
      </c>
      <c r="O60" s="1237">
        <f>IF('[1]BASE'!FY60=0,"",'[1]BASE'!FY60)</f>
      </c>
      <c r="P60" s="1237">
        <f>IF('[1]BASE'!FZ60=0,"",'[1]BASE'!FZ60)</f>
      </c>
      <c r="Q60" s="1237">
        <f>IF('[1]BASE'!GA60=0,"",'[1]BASE'!GA60)</f>
        <v>1</v>
      </c>
      <c r="R60" s="1237">
        <f>IF('[1]BASE'!GB60=0,"",'[1]BASE'!GB60)</f>
        <v>1</v>
      </c>
      <c r="S60" s="1237">
        <f>IF('[1]BASE'!GC60=0,"",'[1]BASE'!GC60)</f>
      </c>
      <c r="T60" s="1238"/>
      <c r="U60" s="1234"/>
    </row>
    <row r="61" spans="2:21" s="1228" customFormat="1" ht="19.5" customHeight="1">
      <c r="B61" s="1229"/>
      <c r="C61" s="1241">
        <f>IF('[1]BASE'!C61=0,"",'[1]BASE'!C61)</f>
        <v>45</v>
      </c>
      <c r="D61" s="1241" t="str">
        <f>IF('[1]BASE'!D61=0,"",'[1]BASE'!D61)</f>
        <v>ROSARIO OESTE -SANTO TOME</v>
      </c>
      <c r="E61" s="1241">
        <f>IF('[1]BASE'!E61=0,"",'[1]BASE'!E61)</f>
        <v>500</v>
      </c>
      <c r="F61" s="1241">
        <f>IF('[1]BASE'!F61=0,"",'[1]BASE'!F61)</f>
        <v>159</v>
      </c>
      <c r="G61" s="1242" t="str">
        <f>IF('[1]BASE'!G61=0,"",'[1]BASE'!G61)</f>
        <v>C</v>
      </c>
      <c r="H61" s="1237">
        <f>IF('[1]BASE'!FR61=0,"",'[1]BASE'!FR61)</f>
      </c>
      <c r="I61" s="1237">
        <f>IF('[1]BASE'!FS61=0,"",'[1]BASE'!FS61)</f>
      </c>
      <c r="J61" s="1237">
        <f>IF('[1]BASE'!FT61=0,"",'[1]BASE'!FT61)</f>
        <v>1</v>
      </c>
      <c r="K61" s="1237">
        <f>IF('[1]BASE'!FU61=0,"",'[1]BASE'!FU61)</f>
        <v>1</v>
      </c>
      <c r="L61" s="1237">
        <f>IF('[1]BASE'!FV61=0,"",'[1]BASE'!FV61)</f>
        <v>1</v>
      </c>
      <c r="M61" s="1237">
        <f>IF('[1]BASE'!FW61=0,"",'[1]BASE'!FW61)</f>
      </c>
      <c r="N61" s="1237">
        <f>IF('[1]BASE'!FX61=0,"",'[1]BASE'!FX61)</f>
      </c>
      <c r="O61" s="1237">
        <f>IF('[1]BASE'!FY61=0,"",'[1]BASE'!FY61)</f>
      </c>
      <c r="P61" s="1237">
        <f>IF('[1]BASE'!FZ61=0,"",'[1]BASE'!FZ61)</f>
      </c>
      <c r="Q61" s="1237">
        <f>IF('[1]BASE'!GA61=0,"",'[1]BASE'!GA61)</f>
      </c>
      <c r="R61" s="1237">
        <f>IF('[1]BASE'!GB61=0,"",'[1]BASE'!GB61)</f>
        <v>1</v>
      </c>
      <c r="S61" s="1237">
        <f>IF('[1]BASE'!GC61=0,"",'[1]BASE'!GC61)</f>
      </c>
      <c r="T61" s="1238"/>
      <c r="U61" s="1234"/>
    </row>
    <row r="62" spans="2:21" s="1228" customFormat="1" ht="19.5" customHeight="1">
      <c r="B62" s="1229"/>
      <c r="C62" s="1239">
        <f>IF('[1]BASE'!C62=0,"",'[1]BASE'!C62)</f>
        <v>46</v>
      </c>
      <c r="D62" s="1239" t="str">
        <f>IF('[1]BASE'!D62=0,"",'[1]BASE'!D62)</f>
        <v>SALTO GRANDE - SANTO TOME </v>
      </c>
      <c r="E62" s="1239">
        <f>IF('[1]BASE'!E62=0,"",'[1]BASE'!E62)</f>
        <v>500</v>
      </c>
      <c r="F62" s="1239">
        <f>IF('[1]BASE'!F62=0,"",'[1]BASE'!F62)</f>
        <v>289</v>
      </c>
      <c r="G62" s="1240" t="str">
        <f>IF('[1]BASE'!G62=0,"",'[1]BASE'!G62)</f>
        <v>C</v>
      </c>
      <c r="H62" s="1237">
        <f>IF('[1]BASE'!FR62=0,"",'[1]BASE'!FR62)</f>
      </c>
      <c r="I62" s="1237">
        <f>IF('[1]BASE'!FS62=0,"",'[1]BASE'!FS62)</f>
      </c>
      <c r="J62" s="1237">
        <f>IF('[1]BASE'!FT62=0,"",'[1]BASE'!FT62)</f>
      </c>
      <c r="K62" s="1237">
        <f>IF('[1]BASE'!FU62=0,"",'[1]BASE'!FU62)</f>
      </c>
      <c r="L62" s="1237">
        <f>IF('[1]BASE'!FV62=0,"",'[1]BASE'!FV62)</f>
      </c>
      <c r="M62" s="1237">
        <f>IF('[1]BASE'!FW62=0,"",'[1]BASE'!FW62)</f>
      </c>
      <c r="N62" s="1237">
        <f>IF('[1]BASE'!FX62=0,"",'[1]BASE'!FX62)</f>
      </c>
      <c r="O62" s="1237">
        <f>IF('[1]BASE'!FY62=0,"",'[1]BASE'!FY62)</f>
      </c>
      <c r="P62" s="1237">
        <f>IF('[1]BASE'!FZ62=0,"",'[1]BASE'!FZ62)</f>
      </c>
      <c r="Q62" s="1237">
        <f>IF('[1]BASE'!GA62=0,"",'[1]BASE'!GA62)</f>
        <v>1</v>
      </c>
      <c r="R62" s="1237">
        <f>IF('[1]BASE'!GB62=0,"",'[1]BASE'!GB62)</f>
      </c>
      <c r="S62" s="1237">
        <f>IF('[1]BASE'!GC62=0,"",'[1]BASE'!GC62)</f>
      </c>
      <c r="T62" s="1238"/>
      <c r="U62" s="1234"/>
    </row>
    <row r="63" spans="2:21" s="1228" customFormat="1" ht="19.5" customHeight="1">
      <c r="B63" s="1229"/>
      <c r="C63" s="1241">
        <f>IF('[1]BASE'!C63=0,"",'[1]BASE'!C63)</f>
        <v>47</v>
      </c>
      <c r="D63" s="1241" t="str">
        <f>IF('[1]BASE'!D63=0,"",'[1]BASE'!D63)</f>
        <v>SANTO TOME - ROMANG </v>
      </c>
      <c r="E63" s="1241">
        <f>IF('[1]BASE'!E63=0,"",'[1]BASE'!E63)</f>
        <v>500</v>
      </c>
      <c r="F63" s="1241">
        <f>IF('[1]BASE'!F63=0,"",'[1]BASE'!F63)</f>
        <v>270</v>
      </c>
      <c r="G63" s="1242" t="str">
        <f>IF('[1]BASE'!G63=0,"",'[1]BASE'!G63)</f>
        <v>A</v>
      </c>
      <c r="H63" s="1237">
        <f>IF('[1]BASE'!FR63=0,"",'[1]BASE'!FR63)</f>
      </c>
      <c r="I63" s="1237">
        <f>IF('[1]BASE'!FS63=0,"",'[1]BASE'!FS63)</f>
      </c>
      <c r="J63" s="1237">
        <f>IF('[1]BASE'!FT63=0,"",'[1]BASE'!FT63)</f>
      </c>
      <c r="K63" s="1237">
        <f>IF('[1]BASE'!FU63=0,"",'[1]BASE'!FU63)</f>
      </c>
      <c r="L63" s="1237">
        <f>IF('[1]BASE'!FV63=0,"",'[1]BASE'!FV63)</f>
      </c>
      <c r="M63" s="1237">
        <f>IF('[1]BASE'!FW63=0,"",'[1]BASE'!FW63)</f>
      </c>
      <c r="N63" s="1237">
        <f>IF('[1]BASE'!FX63=0,"",'[1]BASE'!FX63)</f>
      </c>
      <c r="O63" s="1237">
        <f>IF('[1]BASE'!FY63=0,"",'[1]BASE'!FY63)</f>
      </c>
      <c r="P63" s="1237">
        <f>IF('[1]BASE'!FZ63=0,"",'[1]BASE'!FZ63)</f>
      </c>
      <c r="Q63" s="1237">
        <f>IF('[1]BASE'!GA63=0,"",'[1]BASE'!GA63)</f>
      </c>
      <c r="R63" s="1237">
        <f>IF('[1]BASE'!GB63=0,"",'[1]BASE'!GB63)</f>
      </c>
      <c r="S63" s="1237">
        <f>IF('[1]BASE'!GC63=0,"",'[1]BASE'!GC63)</f>
      </c>
      <c r="T63" s="1238"/>
      <c r="U63" s="1234"/>
    </row>
    <row r="64" spans="2:21" s="1228" customFormat="1" ht="9.75" customHeight="1">
      <c r="B64" s="1229"/>
      <c r="C64" s="1239">
        <f>IF('[1]BASE'!C64=0,"",'[1]BASE'!C64)</f>
      </c>
      <c r="D64" s="1239">
        <f>IF('[1]BASE'!D64=0,"",'[1]BASE'!D64)</f>
      </c>
      <c r="E64" s="1239">
        <f>IF('[1]BASE'!E64=0,"",'[1]BASE'!E64)</f>
      </c>
      <c r="F64" s="1239">
        <f>IF('[1]BASE'!F64=0,"",'[1]BASE'!F64)</f>
      </c>
      <c r="G64" s="1240">
        <f>IF('[1]BASE'!G64=0,"",'[1]BASE'!G64)</f>
      </c>
      <c r="H64" s="1237">
        <f>IF('[1]BASE'!FR64=0,"",'[1]BASE'!FR64)</f>
      </c>
      <c r="I64" s="1237">
        <f>IF('[1]BASE'!FS64=0,"",'[1]BASE'!FS64)</f>
      </c>
      <c r="J64" s="1237">
        <f>IF('[1]BASE'!FT64=0,"",'[1]BASE'!FT64)</f>
      </c>
      <c r="K64" s="1237">
        <f>IF('[1]BASE'!FU64=0,"",'[1]BASE'!FU64)</f>
      </c>
      <c r="L64" s="1237">
        <f>IF('[1]BASE'!FV64=0,"",'[1]BASE'!FV64)</f>
      </c>
      <c r="M64" s="1237">
        <f>IF('[1]BASE'!FW64=0,"",'[1]BASE'!FW64)</f>
      </c>
      <c r="N64" s="1237">
        <f>IF('[1]BASE'!FX64=0,"",'[1]BASE'!FX64)</f>
      </c>
      <c r="O64" s="1237">
        <f>IF('[1]BASE'!FY64=0,"",'[1]BASE'!FY64)</f>
      </c>
      <c r="P64" s="1237">
        <f>IF('[1]BASE'!FZ64=0,"",'[1]BASE'!FZ64)</f>
      </c>
      <c r="Q64" s="1237">
        <f>IF('[1]BASE'!GA64=0,"",'[1]BASE'!GA64)</f>
      </c>
      <c r="R64" s="1237">
        <f>IF('[1]BASE'!GB64=0,"",'[1]BASE'!GB64)</f>
      </c>
      <c r="S64" s="1237">
        <f>IF('[1]BASE'!GC64=0,"",'[1]BASE'!GC64)</f>
      </c>
      <c r="T64" s="1238"/>
      <c r="U64" s="1234"/>
    </row>
    <row r="65" spans="2:21" s="1228" customFormat="1" ht="19.5" customHeight="1">
      <c r="B65" s="1229"/>
      <c r="C65" s="1241">
        <f>IF('[1]BASE'!C65=0,"",'[1]BASE'!C65)</f>
        <v>48</v>
      </c>
      <c r="D65" s="1241" t="str">
        <f>IF('[1]BASE'!D65=0,"",'[1]BASE'!D65)</f>
        <v>GRAL. RODRIGUEZ - VILLA  LIA 1</v>
      </c>
      <c r="E65" s="1241">
        <f>IF('[1]BASE'!E65=0,"",'[1]BASE'!E65)</f>
        <v>220</v>
      </c>
      <c r="F65" s="1241">
        <f>IF('[1]BASE'!F65=0,"",'[1]BASE'!F65)</f>
        <v>61</v>
      </c>
      <c r="G65" s="1242" t="str">
        <f>IF('[1]BASE'!G65=0,"",'[1]BASE'!G65)</f>
        <v>C</v>
      </c>
      <c r="H65" s="1237">
        <f>IF('[1]BASE'!FR65=0,"",'[1]BASE'!FR65)</f>
      </c>
      <c r="I65" s="1237">
        <f>IF('[1]BASE'!FS65=0,"",'[1]BASE'!FS65)</f>
      </c>
      <c r="J65" s="1237">
        <f>IF('[1]BASE'!FT65=0,"",'[1]BASE'!FT65)</f>
        <v>1</v>
      </c>
      <c r="K65" s="1237">
        <f>IF('[1]BASE'!FU65=0,"",'[1]BASE'!FU65)</f>
      </c>
      <c r="L65" s="1237">
        <f>IF('[1]BASE'!FV65=0,"",'[1]BASE'!FV65)</f>
        <v>1</v>
      </c>
      <c r="M65" s="1237">
        <f>IF('[1]BASE'!FW65=0,"",'[1]BASE'!FW65)</f>
      </c>
      <c r="N65" s="1237">
        <f>IF('[1]BASE'!FX65=0,"",'[1]BASE'!FX65)</f>
        <v>1</v>
      </c>
      <c r="O65" s="1237">
        <f>IF('[1]BASE'!FY65=0,"",'[1]BASE'!FY65)</f>
      </c>
      <c r="P65" s="1237">
        <f>IF('[1]BASE'!FZ65=0,"",'[1]BASE'!FZ65)</f>
      </c>
      <c r="Q65" s="1237">
        <f>IF('[1]BASE'!GA65=0,"",'[1]BASE'!GA65)</f>
      </c>
      <c r="R65" s="1237">
        <f>IF('[1]BASE'!GB65=0,"",'[1]BASE'!GB65)</f>
      </c>
      <c r="S65" s="1237">
        <f>IF('[1]BASE'!GC65=0,"",'[1]BASE'!GC65)</f>
      </c>
      <c r="T65" s="1238"/>
      <c r="U65" s="1234"/>
    </row>
    <row r="66" spans="2:21" s="1228" customFormat="1" ht="19.5" customHeight="1">
      <c r="B66" s="1229"/>
      <c r="C66" s="1239">
        <f>IF('[1]BASE'!C66=0,"",'[1]BASE'!C66)</f>
        <v>49</v>
      </c>
      <c r="D66" s="1239" t="str">
        <f>IF('[1]BASE'!D66=0,"",'[1]BASE'!D66)</f>
        <v>GRAL. RODRIGUEZ - VILLA  LIA 2</v>
      </c>
      <c r="E66" s="1239">
        <f>IF('[1]BASE'!E66=0,"",'[1]BASE'!E66)</f>
        <v>220</v>
      </c>
      <c r="F66" s="1239">
        <f>IF('[1]BASE'!F66=0,"",'[1]BASE'!F66)</f>
        <v>61</v>
      </c>
      <c r="G66" s="1240" t="str">
        <f>IF('[1]BASE'!G66=0,"",'[1]BASE'!G66)</f>
        <v>C</v>
      </c>
      <c r="H66" s="1237">
        <f>IF('[1]BASE'!FR66=0,"",'[1]BASE'!FR66)</f>
      </c>
      <c r="I66" s="1237">
        <f>IF('[1]BASE'!FS66=0,"",'[1]BASE'!FS66)</f>
      </c>
      <c r="J66" s="1237">
        <f>IF('[1]BASE'!FT66=0,"",'[1]BASE'!FT66)</f>
      </c>
      <c r="K66" s="1237">
        <f>IF('[1]BASE'!FU66=0,"",'[1]BASE'!FU66)</f>
      </c>
      <c r="L66" s="1237">
        <f>IF('[1]BASE'!FV66=0,"",'[1]BASE'!FV66)</f>
      </c>
      <c r="M66" s="1237">
        <f>IF('[1]BASE'!FW66=0,"",'[1]BASE'!FW66)</f>
      </c>
      <c r="N66" s="1237">
        <f>IF('[1]BASE'!FX66=0,"",'[1]BASE'!FX66)</f>
      </c>
      <c r="O66" s="1237">
        <f>IF('[1]BASE'!FY66=0,"",'[1]BASE'!FY66)</f>
      </c>
      <c r="P66" s="1237">
        <f>IF('[1]BASE'!FZ66=0,"",'[1]BASE'!FZ66)</f>
      </c>
      <c r="Q66" s="1237">
        <f>IF('[1]BASE'!GA66=0,"",'[1]BASE'!GA66)</f>
      </c>
      <c r="R66" s="1237">
        <f>IF('[1]BASE'!GB66=0,"",'[1]BASE'!GB66)</f>
      </c>
      <c r="S66" s="1237">
        <f>IF('[1]BASE'!GC66=0,"",'[1]BASE'!GC66)</f>
      </c>
      <c r="T66" s="1238"/>
      <c r="U66" s="1234"/>
    </row>
    <row r="67" spans="2:21" s="1228" customFormat="1" ht="19.5" customHeight="1">
      <c r="B67" s="1229"/>
      <c r="C67" s="1241">
        <f>IF('[1]BASE'!C67=0,"",'[1]BASE'!C67)</f>
        <v>50</v>
      </c>
      <c r="D67" s="1241" t="str">
        <f>IF('[1]BASE'!D67=0,"",'[1]BASE'!D67)</f>
        <v>RAMALLO - SAN NICOLAS (2)</v>
      </c>
      <c r="E67" s="1241">
        <f>IF('[1]BASE'!E67=0,"",'[1]BASE'!E67)</f>
        <v>220</v>
      </c>
      <c r="F67" s="1241">
        <f>IF('[1]BASE'!F67=0,"",'[1]BASE'!F67)</f>
        <v>6</v>
      </c>
      <c r="G67" s="1242" t="str">
        <f>IF('[1]BASE'!G67=0,"",'[1]BASE'!G67)</f>
        <v>C</v>
      </c>
      <c r="H67" s="1237">
        <f>IF('[1]BASE'!FR67=0,"",'[1]BASE'!FR67)</f>
      </c>
      <c r="I67" s="1237">
        <f>IF('[1]BASE'!FS67=0,"",'[1]BASE'!FS67)</f>
      </c>
      <c r="J67" s="1237">
        <f>IF('[1]BASE'!FT67=0,"",'[1]BASE'!FT67)</f>
      </c>
      <c r="K67" s="1237">
        <f>IF('[1]BASE'!FU67=0,"",'[1]BASE'!FU67)</f>
      </c>
      <c r="L67" s="1237">
        <f>IF('[1]BASE'!FV67=0,"",'[1]BASE'!FV67)</f>
      </c>
      <c r="M67" s="1237">
        <f>IF('[1]BASE'!FW67=0,"",'[1]BASE'!FW67)</f>
      </c>
      <c r="N67" s="1237">
        <f>IF('[1]BASE'!FX67=0,"",'[1]BASE'!FX67)</f>
      </c>
      <c r="O67" s="1237">
        <f>IF('[1]BASE'!FY67=0,"",'[1]BASE'!FY67)</f>
      </c>
      <c r="P67" s="1237">
        <f>IF('[1]BASE'!FZ67=0,"",'[1]BASE'!FZ67)</f>
      </c>
      <c r="Q67" s="1237">
        <f>IF('[1]BASE'!GA67=0,"",'[1]BASE'!GA67)</f>
      </c>
      <c r="R67" s="1237">
        <f>IF('[1]BASE'!GB67=0,"",'[1]BASE'!GB67)</f>
      </c>
      <c r="S67" s="1237">
        <f>IF('[1]BASE'!GC67=0,"",'[1]BASE'!GC67)</f>
      </c>
      <c r="T67" s="1238"/>
      <c r="U67" s="1234"/>
    </row>
    <row r="68" spans="2:21" s="1228" customFormat="1" ht="19.5" customHeight="1">
      <c r="B68" s="1229"/>
      <c r="C68" s="1239">
        <f>IF('[1]BASE'!C68=0,"",'[1]BASE'!C68)</f>
        <v>51</v>
      </c>
      <c r="D68" s="1239" t="str">
        <f>IF('[1]BASE'!D68=0,"",'[1]BASE'!D68)</f>
        <v>RAMALLO - SAN NICOLAS (1)</v>
      </c>
      <c r="E68" s="1239">
        <f>IF('[1]BASE'!E68=0,"",'[1]BASE'!E68)</f>
        <v>220</v>
      </c>
      <c r="F68" s="1239">
        <f>IF('[1]BASE'!F68=0,"",'[1]BASE'!F68)</f>
        <v>6</v>
      </c>
      <c r="G68" s="1240" t="str">
        <f>IF('[1]BASE'!G68=0,"",'[1]BASE'!G68)</f>
        <v>C</v>
      </c>
      <c r="H68" s="1237">
        <f>IF('[1]BASE'!FR68=0,"",'[1]BASE'!FR68)</f>
        <v>1</v>
      </c>
      <c r="I68" s="1237">
        <f>IF('[1]BASE'!FS68=0,"",'[1]BASE'!FS68)</f>
      </c>
      <c r="J68" s="1237">
        <f>IF('[1]BASE'!FT68=0,"",'[1]BASE'!FT68)</f>
      </c>
      <c r="K68" s="1237">
        <f>IF('[1]BASE'!FU68=0,"",'[1]BASE'!FU68)</f>
      </c>
      <c r="L68" s="1237">
        <f>IF('[1]BASE'!FV68=0,"",'[1]BASE'!FV68)</f>
      </c>
      <c r="M68" s="1237">
        <f>IF('[1]BASE'!FW68=0,"",'[1]BASE'!FW68)</f>
      </c>
      <c r="N68" s="1237">
        <f>IF('[1]BASE'!FX68=0,"",'[1]BASE'!FX68)</f>
      </c>
      <c r="O68" s="1237">
        <f>IF('[1]BASE'!FY68=0,"",'[1]BASE'!FY68)</f>
      </c>
      <c r="P68" s="1237">
        <f>IF('[1]BASE'!FZ68=0,"",'[1]BASE'!FZ68)</f>
      </c>
      <c r="Q68" s="1237">
        <f>IF('[1]BASE'!GA68=0,"",'[1]BASE'!GA68)</f>
      </c>
      <c r="R68" s="1237">
        <f>IF('[1]BASE'!GB68=0,"",'[1]BASE'!GB68)</f>
      </c>
      <c r="S68" s="1237">
        <f>IF('[1]BASE'!GC68=0,"",'[1]BASE'!GC68)</f>
      </c>
      <c r="T68" s="1238"/>
      <c r="U68" s="1234"/>
    </row>
    <row r="69" spans="2:21" s="1228" customFormat="1" ht="19.5" customHeight="1">
      <c r="B69" s="1229"/>
      <c r="C69" s="1241">
        <f>IF('[1]BASE'!C69=0,"",'[1]BASE'!C69)</f>
        <v>52</v>
      </c>
      <c r="D69" s="1241" t="str">
        <f>IF('[1]BASE'!D69=0,"",'[1]BASE'!D69)</f>
        <v>RAMALLO - VILLA LIA  1</v>
      </c>
      <c r="E69" s="1241">
        <f>IF('[1]BASE'!E69=0,"",'[1]BASE'!E69)</f>
        <v>220</v>
      </c>
      <c r="F69" s="1242">
        <f>IF('[1]BASE'!F69=0,"",'[1]BASE'!F69)</f>
        <v>114</v>
      </c>
      <c r="G69" s="1242" t="str">
        <f>IF('[1]BASE'!G69=0,"",'[1]BASE'!G69)</f>
        <v>C</v>
      </c>
      <c r="H69" s="1237">
        <f>IF('[1]BASE'!FR69=0,"",'[1]BASE'!FR69)</f>
      </c>
      <c r="I69" s="1237">
        <f>IF('[1]BASE'!FS69=0,"",'[1]BASE'!FS69)</f>
      </c>
      <c r="J69" s="1237">
        <f>IF('[1]BASE'!FT69=0,"",'[1]BASE'!FT69)</f>
      </c>
      <c r="K69" s="1237">
        <f>IF('[1]BASE'!FU69=0,"",'[1]BASE'!FU69)</f>
      </c>
      <c r="L69" s="1237">
        <f>IF('[1]BASE'!FV69=0,"",'[1]BASE'!FV69)</f>
      </c>
      <c r="M69" s="1237">
        <f>IF('[1]BASE'!FW69=0,"",'[1]BASE'!FW69)</f>
      </c>
      <c r="N69" s="1237">
        <f>IF('[1]BASE'!FX69=0,"",'[1]BASE'!FX69)</f>
      </c>
      <c r="O69" s="1237">
        <f>IF('[1]BASE'!FY69=0,"",'[1]BASE'!FY69)</f>
      </c>
      <c r="P69" s="1237">
        <f>IF('[1]BASE'!FZ69=0,"",'[1]BASE'!FZ69)</f>
      </c>
      <c r="Q69" s="1237">
        <f>IF('[1]BASE'!GA69=0,"",'[1]BASE'!GA69)</f>
        <v>1</v>
      </c>
      <c r="R69" s="1237">
        <f>IF('[1]BASE'!GB69=0,"",'[1]BASE'!GB69)</f>
      </c>
      <c r="S69" s="1237">
        <f>IF('[1]BASE'!GC69=0,"",'[1]BASE'!GC69)</f>
      </c>
      <c r="T69" s="1238"/>
      <c r="U69" s="1234"/>
    </row>
    <row r="70" spans="2:21" s="1228" customFormat="1" ht="19.5" customHeight="1">
      <c r="B70" s="1229"/>
      <c r="C70" s="1239">
        <f>IF('[1]BASE'!C70=0,"",'[1]BASE'!C70)</f>
        <v>53</v>
      </c>
      <c r="D70" s="1239" t="str">
        <f>IF('[1]BASE'!D70=0,"",'[1]BASE'!D70)</f>
        <v>RAMALLO - VILLA LIA  2</v>
      </c>
      <c r="E70" s="1239">
        <f>IF('[1]BASE'!E70=0,"",'[1]BASE'!E70)</f>
        <v>220</v>
      </c>
      <c r="F70" s="1240">
        <f>IF('[1]BASE'!F70=0,"",'[1]BASE'!F70)</f>
        <v>114</v>
      </c>
      <c r="G70" s="1240" t="str">
        <f>IF('[1]BASE'!G70=0,"",'[1]BASE'!G70)</f>
        <v>C</v>
      </c>
      <c r="H70" s="1237">
        <f>IF('[1]BASE'!FR70=0,"",'[1]BASE'!FR70)</f>
      </c>
      <c r="I70" s="1237">
        <f>IF('[1]BASE'!FS70=0,"",'[1]BASE'!FS70)</f>
      </c>
      <c r="J70" s="1237">
        <f>IF('[1]BASE'!FT70=0,"",'[1]BASE'!FT70)</f>
      </c>
      <c r="K70" s="1237">
        <f>IF('[1]BASE'!FU70=0,"",'[1]BASE'!FU70)</f>
      </c>
      <c r="L70" s="1237">
        <f>IF('[1]BASE'!FV70=0,"",'[1]BASE'!FV70)</f>
      </c>
      <c r="M70" s="1237">
        <f>IF('[1]BASE'!FW70=0,"",'[1]BASE'!FW70)</f>
      </c>
      <c r="N70" s="1237">
        <f>IF('[1]BASE'!FX70=0,"",'[1]BASE'!FX70)</f>
        <v>1</v>
      </c>
      <c r="O70" s="1237">
        <f>IF('[1]BASE'!FY70=0,"",'[1]BASE'!FY70)</f>
      </c>
      <c r="P70" s="1237">
        <f>IF('[1]BASE'!FZ70=0,"",'[1]BASE'!FZ70)</f>
      </c>
      <c r="Q70" s="1237">
        <f>IF('[1]BASE'!GA70=0,"",'[1]BASE'!GA70)</f>
      </c>
      <c r="R70" s="1237">
        <f>IF('[1]BASE'!GB70=0,"",'[1]BASE'!GB70)</f>
      </c>
      <c r="S70" s="1237">
        <f>IF('[1]BASE'!GC70=0,"",'[1]BASE'!GC70)</f>
      </c>
      <c r="T70" s="1238"/>
      <c r="U70" s="1234"/>
    </row>
    <row r="71" spans="2:21" s="1228" customFormat="1" ht="19.5" customHeight="1">
      <c r="B71" s="1229"/>
      <c r="C71" s="1241">
        <f>IF('[1]BASE'!C71=0,"",'[1]BASE'!C71)</f>
        <v>54</v>
      </c>
      <c r="D71" s="1241" t="str">
        <f>IF('[1]BASE'!D71=0,"",'[1]BASE'!D71)</f>
        <v>ROSARIO OESTE - RAMALLO  1</v>
      </c>
      <c r="E71" s="1241">
        <f>IF('[1]BASE'!E71=0,"",'[1]BASE'!E71)</f>
        <v>220</v>
      </c>
      <c r="F71" s="1242">
        <f>IF('[1]BASE'!F71=0,"",'[1]BASE'!F71)</f>
        <v>77</v>
      </c>
      <c r="G71" s="1242" t="str">
        <f>IF('[1]BASE'!G71=0,"",'[1]BASE'!G71)</f>
        <v>C</v>
      </c>
      <c r="H71" s="1237">
        <f>IF('[1]BASE'!FR71=0,"",'[1]BASE'!FR71)</f>
        <v>1</v>
      </c>
      <c r="I71" s="1237">
        <f>IF('[1]BASE'!FS71=0,"",'[1]BASE'!FS71)</f>
      </c>
      <c r="J71" s="1237">
        <f>IF('[1]BASE'!FT71=0,"",'[1]BASE'!FT71)</f>
      </c>
      <c r="K71" s="1237">
        <f>IF('[1]BASE'!FU71=0,"",'[1]BASE'!FU71)</f>
      </c>
      <c r="L71" s="1237">
        <f>IF('[1]BASE'!FV71=0,"",'[1]BASE'!FV71)</f>
      </c>
      <c r="M71" s="1237">
        <f>IF('[1]BASE'!FW71=0,"",'[1]BASE'!FW71)</f>
      </c>
      <c r="N71" s="1237">
        <f>IF('[1]BASE'!FX71=0,"",'[1]BASE'!FX71)</f>
      </c>
      <c r="O71" s="1237">
        <f>IF('[1]BASE'!FY71=0,"",'[1]BASE'!FY71)</f>
      </c>
      <c r="P71" s="1237">
        <f>IF('[1]BASE'!FZ71=0,"",'[1]BASE'!FZ71)</f>
      </c>
      <c r="Q71" s="1237">
        <f>IF('[1]BASE'!GA71=0,"",'[1]BASE'!GA71)</f>
      </c>
      <c r="R71" s="1237">
        <f>IF('[1]BASE'!GB71=0,"",'[1]BASE'!GB71)</f>
      </c>
      <c r="S71" s="1237">
        <f>IF('[1]BASE'!GC71=0,"",'[1]BASE'!GC71)</f>
      </c>
      <c r="T71" s="1238"/>
      <c r="U71" s="1234"/>
    </row>
    <row r="72" spans="2:21" s="1228" customFormat="1" ht="19.5" customHeight="1">
      <c r="B72" s="1229"/>
      <c r="C72" s="1239">
        <f>IF('[1]BASE'!C72=0,"",'[1]BASE'!C72)</f>
        <v>55</v>
      </c>
      <c r="D72" s="1239" t="str">
        <f>IF('[1]BASE'!D72=0,"",'[1]BASE'!D72)</f>
        <v>ROSARIO OESTE - RAMALLO  2</v>
      </c>
      <c r="E72" s="1239">
        <f>IF('[1]BASE'!E72=0,"",'[1]BASE'!E72)</f>
        <v>220</v>
      </c>
      <c r="F72" s="1240">
        <f>IF('[1]BASE'!F72=0,"",'[1]BASE'!F72)</f>
        <v>77</v>
      </c>
      <c r="G72" s="1240" t="str">
        <f>IF('[1]BASE'!G72=0,"",'[1]BASE'!G72)</f>
        <v>C</v>
      </c>
      <c r="H72" s="1237">
        <f>IF('[1]BASE'!FR72=0,"",'[1]BASE'!FR72)</f>
      </c>
      <c r="I72" s="1237">
        <f>IF('[1]BASE'!FS72=0,"",'[1]BASE'!FS72)</f>
      </c>
      <c r="J72" s="1237">
        <f>IF('[1]BASE'!FT72=0,"",'[1]BASE'!FT72)</f>
      </c>
      <c r="K72" s="1237">
        <f>IF('[1]BASE'!FU72=0,"",'[1]BASE'!FU72)</f>
      </c>
      <c r="L72" s="1237">
        <f>IF('[1]BASE'!FV72=0,"",'[1]BASE'!FV72)</f>
      </c>
      <c r="M72" s="1237">
        <f>IF('[1]BASE'!FW72=0,"",'[1]BASE'!FW72)</f>
      </c>
      <c r="N72" s="1237">
        <f>IF('[1]BASE'!FX72=0,"",'[1]BASE'!FX72)</f>
      </c>
      <c r="O72" s="1237">
        <f>IF('[1]BASE'!FY72=0,"",'[1]BASE'!FY72)</f>
      </c>
      <c r="P72" s="1237">
        <f>IF('[1]BASE'!FZ72=0,"",'[1]BASE'!FZ72)</f>
      </c>
      <c r="Q72" s="1237">
        <f>IF('[1]BASE'!GA72=0,"",'[1]BASE'!GA72)</f>
      </c>
      <c r="R72" s="1237">
        <f>IF('[1]BASE'!GB72=0,"",'[1]BASE'!GB72)</f>
      </c>
      <c r="S72" s="1237">
        <f>IF('[1]BASE'!GC72=0,"",'[1]BASE'!GC72)</f>
      </c>
      <c r="T72" s="1238"/>
      <c r="U72" s="1234"/>
    </row>
    <row r="73" spans="2:21" s="1228" customFormat="1" ht="19.5" customHeight="1">
      <c r="B73" s="1229"/>
      <c r="C73" s="1241">
        <f>IF('[1]BASE'!C73=0,"",'[1]BASE'!C73)</f>
        <v>56</v>
      </c>
      <c r="D73" s="1241" t="str">
        <f>IF('[1]BASE'!D73=0,"",'[1]BASE'!D73)</f>
        <v>VILLA LIA - ATUCHA 1</v>
      </c>
      <c r="E73" s="1241">
        <f>IF('[1]BASE'!E73=0,"",'[1]BASE'!E73)</f>
        <v>220</v>
      </c>
      <c r="F73" s="1241">
        <f>IF('[1]BASE'!F73=0,"",'[1]BASE'!F73)</f>
        <v>26</v>
      </c>
      <c r="G73" s="1242" t="str">
        <f>IF('[1]BASE'!G73=0,"",'[1]BASE'!G73)</f>
        <v>C</v>
      </c>
      <c r="H73" s="1237">
        <f>IF('[1]BASE'!FR73=0,"",'[1]BASE'!FR73)</f>
      </c>
      <c r="I73" s="1237">
        <f>IF('[1]BASE'!FS73=0,"",'[1]BASE'!FS73)</f>
      </c>
      <c r="J73" s="1237">
        <f>IF('[1]BASE'!FT73=0,"",'[1]BASE'!FT73)</f>
      </c>
      <c r="K73" s="1237">
        <f>IF('[1]BASE'!FU73=0,"",'[1]BASE'!FU73)</f>
      </c>
      <c r="L73" s="1237">
        <f>IF('[1]BASE'!FV73=0,"",'[1]BASE'!FV73)</f>
      </c>
      <c r="M73" s="1237">
        <f>IF('[1]BASE'!FW73=0,"",'[1]BASE'!FW73)</f>
      </c>
      <c r="N73" s="1237">
        <f>IF('[1]BASE'!FX73=0,"",'[1]BASE'!FX73)</f>
        <v>2</v>
      </c>
      <c r="O73" s="1237">
        <f>IF('[1]BASE'!FY73=0,"",'[1]BASE'!FY73)</f>
      </c>
      <c r="P73" s="1237">
        <f>IF('[1]BASE'!FZ73=0,"",'[1]BASE'!FZ73)</f>
      </c>
      <c r="Q73" s="1237">
        <f>IF('[1]BASE'!GA73=0,"",'[1]BASE'!GA73)</f>
      </c>
      <c r="R73" s="1237">
        <f>IF('[1]BASE'!GB73=0,"",'[1]BASE'!GB73)</f>
      </c>
      <c r="S73" s="1237">
        <f>IF('[1]BASE'!GC73=0,"",'[1]BASE'!GC73)</f>
      </c>
      <c r="T73" s="1238"/>
      <c r="U73" s="1234"/>
    </row>
    <row r="74" spans="2:21" s="1228" customFormat="1" ht="19.5" customHeight="1">
      <c r="B74" s="1229"/>
      <c r="C74" s="1239">
        <f>IF('[1]BASE'!C74=0,"",'[1]BASE'!C74)</f>
        <v>57</v>
      </c>
      <c r="D74" s="1239" t="str">
        <f>IF('[1]BASE'!D74=0,"",'[1]BASE'!D74)</f>
        <v>VILLA LIA - ATUCHA 2</v>
      </c>
      <c r="E74" s="1239">
        <f>IF('[1]BASE'!E74=0,"",'[1]BASE'!E74)</f>
        <v>220</v>
      </c>
      <c r="F74" s="1239">
        <f>IF('[1]BASE'!F74=0,"",'[1]BASE'!F74)</f>
        <v>26</v>
      </c>
      <c r="G74" s="1240" t="str">
        <f>IF('[1]BASE'!G74=0,"",'[1]BASE'!G74)</f>
        <v>C</v>
      </c>
      <c r="H74" s="1237">
        <f>IF('[1]BASE'!FR74=0,"",'[1]BASE'!FR74)</f>
      </c>
      <c r="I74" s="1237">
        <f>IF('[1]BASE'!FS74=0,"",'[1]BASE'!FS74)</f>
      </c>
      <c r="J74" s="1237">
        <f>IF('[1]BASE'!FT74=0,"",'[1]BASE'!FT74)</f>
      </c>
      <c r="K74" s="1237">
        <f>IF('[1]BASE'!FU74=0,"",'[1]BASE'!FU74)</f>
      </c>
      <c r="L74" s="1237">
        <f>IF('[1]BASE'!FV74=0,"",'[1]BASE'!FV74)</f>
      </c>
      <c r="M74" s="1237">
        <f>IF('[1]BASE'!FW74=0,"",'[1]BASE'!FW74)</f>
      </c>
      <c r="N74" s="1237">
        <f>IF('[1]BASE'!FX74=0,"",'[1]BASE'!FX74)</f>
        <v>1</v>
      </c>
      <c r="O74" s="1237">
        <f>IF('[1]BASE'!FY74=0,"",'[1]BASE'!FY74)</f>
      </c>
      <c r="P74" s="1237">
        <f>IF('[1]BASE'!FZ74=0,"",'[1]BASE'!FZ74)</f>
      </c>
      <c r="Q74" s="1237">
        <f>IF('[1]BASE'!GA74=0,"",'[1]BASE'!GA74)</f>
      </c>
      <c r="R74" s="1237">
        <f>IF('[1]BASE'!GB74=0,"",'[1]BASE'!GB74)</f>
      </c>
      <c r="S74" s="1237">
        <f>IF('[1]BASE'!GC74=0,"",'[1]BASE'!GC74)</f>
      </c>
      <c r="T74" s="1238"/>
      <c r="U74" s="1234"/>
    </row>
    <row r="75" spans="2:21" s="1228" customFormat="1" ht="9.75" customHeight="1">
      <c r="B75" s="1229"/>
      <c r="C75" s="1241">
        <f>IF('[1]BASE'!C75=0,"",'[1]BASE'!C75)</f>
      </c>
      <c r="D75" s="1241">
        <f>IF('[1]BASE'!D75=0,"",'[1]BASE'!D75)</f>
      </c>
      <c r="E75" s="1241">
        <f>IF('[1]BASE'!E75=0,"",'[1]BASE'!E75)</f>
      </c>
      <c r="F75" s="1241">
        <f>IF('[1]BASE'!F75=0,"",'[1]BASE'!F75)</f>
      </c>
      <c r="G75" s="1242">
        <f>IF('[1]BASE'!G75=0,"",'[1]BASE'!G75)</f>
      </c>
      <c r="H75" s="1237">
        <f>IF('[1]BASE'!FR75=0,"",'[1]BASE'!FR75)</f>
      </c>
      <c r="I75" s="1237">
        <f>IF('[1]BASE'!FS75=0,"",'[1]BASE'!FS75)</f>
      </c>
      <c r="J75" s="1237">
        <f>IF('[1]BASE'!FT75=0,"",'[1]BASE'!FT75)</f>
      </c>
      <c r="K75" s="1237">
        <f>IF('[1]BASE'!FU75=0,"",'[1]BASE'!FU75)</f>
      </c>
      <c r="L75" s="1237">
        <f>IF('[1]BASE'!FV75=0,"",'[1]BASE'!FV75)</f>
      </c>
      <c r="M75" s="1237">
        <f>IF('[1]BASE'!FW75=0,"",'[1]BASE'!FW75)</f>
      </c>
      <c r="N75" s="1237">
        <f>IF('[1]BASE'!FX75=0,"",'[1]BASE'!FX75)</f>
      </c>
      <c r="O75" s="1237">
        <f>IF('[1]BASE'!FY75=0,"",'[1]BASE'!FY75)</f>
      </c>
      <c r="P75" s="1237">
        <f>IF('[1]BASE'!FZ75=0,"",'[1]BASE'!FZ75)</f>
      </c>
      <c r="Q75" s="1237">
        <f>IF('[1]BASE'!GA75=0,"",'[1]BASE'!GA75)</f>
      </c>
      <c r="R75" s="1237">
        <f>IF('[1]BASE'!GB75=0,"",'[1]BASE'!GB75)</f>
      </c>
      <c r="S75" s="1237">
        <f>IF('[1]BASE'!GC75=0,"",'[1]BASE'!GC75)</f>
      </c>
      <c r="T75" s="1238"/>
      <c r="U75" s="1234"/>
    </row>
    <row r="76" spans="2:21" s="1228" customFormat="1" ht="19.5" customHeight="1">
      <c r="B76" s="1229"/>
      <c r="C76" s="1239">
        <f>IF('[1]BASE'!C76=0,"",'[1]BASE'!C76)</f>
        <v>58</v>
      </c>
      <c r="D76" s="1239" t="str">
        <f>IF('[1]BASE'!D76=0,"",'[1]BASE'!D76)</f>
        <v>GRAL RODRIGUEZ - RAMALLO</v>
      </c>
      <c r="E76" s="1239">
        <f>IF('[1]BASE'!E76=0,"",'[1]BASE'!E76)</f>
        <v>500</v>
      </c>
      <c r="F76" s="1240">
        <f>IF('[1]BASE'!F76=0,"",'[1]BASE'!F76)</f>
        <v>183.9</v>
      </c>
      <c r="G76" s="1240" t="str">
        <f>IF('[1]BASE'!G76=0,"",'[1]BASE'!G76)</f>
        <v>C</v>
      </c>
      <c r="H76" s="1237">
        <f>IF('[1]BASE'!FR76=0,"",'[1]BASE'!FR76)</f>
      </c>
      <c r="I76" s="1237">
        <f>IF('[1]BASE'!FS76=0,"",'[1]BASE'!FS76)</f>
      </c>
      <c r="J76" s="1237">
        <f>IF('[1]BASE'!FT76=0,"",'[1]BASE'!FT76)</f>
      </c>
      <c r="K76" s="1237">
        <f>IF('[1]BASE'!FU76=0,"",'[1]BASE'!FU76)</f>
      </c>
      <c r="L76" s="1237">
        <f>IF('[1]BASE'!FV76=0,"",'[1]BASE'!FV76)</f>
      </c>
      <c r="M76" s="1237">
        <f>IF('[1]BASE'!FW76=0,"",'[1]BASE'!FW76)</f>
      </c>
      <c r="N76" s="1237">
        <f>IF('[1]BASE'!FX76=0,"",'[1]BASE'!FX76)</f>
      </c>
      <c r="O76" s="1237">
        <f>IF('[1]BASE'!FY76=0,"",'[1]BASE'!FY76)</f>
      </c>
      <c r="P76" s="1237">
        <f>IF('[1]BASE'!FZ76=0,"",'[1]BASE'!FZ76)</f>
      </c>
      <c r="Q76" s="1237">
        <f>IF('[1]BASE'!GA76=0,"",'[1]BASE'!GA76)</f>
      </c>
      <c r="R76" s="1237">
        <f>IF('[1]BASE'!GB76=0,"",'[1]BASE'!GB76)</f>
      </c>
      <c r="S76" s="1237">
        <f>IF('[1]BASE'!GC76=0,"",'[1]BASE'!GC76)</f>
        <v>1</v>
      </c>
      <c r="T76" s="1238"/>
      <c r="U76" s="1234"/>
    </row>
    <row r="77" spans="2:21" s="1228" customFormat="1" ht="19.5" customHeight="1">
      <c r="B77" s="1229"/>
      <c r="C77" s="1241">
        <f>IF('[1]BASE'!C77=0,"",'[1]BASE'!C77)</f>
        <v>59</v>
      </c>
      <c r="D77" s="1241" t="str">
        <f>IF('[1]BASE'!D77=0,"",'[1]BASE'!D77)</f>
        <v>RAMALLO - ROSARIO OESTE</v>
      </c>
      <c r="E77" s="1241">
        <f>IF('[1]BASE'!E77=0,"",'[1]BASE'!E77)</f>
        <v>500</v>
      </c>
      <c r="F77" s="1242">
        <f>IF('[1]BASE'!F77=0,"",'[1]BASE'!F77)</f>
        <v>77</v>
      </c>
      <c r="G77" s="1242" t="str">
        <f>IF('[1]BASE'!G77=0,"",'[1]BASE'!G77)</f>
        <v>C</v>
      </c>
      <c r="H77" s="1237">
        <f>IF('[1]BASE'!FR77=0,"",'[1]BASE'!FR77)</f>
      </c>
      <c r="I77" s="1237">
        <f>IF('[1]BASE'!FS77=0,"",'[1]BASE'!FS77)</f>
      </c>
      <c r="J77" s="1237">
        <f>IF('[1]BASE'!FT77=0,"",'[1]BASE'!FT77)</f>
      </c>
      <c r="K77" s="1237">
        <f>IF('[1]BASE'!FU77=0,"",'[1]BASE'!FU77)</f>
      </c>
      <c r="L77" s="1237">
        <f>IF('[1]BASE'!FV77=0,"",'[1]BASE'!FV77)</f>
      </c>
      <c r="M77" s="1237">
        <f>IF('[1]BASE'!FW77=0,"",'[1]BASE'!FW77)</f>
      </c>
      <c r="N77" s="1237">
        <f>IF('[1]BASE'!FX77=0,"",'[1]BASE'!FX77)</f>
      </c>
      <c r="O77" s="1237">
        <f>IF('[1]BASE'!FY77=0,"",'[1]BASE'!FY77)</f>
      </c>
      <c r="P77" s="1237">
        <f>IF('[1]BASE'!FZ77=0,"",'[1]BASE'!FZ77)</f>
      </c>
      <c r="Q77" s="1237">
        <f>IF('[1]BASE'!GA77=0,"",'[1]BASE'!GA77)</f>
      </c>
      <c r="R77" s="1237">
        <f>IF('[1]BASE'!GB77=0,"",'[1]BASE'!GB77)</f>
      </c>
      <c r="S77" s="1237">
        <f>IF('[1]BASE'!GC77=0,"",'[1]BASE'!GC77)</f>
      </c>
      <c r="T77" s="1238"/>
      <c r="U77" s="1234"/>
    </row>
    <row r="78" spans="2:21" s="1228" customFormat="1" ht="19.5" customHeight="1">
      <c r="B78" s="1229"/>
      <c r="C78" s="1239">
        <f>IF('[1]BASE'!C78=0,"",'[1]BASE'!C78)</f>
        <v>60</v>
      </c>
      <c r="D78" s="1239" t="str">
        <f>IF('[1]BASE'!D78=0,"",'[1]BASE'!D78)</f>
        <v>MACACHIN - HENDERSON</v>
      </c>
      <c r="E78" s="1239">
        <f>IF('[1]BASE'!E78=0,"",'[1]BASE'!E78)</f>
        <v>500</v>
      </c>
      <c r="F78" s="1240">
        <f>IF('[1]BASE'!F78=0,"",'[1]BASE'!F78)</f>
        <v>194</v>
      </c>
      <c r="G78" s="1240" t="str">
        <f>IF('[1]BASE'!G78=0,"",'[1]BASE'!G78)</f>
        <v>A</v>
      </c>
      <c r="H78" s="1237">
        <f>IF('[1]BASE'!FR78=0,"",'[1]BASE'!FR78)</f>
      </c>
      <c r="I78" s="1237">
        <f>IF('[1]BASE'!FS78=0,"",'[1]BASE'!FS78)</f>
      </c>
      <c r="J78" s="1237">
        <f>IF('[1]BASE'!FT78=0,"",'[1]BASE'!FT78)</f>
      </c>
      <c r="K78" s="1237">
        <f>IF('[1]BASE'!FU78=0,"",'[1]BASE'!FU78)</f>
      </c>
      <c r="L78" s="1237">
        <f>IF('[1]BASE'!FV78=0,"",'[1]BASE'!FV78)</f>
      </c>
      <c r="M78" s="1237">
        <f>IF('[1]BASE'!FW78=0,"",'[1]BASE'!FW78)</f>
      </c>
      <c r="N78" s="1237">
        <f>IF('[1]BASE'!FX78=0,"",'[1]BASE'!FX78)</f>
      </c>
      <c r="O78" s="1237">
        <f>IF('[1]BASE'!FY78=0,"",'[1]BASE'!FY78)</f>
      </c>
      <c r="P78" s="1237">
        <f>IF('[1]BASE'!FZ78=0,"",'[1]BASE'!FZ78)</f>
      </c>
      <c r="Q78" s="1237">
        <f>IF('[1]BASE'!GA78=0,"",'[1]BASE'!GA78)</f>
      </c>
      <c r="R78" s="1237">
        <f>IF('[1]BASE'!GB78=0,"",'[1]BASE'!GB78)</f>
      </c>
      <c r="S78" s="1237">
        <f>IF('[1]BASE'!GC78=0,"",'[1]BASE'!GC78)</f>
      </c>
      <c r="T78" s="1238"/>
      <c r="U78" s="1234"/>
    </row>
    <row r="79" spans="2:21" s="1228" customFormat="1" ht="19.5" customHeight="1">
      <c r="B79" s="1229"/>
      <c r="C79" s="1241">
        <f>IF('[1]BASE'!C79=0,"",'[1]BASE'!C79)</f>
        <v>61</v>
      </c>
      <c r="D79" s="1241" t="str">
        <f>IF('[1]BASE'!D79=0,"",'[1]BASE'!D79)</f>
        <v>PUELCHES - MACACHIN</v>
      </c>
      <c r="E79" s="1241">
        <f>IF('[1]BASE'!E79=0,"",'[1]BASE'!E79)</f>
        <v>500</v>
      </c>
      <c r="F79" s="1241">
        <f>IF('[1]BASE'!F79=0,"",'[1]BASE'!F79)</f>
        <v>227</v>
      </c>
      <c r="G79" s="1242" t="str">
        <f>IF('[1]BASE'!G79=0,"",'[1]BASE'!G79)</f>
        <v>A</v>
      </c>
      <c r="H79" s="1237">
        <f>IF('[1]BASE'!FR79=0,"",'[1]BASE'!FR79)</f>
      </c>
      <c r="I79" s="1237">
        <f>IF('[1]BASE'!FS79=0,"",'[1]BASE'!FS79)</f>
      </c>
      <c r="J79" s="1237">
        <f>IF('[1]BASE'!FT79=0,"",'[1]BASE'!FT79)</f>
      </c>
      <c r="K79" s="1237">
        <f>IF('[1]BASE'!FU79=0,"",'[1]BASE'!FU79)</f>
      </c>
      <c r="L79" s="1237">
        <f>IF('[1]BASE'!FV79=0,"",'[1]BASE'!FV79)</f>
      </c>
      <c r="M79" s="1237">
        <f>IF('[1]BASE'!FW79=0,"",'[1]BASE'!FW79)</f>
      </c>
      <c r="N79" s="1237">
        <f>IF('[1]BASE'!FX79=0,"",'[1]BASE'!FX79)</f>
      </c>
      <c r="O79" s="1237">
        <f>IF('[1]BASE'!FY79=0,"",'[1]BASE'!FY79)</f>
      </c>
      <c r="P79" s="1237">
        <f>IF('[1]BASE'!FZ79=0,"",'[1]BASE'!FZ79)</f>
      </c>
      <c r="Q79" s="1237">
        <f>IF('[1]BASE'!GA79=0,"",'[1]BASE'!GA79)</f>
      </c>
      <c r="R79" s="1237">
        <f>IF('[1]BASE'!GB79=0,"",'[1]BASE'!GB79)</f>
      </c>
      <c r="S79" s="1237">
        <f>IF('[1]BASE'!GC79=0,"",'[1]BASE'!GC79)</f>
        <v>1</v>
      </c>
      <c r="T79" s="1238"/>
      <c r="U79" s="1234"/>
    </row>
    <row r="80" spans="2:21" s="1228" customFormat="1" ht="9.75" customHeight="1">
      <c r="B80" s="1229"/>
      <c r="C80" s="1239">
        <f>IF('[1]BASE'!C80=0,"",'[1]BASE'!C80)</f>
      </c>
      <c r="D80" s="1239">
        <f>IF('[1]BASE'!D80=0,"",'[1]BASE'!D80)</f>
      </c>
      <c r="E80" s="1239">
        <f>IF('[1]BASE'!E80=0,"",'[1]BASE'!E80)</f>
      </c>
      <c r="F80" s="1240">
        <f>IF('[1]BASE'!F80=0,"",'[1]BASE'!F80)</f>
      </c>
      <c r="G80" s="1240">
        <f>IF('[1]BASE'!G80=0,"",'[1]BASE'!G80)</f>
      </c>
      <c r="H80" s="1237">
        <f>IF('[1]BASE'!FR80=0,"",'[1]BASE'!FR80)</f>
      </c>
      <c r="I80" s="1237">
        <f>IF('[1]BASE'!FS80=0,"",'[1]BASE'!FS80)</f>
      </c>
      <c r="J80" s="1237">
        <f>IF('[1]BASE'!FT80=0,"",'[1]BASE'!FT80)</f>
      </c>
      <c r="K80" s="1237">
        <f>IF('[1]BASE'!FU80=0,"",'[1]BASE'!FU80)</f>
      </c>
      <c r="L80" s="1237">
        <f>IF('[1]BASE'!FV80=0,"",'[1]BASE'!FV80)</f>
      </c>
      <c r="M80" s="1237">
        <f>IF('[1]BASE'!FW80=0,"",'[1]BASE'!FW80)</f>
      </c>
      <c r="N80" s="1237">
        <f>IF('[1]BASE'!FX80=0,"",'[1]BASE'!FX80)</f>
      </c>
      <c r="O80" s="1237">
        <f>IF('[1]BASE'!FY80=0,"",'[1]BASE'!FY80)</f>
      </c>
      <c r="P80" s="1237">
        <f>IF('[1]BASE'!FZ80=0,"",'[1]BASE'!FZ80)</f>
      </c>
      <c r="Q80" s="1237">
        <f>IF('[1]BASE'!GA80=0,"",'[1]BASE'!GA80)</f>
      </c>
      <c r="R80" s="1237">
        <f>IF('[1]BASE'!GB80=0,"",'[1]BASE'!GB80)</f>
      </c>
      <c r="S80" s="1237">
        <f>IF('[1]BASE'!GC80=0,"",'[1]BASE'!GC80)</f>
      </c>
      <c r="T80" s="1238"/>
      <c r="U80" s="1234"/>
    </row>
    <row r="81" spans="2:21" s="1228" customFormat="1" ht="9.75" customHeight="1">
      <c r="B81" s="1229"/>
      <c r="C81" s="1241">
        <f>IF('[1]BASE'!C81=0,"",'[1]BASE'!C81)</f>
      </c>
      <c r="D81" s="1241">
        <f>IF('[1]BASE'!D81=0,"",'[1]BASE'!D81)</f>
      </c>
      <c r="E81" s="1241">
        <f>IF('[1]BASE'!E81=0,"",'[1]BASE'!E81)</f>
      </c>
      <c r="F81" s="1242">
        <f>IF('[1]BASE'!F81=0,"",'[1]BASE'!F81)</f>
      </c>
      <c r="G81" s="1242">
        <f>IF('[1]BASE'!G81=0,"",'[1]BASE'!G81)</f>
      </c>
      <c r="H81" s="1237">
        <f>IF('[1]BASE'!FR81=0,"",'[1]BASE'!FR81)</f>
      </c>
      <c r="I81" s="1237">
        <f>IF('[1]BASE'!FS81=0,"",'[1]BASE'!FS81)</f>
      </c>
      <c r="J81" s="1237">
        <f>IF('[1]BASE'!FT81=0,"",'[1]BASE'!FT81)</f>
      </c>
      <c r="K81" s="1237">
        <f>IF('[1]BASE'!FU81=0,"",'[1]BASE'!FU81)</f>
      </c>
      <c r="L81" s="1237">
        <f>IF('[1]BASE'!FV81=0,"",'[1]BASE'!FV81)</f>
      </c>
      <c r="M81" s="1237">
        <f>IF('[1]BASE'!FW81=0,"",'[1]BASE'!FW81)</f>
      </c>
      <c r="N81" s="1237">
        <f>IF('[1]BASE'!FX81=0,"",'[1]BASE'!FX81)</f>
      </c>
      <c r="O81" s="1237">
        <f>IF('[1]BASE'!FY81=0,"",'[1]BASE'!FY81)</f>
      </c>
      <c r="P81" s="1237">
        <f>IF('[1]BASE'!FZ81=0,"",'[1]BASE'!FZ81)</f>
      </c>
      <c r="Q81" s="1237">
        <f>IF('[1]BASE'!GA81=0,"",'[1]BASE'!GA81)</f>
      </c>
      <c r="R81" s="1237">
        <f>IF('[1]BASE'!GB81=0,"",'[1]BASE'!GB81)</f>
      </c>
      <c r="S81" s="1237">
        <f>IF('[1]BASE'!GC81=0,"",'[1]BASE'!GC81)</f>
      </c>
      <c r="T81" s="1238"/>
      <c r="U81" s="1234"/>
    </row>
    <row r="82" spans="2:21" s="1228" customFormat="1" ht="19.5" customHeight="1">
      <c r="B82" s="1229"/>
      <c r="C82" s="1239">
        <f>IF('[1]BASE'!C82=0,"",'[1]BASE'!C82)</f>
        <v>62</v>
      </c>
      <c r="D82" s="1239" t="str">
        <f>IF('[1]BASE'!D82=0,"",'[1]BASE'!D82)</f>
        <v>YACYRETÁ - RINCON I</v>
      </c>
      <c r="E82" s="1239">
        <f>IF('[1]BASE'!E82=0,"",'[1]BASE'!E82)</f>
        <v>500</v>
      </c>
      <c r="F82" s="1240">
        <f>IF('[1]BASE'!F82=0,"",'[1]BASE'!F82)</f>
        <v>3.6</v>
      </c>
      <c r="G82" s="1240" t="str">
        <f>IF('[1]BASE'!G82=0,"",'[1]BASE'!G82)</f>
        <v>B</v>
      </c>
      <c r="H82" s="1237">
        <f>IF('[1]BASE'!FR82=0,"",'[1]BASE'!FR82)</f>
      </c>
      <c r="I82" s="1237">
        <f>IF('[1]BASE'!FS82=0,"",'[1]BASE'!FS82)</f>
      </c>
      <c r="J82" s="1237">
        <f>IF('[1]BASE'!FT82=0,"",'[1]BASE'!FT82)</f>
      </c>
      <c r="K82" s="1237">
        <f>IF('[1]BASE'!FU82=0,"",'[1]BASE'!FU82)</f>
      </c>
      <c r="L82" s="1237">
        <f>IF('[1]BASE'!FV82=0,"",'[1]BASE'!FV82)</f>
      </c>
      <c r="M82" s="1237">
        <f>IF('[1]BASE'!FW82=0,"",'[1]BASE'!FW82)</f>
      </c>
      <c r="N82" s="1237">
        <f>IF('[1]BASE'!FX82=0,"",'[1]BASE'!FX82)</f>
      </c>
      <c r="O82" s="1237">
        <f>IF('[1]BASE'!FY82=0,"",'[1]BASE'!FY82)</f>
      </c>
      <c r="P82" s="1237">
        <f>IF('[1]BASE'!FZ82=0,"",'[1]BASE'!FZ82)</f>
      </c>
      <c r="Q82" s="1237">
        <f>IF('[1]BASE'!GA82=0,"",'[1]BASE'!GA82)</f>
      </c>
      <c r="R82" s="1237">
        <f>IF('[1]BASE'!GB82=0,"",'[1]BASE'!GB82)</f>
      </c>
      <c r="S82" s="1237">
        <f>IF('[1]BASE'!GC82=0,"",'[1]BASE'!GC82)</f>
      </c>
      <c r="T82" s="1238"/>
      <c r="U82" s="1234"/>
    </row>
    <row r="83" spans="2:21" s="1228" customFormat="1" ht="19.5" customHeight="1">
      <c r="B83" s="1229"/>
      <c r="C83" s="1241">
        <f>IF('[1]BASE'!C83=0,"",'[1]BASE'!C83)</f>
        <v>63</v>
      </c>
      <c r="D83" s="1241" t="str">
        <f>IF('[1]BASE'!D83=0,"",'[1]BASE'!D83)</f>
        <v>YACYRETÁ - RINCON II</v>
      </c>
      <c r="E83" s="1241">
        <f>IF('[1]BASE'!E83=0,"",'[1]BASE'!E83)</f>
        <v>500</v>
      </c>
      <c r="F83" s="1241">
        <f>IF('[1]BASE'!F83=0,"",'[1]BASE'!F83)</f>
        <v>3.6</v>
      </c>
      <c r="G83" s="1242" t="str">
        <f>IF('[1]BASE'!G83=0,"",'[1]BASE'!G83)</f>
        <v>B</v>
      </c>
      <c r="H83" s="1237">
        <f>IF('[1]BASE'!FR83=0,"",'[1]BASE'!FR83)</f>
      </c>
      <c r="I83" s="1237">
        <f>IF('[1]BASE'!FS83=0,"",'[1]BASE'!FS83)</f>
      </c>
      <c r="J83" s="1237">
        <f>IF('[1]BASE'!FT83=0,"",'[1]BASE'!FT83)</f>
      </c>
      <c r="K83" s="1237">
        <f>IF('[1]BASE'!FU83=0,"",'[1]BASE'!FU83)</f>
      </c>
      <c r="L83" s="1237">
        <f>IF('[1]BASE'!FV83=0,"",'[1]BASE'!FV83)</f>
      </c>
      <c r="M83" s="1237">
        <f>IF('[1]BASE'!FW83=0,"",'[1]BASE'!FW83)</f>
      </c>
      <c r="N83" s="1237">
        <f>IF('[1]BASE'!FX83=0,"",'[1]BASE'!FX83)</f>
      </c>
      <c r="O83" s="1237">
        <f>IF('[1]BASE'!FY83=0,"",'[1]BASE'!FY83)</f>
      </c>
      <c r="P83" s="1237">
        <f>IF('[1]BASE'!FZ83=0,"",'[1]BASE'!FZ83)</f>
      </c>
      <c r="Q83" s="1237">
        <f>IF('[1]BASE'!GA83=0,"",'[1]BASE'!GA83)</f>
      </c>
      <c r="R83" s="1237">
        <f>IF('[1]BASE'!GB83=0,"",'[1]BASE'!GB83)</f>
      </c>
      <c r="S83" s="1237">
        <f>IF('[1]BASE'!GC83=0,"",'[1]BASE'!GC83)</f>
      </c>
      <c r="T83" s="1238"/>
      <c r="U83" s="1234"/>
    </row>
    <row r="84" spans="2:21" s="1228" customFormat="1" ht="19.5" customHeight="1">
      <c r="B84" s="1229"/>
      <c r="C84" s="1239">
        <f>IF('[1]BASE'!C84=0,"",'[1]BASE'!C84)</f>
        <v>64</v>
      </c>
      <c r="D84" s="1239" t="str">
        <f>IF('[1]BASE'!D84=0,"",'[1]BASE'!D84)</f>
        <v>YACYRETÁ - RINCON III</v>
      </c>
      <c r="E84" s="1239">
        <f>IF('[1]BASE'!E84=0,"",'[1]BASE'!E84)</f>
        <v>500</v>
      </c>
      <c r="F84" s="1240">
        <f>IF('[1]BASE'!F84=0,"",'[1]BASE'!F84)</f>
        <v>3.6</v>
      </c>
      <c r="G84" s="1240" t="str">
        <f>IF('[1]BASE'!G84=0,"",'[1]BASE'!G84)</f>
        <v>B</v>
      </c>
      <c r="H84" s="1237">
        <f>IF('[1]BASE'!FR84=0,"",'[1]BASE'!FR84)</f>
      </c>
      <c r="I84" s="1237">
        <f>IF('[1]BASE'!FS84=0,"",'[1]BASE'!FS84)</f>
      </c>
      <c r="J84" s="1237">
        <f>IF('[1]BASE'!FT84=0,"",'[1]BASE'!FT84)</f>
      </c>
      <c r="K84" s="1237">
        <f>IF('[1]BASE'!FU84=0,"",'[1]BASE'!FU84)</f>
      </c>
      <c r="L84" s="1237">
        <f>IF('[1]BASE'!FV84=0,"",'[1]BASE'!FV84)</f>
      </c>
      <c r="M84" s="1237">
        <f>IF('[1]BASE'!FW84=0,"",'[1]BASE'!FW84)</f>
      </c>
      <c r="N84" s="1237">
        <f>IF('[1]BASE'!FX84=0,"",'[1]BASE'!FX84)</f>
      </c>
      <c r="O84" s="1237">
        <f>IF('[1]BASE'!FY84=0,"",'[1]BASE'!FY84)</f>
      </c>
      <c r="P84" s="1237">
        <f>IF('[1]BASE'!FZ84=0,"",'[1]BASE'!FZ84)</f>
      </c>
      <c r="Q84" s="1237">
        <f>IF('[1]BASE'!GA84=0,"",'[1]BASE'!GA84)</f>
      </c>
      <c r="R84" s="1237">
        <f>IF('[1]BASE'!GB84=0,"",'[1]BASE'!GB84)</f>
      </c>
      <c r="S84" s="1237">
        <f>IF('[1]BASE'!GC84=0,"",'[1]BASE'!GC84)</f>
      </c>
      <c r="T84" s="1238"/>
      <c r="U84" s="1234"/>
    </row>
    <row r="85" spans="2:21" s="1228" customFormat="1" ht="19.5" customHeight="1">
      <c r="B85" s="1229"/>
      <c r="C85" s="1241">
        <f>IF('[1]BASE'!C85=0,"",'[1]BASE'!C85)</f>
        <v>65</v>
      </c>
      <c r="D85" s="1241" t="str">
        <f>IF('[1]BASE'!D85=0,"",'[1]BASE'!D85)</f>
        <v>RINCON - PASO DE LA PATRIA</v>
      </c>
      <c r="E85" s="1241">
        <f>IF('[1]BASE'!E85=0,"",'[1]BASE'!E85)</f>
        <v>500</v>
      </c>
      <c r="F85" s="1242">
        <f>IF('[1]BASE'!F85=0,"",'[1]BASE'!F85)</f>
        <v>227</v>
      </c>
      <c r="G85" s="1242" t="str">
        <f>IF('[1]BASE'!G85=0,"",'[1]BASE'!G85)</f>
        <v>A</v>
      </c>
      <c r="H85" s="1237">
        <f>IF('[1]BASE'!FR85=0,"",'[1]BASE'!FR85)</f>
      </c>
      <c r="I85" s="1237">
        <f>IF('[1]BASE'!FS85=0,"",'[1]BASE'!FS85)</f>
      </c>
      <c r="J85" s="1237">
        <f>IF('[1]BASE'!FT85=0,"",'[1]BASE'!FT85)</f>
      </c>
      <c r="K85" s="1237">
        <f>IF('[1]BASE'!FU85=0,"",'[1]BASE'!FU85)</f>
      </c>
      <c r="L85" s="1237">
        <f>IF('[1]BASE'!FV85=0,"",'[1]BASE'!FV85)</f>
      </c>
      <c r="M85" s="1237">
        <f>IF('[1]BASE'!FW85=0,"",'[1]BASE'!FW85)</f>
      </c>
      <c r="N85" s="1237">
        <f>IF('[1]BASE'!FX85=0,"",'[1]BASE'!FX85)</f>
      </c>
      <c r="O85" s="1237">
        <f>IF('[1]BASE'!FY85=0,"",'[1]BASE'!FY85)</f>
      </c>
      <c r="P85" s="1237">
        <f>IF('[1]BASE'!FZ85=0,"",'[1]BASE'!FZ85)</f>
      </c>
      <c r="Q85" s="1237">
        <f>IF('[1]BASE'!GA85=0,"",'[1]BASE'!GA85)</f>
      </c>
      <c r="R85" s="1237">
        <f>IF('[1]BASE'!GB85=0,"",'[1]BASE'!GB85)</f>
      </c>
      <c r="S85" s="1237">
        <f>IF('[1]BASE'!GC85=0,"",'[1]BASE'!GC85)</f>
      </c>
      <c r="T85" s="1238"/>
      <c r="U85" s="1234"/>
    </row>
    <row r="86" spans="2:21" s="1228" customFormat="1" ht="19.5" customHeight="1">
      <c r="B86" s="1229"/>
      <c r="C86" s="1239">
        <f>IF('[1]BASE'!C86=0,"",'[1]BASE'!C86)</f>
        <v>66</v>
      </c>
      <c r="D86" s="1239" t="str">
        <f>IF('[1]BASE'!D86=0,"",'[1]BASE'!D86)</f>
        <v>PASO DE LA PATRIA - RESISTENCIA</v>
      </c>
      <c r="E86" s="1239">
        <f>IF('[1]BASE'!E86=0,"",'[1]BASE'!E86)</f>
        <v>500</v>
      </c>
      <c r="F86" s="1240">
        <f>IF('[1]BASE'!F86=0,"",'[1]BASE'!F86)</f>
        <v>40</v>
      </c>
      <c r="G86" s="1240" t="str">
        <f>IF('[1]BASE'!G86=0,"",'[1]BASE'!G86)</f>
        <v>C</v>
      </c>
      <c r="H86" s="1237">
        <f>IF('[1]BASE'!FR86=0,"",'[1]BASE'!FR86)</f>
      </c>
      <c r="I86" s="1237">
        <f>IF('[1]BASE'!FS86=0,"",'[1]BASE'!FS86)</f>
      </c>
      <c r="J86" s="1237">
        <f>IF('[1]BASE'!FT86=0,"",'[1]BASE'!FT86)</f>
      </c>
      <c r="K86" s="1237">
        <f>IF('[1]BASE'!FU86=0,"",'[1]BASE'!FU86)</f>
      </c>
      <c r="L86" s="1237">
        <f>IF('[1]BASE'!FV86=0,"",'[1]BASE'!FV86)</f>
      </c>
      <c r="M86" s="1237">
        <f>IF('[1]BASE'!FW86=0,"",'[1]BASE'!FW86)</f>
      </c>
      <c r="N86" s="1237">
        <f>IF('[1]BASE'!FX86=0,"",'[1]BASE'!FX86)</f>
      </c>
      <c r="O86" s="1237">
        <f>IF('[1]BASE'!FY86=0,"",'[1]BASE'!FY86)</f>
      </c>
      <c r="P86" s="1237">
        <f>IF('[1]BASE'!FZ86=0,"",'[1]BASE'!FZ86)</f>
      </c>
      <c r="Q86" s="1237">
        <f>IF('[1]BASE'!GA86=0,"",'[1]BASE'!GA86)</f>
      </c>
      <c r="R86" s="1237">
        <f>IF('[1]BASE'!GB86=0,"",'[1]BASE'!GB86)</f>
      </c>
      <c r="S86" s="1237">
        <f>IF('[1]BASE'!GC86=0,"",'[1]BASE'!GC86)</f>
      </c>
      <c r="T86" s="1238"/>
      <c r="U86" s="1234"/>
    </row>
    <row r="87" spans="2:21" s="1228" customFormat="1" ht="19.5" customHeight="1">
      <c r="B87" s="1229"/>
      <c r="C87" s="1241">
        <f>IF('[1]BASE'!C87=0,"",'[1]BASE'!C87)</f>
        <v>67</v>
      </c>
      <c r="D87" s="1241" t="str">
        <f>IF('[1]BASE'!D87=0,"",'[1]BASE'!D87)</f>
        <v>RINCON - RESISTENCIA</v>
      </c>
      <c r="E87" s="1241">
        <f>IF('[1]BASE'!E87=0,"",'[1]BASE'!E87)</f>
        <v>500</v>
      </c>
      <c r="F87" s="1241">
        <f>IF('[1]BASE'!F87=0,"",'[1]BASE'!F87)</f>
        <v>267</v>
      </c>
      <c r="G87" s="1242" t="str">
        <f>IF('[1]BASE'!G87=0,"",'[1]BASE'!G87)</f>
        <v>B</v>
      </c>
      <c r="H87" s="1237" t="str">
        <f>IF('[1]BASE'!FR87=0,"",'[1]BASE'!FR87)</f>
        <v>XXXX</v>
      </c>
      <c r="I87" s="1237" t="str">
        <f>IF('[1]BASE'!FS87=0,"",'[1]BASE'!FS87)</f>
        <v>XXXX</v>
      </c>
      <c r="J87" s="1237" t="str">
        <f>IF('[1]BASE'!FT87=0,"",'[1]BASE'!FT87)</f>
        <v>XXXX</v>
      </c>
      <c r="K87" s="1237" t="str">
        <f>IF('[1]BASE'!FU87=0,"",'[1]BASE'!FU87)</f>
        <v>XXXX</v>
      </c>
      <c r="L87" s="1237" t="str">
        <f>IF('[1]BASE'!FV87=0,"",'[1]BASE'!FV87)</f>
        <v>XXXX</v>
      </c>
      <c r="M87" s="1237" t="str">
        <f>IF('[1]BASE'!FW87=0,"",'[1]BASE'!FW87)</f>
        <v>XXXX</v>
      </c>
      <c r="N87" s="1237" t="str">
        <f>IF('[1]BASE'!FX87=0,"",'[1]BASE'!FX87)</f>
        <v>XXXX</v>
      </c>
      <c r="O87" s="1237" t="str">
        <f>IF('[1]BASE'!FY87=0,"",'[1]BASE'!FY87)</f>
        <v>XXXX</v>
      </c>
      <c r="P87" s="1237" t="str">
        <f>IF('[1]BASE'!FZ87=0,"",'[1]BASE'!FZ87)</f>
        <v>XXXX</v>
      </c>
      <c r="Q87" s="1237" t="str">
        <f>IF('[1]BASE'!GA87=0,"",'[1]BASE'!GA87)</f>
        <v>XXXX</v>
      </c>
      <c r="R87" s="1237" t="str">
        <f>IF('[1]BASE'!GB87=0,"",'[1]BASE'!GB87)</f>
        <v>XXXX</v>
      </c>
      <c r="S87" s="1237" t="str">
        <f>IF('[1]BASE'!GC87=0,"",'[1]BASE'!GC87)</f>
        <v>XXXX</v>
      </c>
      <c r="T87" s="1238"/>
      <c r="U87" s="1234"/>
    </row>
    <row r="88" spans="2:21" s="1228" customFormat="1" ht="9.75" customHeight="1">
      <c r="B88" s="1229"/>
      <c r="C88" s="1239">
        <f>IF('[1]BASE'!C88=0,"",'[1]BASE'!C88)</f>
      </c>
      <c r="D88" s="1239">
        <f>IF('[1]BASE'!D88=0,"",'[1]BASE'!D88)</f>
      </c>
      <c r="E88" s="1239">
        <f>IF('[1]BASE'!E88=0,"",'[1]BASE'!E88)</f>
      </c>
      <c r="F88" s="1240">
        <f>IF('[1]BASE'!F88=0,"",'[1]BASE'!F88)</f>
      </c>
      <c r="G88" s="1240">
        <f>IF('[1]BASE'!G88=0,"",'[1]BASE'!G88)</f>
      </c>
      <c r="H88" s="1237">
        <f>IF('[1]BASE'!FR88=0,"",'[1]BASE'!FR88)</f>
      </c>
      <c r="I88" s="1237">
        <f>IF('[1]BASE'!FS88=0,"",'[1]BASE'!FS88)</f>
      </c>
      <c r="J88" s="1237">
        <f>IF('[1]BASE'!FT88=0,"",'[1]BASE'!FT88)</f>
      </c>
      <c r="K88" s="1237">
        <f>IF('[1]BASE'!FU88=0,"",'[1]BASE'!FU88)</f>
      </c>
      <c r="L88" s="1237">
        <f>IF('[1]BASE'!FV88=0,"",'[1]BASE'!FV88)</f>
      </c>
      <c r="M88" s="1237">
        <f>IF('[1]BASE'!FW88=0,"",'[1]BASE'!FW88)</f>
      </c>
      <c r="N88" s="1237">
        <f>IF('[1]BASE'!FX88=0,"",'[1]BASE'!FX88)</f>
      </c>
      <c r="O88" s="1237">
        <f>IF('[1]BASE'!FY88=0,"",'[1]BASE'!FY88)</f>
      </c>
      <c r="P88" s="1237">
        <f>IF('[1]BASE'!FZ88=0,"",'[1]BASE'!FZ88)</f>
      </c>
      <c r="Q88" s="1237">
        <f>IF('[1]BASE'!GA88=0,"",'[1]BASE'!GA88)</f>
      </c>
      <c r="R88" s="1237">
        <f>IF('[1]BASE'!GB88=0,"",'[1]BASE'!GB88)</f>
      </c>
      <c r="S88" s="1237">
        <f>IF('[1]BASE'!GC88=0,"",'[1]BASE'!GC88)</f>
      </c>
      <c r="T88" s="1238"/>
      <c r="U88" s="1234"/>
    </row>
    <row r="89" spans="2:21" s="1228" customFormat="1" ht="19.5" customHeight="1">
      <c r="B89" s="1229"/>
      <c r="C89" s="1241">
        <f>IF('[1]BASE'!C89=0,"",'[1]BASE'!C89)</f>
        <v>68</v>
      </c>
      <c r="D89" s="1241" t="str">
        <f>IF('[1]BASE'!D89=0,"",'[1]BASE'!D89)</f>
        <v>RINCON - SALTO GRANDE</v>
      </c>
      <c r="E89" s="1241">
        <f>IF('[1]BASE'!E89=0,"",'[1]BASE'!E89)</f>
        <v>500</v>
      </c>
      <c r="F89" s="1242">
        <f>IF('[1]BASE'!F89=0,"",'[1]BASE'!F89)</f>
        <v>506</v>
      </c>
      <c r="G89" s="1242" t="str">
        <f>IF('[1]BASE'!G89=0,"",'[1]BASE'!G89)</f>
        <v>A</v>
      </c>
      <c r="H89" s="1237">
        <f>IF('[1]BASE'!FR89=0,"",'[1]BASE'!FR89)</f>
      </c>
      <c r="I89" s="1237">
        <f>IF('[1]BASE'!FS89=0,"",'[1]BASE'!FS89)</f>
      </c>
      <c r="J89" s="1237">
        <f>IF('[1]BASE'!FT89=0,"",'[1]BASE'!FT89)</f>
      </c>
      <c r="K89" s="1237">
        <f>IF('[1]BASE'!FU89=0,"",'[1]BASE'!FU89)</f>
      </c>
      <c r="L89" s="1237">
        <f>IF('[1]BASE'!FV89=0,"",'[1]BASE'!FV89)</f>
      </c>
      <c r="M89" s="1237">
        <f>IF('[1]BASE'!FW89=0,"",'[1]BASE'!FW89)</f>
      </c>
      <c r="N89" s="1237">
        <f>IF('[1]BASE'!FX89=0,"",'[1]BASE'!FX89)</f>
      </c>
      <c r="O89" s="1237">
        <f>IF('[1]BASE'!FY89=0,"",'[1]BASE'!FY89)</f>
      </c>
      <c r="P89" s="1237">
        <f>IF('[1]BASE'!FZ89=0,"",'[1]BASE'!FZ89)</f>
      </c>
      <c r="Q89" s="1237">
        <f>IF('[1]BASE'!GA89=0,"",'[1]BASE'!GA89)</f>
      </c>
      <c r="R89" s="1237">
        <f>IF('[1]BASE'!GB89=0,"",'[1]BASE'!GB89)</f>
      </c>
      <c r="S89" s="1237">
        <f>IF('[1]BASE'!GC89=0,"",'[1]BASE'!GC89)</f>
      </c>
      <c r="T89" s="1238"/>
      <c r="U89" s="1234"/>
    </row>
    <row r="90" spans="2:21" s="1228" customFormat="1" ht="19.5" customHeight="1">
      <c r="B90" s="1229"/>
      <c r="C90" s="1239">
        <f>IF('[1]BASE'!C90=0,"",'[1]BASE'!C90)</f>
        <v>69</v>
      </c>
      <c r="D90" s="1239" t="str">
        <f>IF('[1]BASE'!D90=0,"",'[1]BASE'!D90)</f>
        <v>RINCON - SAN ISIDRO</v>
      </c>
      <c r="E90" s="1239">
        <f>IF('[1]BASE'!E90=0,"",'[1]BASE'!E90)</f>
        <v>500</v>
      </c>
      <c r="F90" s="1240">
        <f>IF('[1]BASE'!F90=0,"",'[1]BASE'!F90)</f>
        <v>85</v>
      </c>
      <c r="G90" s="1240" t="str">
        <f>IF('[1]BASE'!G90=0,"",'[1]BASE'!G90)</f>
        <v>C</v>
      </c>
      <c r="H90" s="1237">
        <f>IF('[1]BASE'!FR90=0,"",'[1]BASE'!FR90)</f>
      </c>
      <c r="I90" s="1237">
        <f>IF('[1]BASE'!FS90=0,"",'[1]BASE'!FS90)</f>
      </c>
      <c r="J90" s="1237">
        <f>IF('[1]BASE'!FT90=0,"",'[1]BASE'!FT90)</f>
      </c>
      <c r="K90" s="1237">
        <f>IF('[1]BASE'!FU90=0,"",'[1]BASE'!FU90)</f>
      </c>
      <c r="L90" s="1237">
        <f>IF('[1]BASE'!FV90=0,"",'[1]BASE'!FV90)</f>
      </c>
      <c r="M90" s="1237">
        <f>IF('[1]BASE'!FW90=0,"",'[1]BASE'!FW90)</f>
      </c>
      <c r="N90" s="1237">
        <f>IF('[1]BASE'!FX90=0,"",'[1]BASE'!FX90)</f>
      </c>
      <c r="O90" s="1237">
        <f>IF('[1]BASE'!FY90=0,"",'[1]BASE'!FY90)</f>
      </c>
      <c r="P90" s="1237">
        <f>IF('[1]BASE'!FZ90=0,"",'[1]BASE'!FZ90)</f>
      </c>
      <c r="Q90" s="1237">
        <f>IF('[1]BASE'!GA90=0,"",'[1]BASE'!GA90)</f>
      </c>
      <c r="R90" s="1237">
        <f>IF('[1]BASE'!GB90=0,"",'[1]BASE'!GB90)</f>
      </c>
      <c r="S90" s="1237">
        <f>IF('[1]BASE'!GC90=0,"",'[1]BASE'!GC90)</f>
      </c>
      <c r="T90" s="1238"/>
      <c r="U90" s="1234"/>
    </row>
    <row r="91" spans="2:21" s="1228" customFormat="1" ht="9.75" customHeight="1">
      <c r="B91" s="1229"/>
      <c r="C91" s="1241">
        <f>IF('[1]BASE'!C91=0,"",'[1]BASE'!C91)</f>
      </c>
      <c r="D91" s="1241">
        <f>IF('[1]BASE'!D91=0,"",'[1]BASE'!D91)</f>
      </c>
      <c r="E91" s="1241">
        <f>IF('[1]BASE'!E91=0,"",'[1]BASE'!E91)</f>
      </c>
      <c r="F91" s="1241">
        <f>IF('[1]BASE'!F91=0,"",'[1]BASE'!F91)</f>
      </c>
      <c r="G91" s="1242">
        <f>IF('[1]BASE'!G91=0,"",'[1]BASE'!G91)</f>
      </c>
      <c r="H91" s="1237">
        <f>IF('[1]BASE'!FR91=0,"",'[1]BASE'!FR91)</f>
      </c>
      <c r="I91" s="1237">
        <f>IF('[1]BASE'!FS91=0,"",'[1]BASE'!FS91)</f>
      </c>
      <c r="J91" s="1237">
        <f>IF('[1]BASE'!FT91=0,"",'[1]BASE'!FT91)</f>
      </c>
      <c r="K91" s="1237">
        <f>IF('[1]BASE'!FU91=0,"",'[1]BASE'!FU91)</f>
      </c>
      <c r="L91" s="1237">
        <f>IF('[1]BASE'!FV91=0,"",'[1]BASE'!FV91)</f>
      </c>
      <c r="M91" s="1237">
        <f>IF('[1]BASE'!FW91=0,"",'[1]BASE'!FW91)</f>
      </c>
      <c r="N91" s="1237">
        <f>IF('[1]BASE'!FX91=0,"",'[1]BASE'!FX91)</f>
      </c>
      <c r="O91" s="1237">
        <f>IF('[1]BASE'!FY91=0,"",'[1]BASE'!FY91)</f>
      </c>
      <c r="P91" s="1237">
        <f>IF('[1]BASE'!FZ91=0,"",'[1]BASE'!FZ91)</f>
      </c>
      <c r="Q91" s="1237">
        <f>IF('[1]BASE'!GA91=0,"",'[1]BASE'!GA91)</f>
      </c>
      <c r="R91" s="1237">
        <f>IF('[1]BASE'!GB91=0,"",'[1]BASE'!GB91)</f>
      </c>
      <c r="S91" s="1237">
        <f>IF('[1]BASE'!GC91=0,"",'[1]BASE'!GC91)</f>
      </c>
      <c r="T91" s="1238"/>
      <c r="U91" s="1234"/>
    </row>
    <row r="92" spans="2:21" s="1228" customFormat="1" ht="9.75" customHeight="1" thickBot="1">
      <c r="B92" s="1229"/>
      <c r="C92" s="1243"/>
      <c r="D92" s="1243"/>
      <c r="E92" s="1243"/>
      <c r="F92" s="1243"/>
      <c r="G92" s="1244"/>
      <c r="H92" s="1245"/>
      <c r="I92" s="1245"/>
      <c r="J92" s="1245"/>
      <c r="K92" s="1245"/>
      <c r="L92" s="1245"/>
      <c r="M92" s="1245"/>
      <c r="N92" s="1245"/>
      <c r="O92" s="1245"/>
      <c r="P92" s="1245"/>
      <c r="Q92" s="1245"/>
      <c r="R92" s="1245"/>
      <c r="S92" s="1245"/>
      <c r="T92" s="1238"/>
      <c r="U92" s="1234"/>
    </row>
    <row r="93" spans="2:21" s="1228" customFormat="1" ht="19.5" customHeight="1" thickBot="1" thickTop="1">
      <c r="B93" s="1229"/>
      <c r="C93" s="1246"/>
      <c r="D93" s="1247"/>
      <c r="E93" s="1248" t="s">
        <v>419</v>
      </c>
      <c r="F93" s="1249">
        <f>SUM(F16:F92)-F46-F57-F78-F79-F87</f>
        <v>9666.7</v>
      </c>
      <c r="G93" s="1250"/>
      <c r="H93" s="1251"/>
      <c r="I93" s="1251"/>
      <c r="J93" s="1251"/>
      <c r="K93" s="1251"/>
      <c r="L93" s="1251"/>
      <c r="M93" s="1251"/>
      <c r="N93" s="1251"/>
      <c r="O93" s="1251"/>
      <c r="P93" s="1251"/>
      <c r="Q93" s="1251"/>
      <c r="R93" s="1251"/>
      <c r="S93" s="1251"/>
      <c r="T93" s="1238"/>
      <c r="U93" s="1234"/>
    </row>
    <row r="94" spans="2:21" s="1228" customFormat="1" ht="19.5" customHeight="1" thickBot="1" thickTop="1">
      <c r="B94" s="1229"/>
      <c r="C94" s="1252"/>
      <c r="D94" s="1253"/>
      <c r="E94" s="1254"/>
      <c r="F94" s="1255" t="s">
        <v>420</v>
      </c>
      <c r="H94" s="1256">
        <f aca="true" t="shared" si="0" ref="H94:S94">SUM(H17:H92)</f>
        <v>4</v>
      </c>
      <c r="I94" s="1256">
        <f t="shared" si="0"/>
        <v>4</v>
      </c>
      <c r="J94" s="1256">
        <f t="shared" si="0"/>
        <v>3</v>
      </c>
      <c r="K94" s="1256">
        <f t="shared" si="0"/>
        <v>1</v>
      </c>
      <c r="L94" s="1256">
        <f t="shared" si="0"/>
        <v>2</v>
      </c>
      <c r="M94" s="1256">
        <f t="shared" si="0"/>
        <v>1</v>
      </c>
      <c r="N94" s="1256">
        <f t="shared" si="0"/>
        <v>8</v>
      </c>
      <c r="O94" s="1256">
        <f t="shared" si="0"/>
        <v>2</v>
      </c>
      <c r="P94" s="1256">
        <f t="shared" si="0"/>
        <v>0</v>
      </c>
      <c r="Q94" s="1256">
        <f t="shared" si="0"/>
        <v>5</v>
      </c>
      <c r="R94" s="1256">
        <f t="shared" si="0"/>
        <v>6</v>
      </c>
      <c r="S94" s="1256">
        <f t="shared" si="0"/>
        <v>6</v>
      </c>
      <c r="T94" s="1238"/>
      <c r="U94" s="1234"/>
    </row>
    <row r="95" spans="2:21" s="1228" customFormat="1" ht="19.5" customHeight="1" thickBot="1" thickTop="1">
      <c r="B95" s="1229"/>
      <c r="E95" s="1254"/>
      <c r="F95" s="1255" t="s">
        <v>421</v>
      </c>
      <c r="H95" s="1257">
        <f>'[1]BASE'!FR100</f>
        <v>0.35</v>
      </c>
      <c r="I95" s="1257">
        <f>'[1]BASE'!FS100</f>
        <v>0.38</v>
      </c>
      <c r="J95" s="1257">
        <f>'[1]BASE'!FT100</f>
        <v>0.37</v>
      </c>
      <c r="K95" s="1257">
        <f>'[1]BASE'!FU100</f>
        <v>0.35</v>
      </c>
      <c r="L95" s="1257">
        <f>'[1]BASE'!FV100</f>
        <v>0.34</v>
      </c>
      <c r="M95" s="1257">
        <f>'[1]BASE'!FW100</f>
        <v>0.36</v>
      </c>
      <c r="N95" s="1257">
        <f>'[1]BASE'!FX100</f>
        <v>0.33</v>
      </c>
      <c r="O95" s="1257">
        <f>'[1]BASE'!FY100</f>
        <v>0.38</v>
      </c>
      <c r="P95" s="1257">
        <f>'[1]BASE'!FZ100</f>
        <v>0.36</v>
      </c>
      <c r="Q95" s="1257">
        <f>'[1]BASE'!GA100</f>
        <v>0.35</v>
      </c>
      <c r="R95" s="1257">
        <f>'[1]BASE'!GB100</f>
        <v>0.35</v>
      </c>
      <c r="S95" s="1257">
        <f>'[1]BASE'!GC100</f>
        <v>0.37</v>
      </c>
      <c r="T95" s="1257">
        <f>'[1]BASE'!GD100</f>
        <v>0.43</v>
      </c>
      <c r="U95" s="1234"/>
    </row>
    <row r="96" spans="2:21" s="1177" customFormat="1" ht="9.75" customHeight="1" thickBot="1" thickTop="1">
      <c r="B96" s="1258"/>
      <c r="C96"/>
      <c r="D96" s="1259"/>
      <c r="E96" s="1260"/>
      <c r="F96" s="1261"/>
      <c r="G96"/>
      <c r="H96" s="1262"/>
      <c r="I96" s="1262"/>
      <c r="J96" s="1262"/>
      <c r="K96" s="1262"/>
      <c r="L96" s="1262"/>
      <c r="M96" s="1262"/>
      <c r="N96" s="1262"/>
      <c r="O96" s="1262"/>
      <c r="P96" s="1262"/>
      <c r="Q96" s="1262"/>
      <c r="R96" s="1262"/>
      <c r="S96" s="1262"/>
      <c r="T96" s="1262"/>
      <c r="U96" s="1263"/>
    </row>
    <row r="97" spans="2:21" ht="15.75" customHeight="1" thickBot="1">
      <c r="B97" s="50"/>
      <c r="C97" s="1264"/>
      <c r="D97" s="15" t="s">
        <v>422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406" t="s">
        <v>423</v>
      </c>
      <c r="I98" s="1265"/>
      <c r="J98" s="1266">
        <f>T95</f>
        <v>0.43</v>
      </c>
      <c r="K98" s="1267" t="s">
        <v>424</v>
      </c>
      <c r="L98" s="407"/>
      <c r="M98" s="1268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269"/>
      <c r="D99" s="59"/>
      <c r="E99" s="59"/>
      <c r="F99" s="1269"/>
      <c r="G99" s="126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270"/>
      <c r="F100" s="1270"/>
      <c r="G100" s="1270"/>
    </row>
    <row r="101" spans="3:194" ht="12.75">
      <c r="C101" s="1270"/>
      <c r="D101" s="66"/>
      <c r="E101" s="66"/>
      <c r="F101" s="66"/>
      <c r="G101" s="66"/>
      <c r="H101" s="1271"/>
      <c r="I101" s="1271"/>
      <c r="J101" s="1271"/>
      <c r="K101" s="1271"/>
      <c r="L101" s="1271"/>
      <c r="M101" s="1271"/>
      <c r="N101" s="1271"/>
      <c r="O101" s="1271"/>
      <c r="P101" s="1271"/>
      <c r="Q101" s="1271"/>
      <c r="R101" s="1271"/>
      <c r="S101" s="1271"/>
      <c r="T101" s="127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270"/>
      <c r="D102" s="66"/>
      <c r="E102" s="66"/>
      <c r="F102" s="66"/>
      <c r="G102" s="66"/>
      <c r="H102" s="1271"/>
      <c r="I102" s="1271"/>
      <c r="J102" s="1271"/>
      <c r="K102" s="1271"/>
      <c r="L102" s="1271"/>
      <c r="M102" s="1271"/>
      <c r="N102" s="1271"/>
      <c r="O102" s="1271"/>
      <c r="P102" s="1271"/>
      <c r="Q102" s="1271"/>
      <c r="R102" s="1271"/>
      <c r="S102" s="1271"/>
      <c r="T102" s="127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270"/>
      <c r="D103" s="66"/>
      <c r="E103" s="66"/>
      <c r="F103" s="66"/>
      <c r="G103" s="66"/>
      <c r="H103" s="1272"/>
      <c r="I103" s="1272"/>
      <c r="J103" s="1272"/>
      <c r="K103" s="1272"/>
      <c r="L103" s="1272"/>
      <c r="M103" s="1272"/>
      <c r="N103" s="1272"/>
      <c r="O103" s="1272"/>
      <c r="P103" s="1272"/>
      <c r="Q103" s="1272"/>
      <c r="R103" s="1272"/>
      <c r="S103" s="1272"/>
      <c r="T103" s="127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270"/>
      <c r="D104" s="66"/>
      <c r="E104" s="66"/>
      <c r="F104" s="66"/>
      <c r="G104" s="66"/>
      <c r="H104" s="1271"/>
      <c r="I104" s="1271"/>
      <c r="J104" s="1271"/>
      <c r="K104" s="1271"/>
      <c r="L104" s="1271"/>
      <c r="M104" s="1271"/>
      <c r="N104" s="1271"/>
      <c r="O104" s="1271"/>
      <c r="P104" s="1271"/>
      <c r="Q104" s="1271"/>
      <c r="R104" s="1271"/>
      <c r="S104" s="1271"/>
      <c r="T104" s="127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270"/>
      <c r="D105" s="66"/>
      <c r="E105" s="66"/>
      <c r="F105" s="66"/>
      <c r="G105" s="66"/>
      <c r="H105" s="1271"/>
      <c r="I105" s="1271"/>
      <c r="J105" s="1271"/>
      <c r="K105" s="1271"/>
      <c r="L105" s="1271"/>
      <c r="M105" s="1271"/>
      <c r="N105" s="1271"/>
      <c r="O105" s="1271"/>
      <c r="P105" s="1271"/>
      <c r="Q105" s="1271"/>
      <c r="R105" s="1271"/>
      <c r="S105" s="1271"/>
      <c r="T105" s="127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270"/>
      <c r="D106" s="66"/>
      <c r="E106" s="66"/>
      <c r="F106" s="66"/>
      <c r="G106" s="66"/>
      <c r="H106" s="1271"/>
      <c r="I106" s="1271"/>
      <c r="J106" s="1271"/>
      <c r="K106" s="1271"/>
      <c r="L106" s="1271"/>
      <c r="M106" s="1271"/>
      <c r="N106" s="1271"/>
      <c r="O106" s="1271"/>
      <c r="P106" s="1271"/>
      <c r="Q106" s="1271"/>
      <c r="R106" s="1271"/>
      <c r="S106" s="1271"/>
      <c r="T106" s="127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270"/>
      <c r="D107" s="66"/>
      <c r="E107" s="66"/>
      <c r="F107" s="66"/>
      <c r="G107" s="66"/>
      <c r="H107" s="1271"/>
      <c r="I107" s="1271"/>
      <c r="J107" s="1271"/>
      <c r="K107" s="1271"/>
      <c r="L107" s="1271"/>
      <c r="M107" s="1271"/>
      <c r="N107" s="1271"/>
      <c r="O107" s="1271"/>
      <c r="P107" s="1271"/>
      <c r="Q107" s="1271"/>
      <c r="R107" s="1271"/>
      <c r="S107" s="1271"/>
      <c r="T107" s="127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270"/>
      <c r="D108" s="66"/>
      <c r="E108" s="66"/>
      <c r="F108" s="66"/>
      <c r="G108" s="66"/>
      <c r="H108" s="1271"/>
      <c r="I108" s="1271"/>
      <c r="J108" s="1271"/>
      <c r="K108" s="1271"/>
      <c r="L108" s="1271"/>
      <c r="M108" s="1271"/>
      <c r="N108" s="1271"/>
      <c r="O108" s="1271"/>
      <c r="P108" s="1271"/>
      <c r="Q108" s="1271"/>
      <c r="R108" s="1271"/>
      <c r="S108" s="1271"/>
      <c r="T108" s="127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270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270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270"/>
      <c r="F111" s="1270"/>
      <c r="G111" s="1270"/>
    </row>
    <row r="112" spans="3:7" ht="12.75">
      <c r="C112" s="1270"/>
      <c r="F112" s="1270"/>
      <c r="G112" s="1270"/>
    </row>
    <row r="113" spans="3:7" ht="12.75">
      <c r="C113" s="1270"/>
      <c r="F113" s="1270"/>
      <c r="G113" s="1270"/>
    </row>
    <row r="114" spans="6:7" ht="12.75">
      <c r="F114" s="1270"/>
      <c r="G114" s="1270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39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1108" bestFit="1" customWidth="1"/>
    <col min="2" max="2" width="9.28125" style="1108" customWidth="1"/>
    <col min="3" max="3" width="11.8515625" style="1108" bestFit="1" customWidth="1"/>
    <col min="4" max="4" width="9.57421875" style="1108" bestFit="1" customWidth="1"/>
    <col min="5" max="5" width="17.140625" style="1108" bestFit="1" customWidth="1"/>
    <col min="6" max="6" width="71.8515625" style="1108" bestFit="1" customWidth="1"/>
    <col min="7" max="9" width="5.8515625" style="1108" customWidth="1"/>
    <col min="10" max="22" width="5.8515625" style="1108" bestFit="1" customWidth="1"/>
    <col min="23" max="24" width="11.00390625" style="1108" customWidth="1"/>
    <col min="25" max="16384" width="11.421875" style="1108" customWidth="1"/>
  </cols>
  <sheetData>
    <row r="1" spans="1:4" ht="12.75">
      <c r="A1" s="1113" t="s">
        <v>206</v>
      </c>
      <c r="B1" s="1113" t="s">
        <v>206</v>
      </c>
      <c r="C1" s="1113" t="s">
        <v>207</v>
      </c>
      <c r="D1" s="1113" t="s">
        <v>208</v>
      </c>
    </row>
    <row r="2" spans="1:4" ht="12.75">
      <c r="A2" s="1112" t="s">
        <v>47</v>
      </c>
      <c r="B2" s="1128" t="s">
        <v>212</v>
      </c>
      <c r="C2" s="1112">
        <v>31</v>
      </c>
      <c r="D2" s="1112">
        <v>2006</v>
      </c>
    </row>
    <row r="3" spans="1:4" ht="12.75">
      <c r="A3" s="1112" t="s">
        <v>48</v>
      </c>
      <c r="B3" s="1128" t="s">
        <v>213</v>
      </c>
      <c r="C3" s="1112">
        <f>IF(MOD(E14,4)=0,29,28)</f>
        <v>29</v>
      </c>
      <c r="D3" s="1112">
        <f>+D2+1</f>
        <v>2007</v>
      </c>
    </row>
    <row r="4" spans="1:4" ht="12.75">
      <c r="A4" s="1112" t="s">
        <v>49</v>
      </c>
      <c r="B4" s="1128" t="s">
        <v>214</v>
      </c>
      <c r="C4" s="1112">
        <v>31</v>
      </c>
      <c r="D4" s="1112">
        <v>2008</v>
      </c>
    </row>
    <row r="5" spans="1:4" ht="12.75">
      <c r="A5" s="1112" t="s">
        <v>50</v>
      </c>
      <c r="B5" s="1128" t="s">
        <v>215</v>
      </c>
      <c r="C5" s="1112">
        <v>30</v>
      </c>
      <c r="D5" s="1112"/>
    </row>
    <row r="6" spans="1:4" ht="12.75">
      <c r="A6" s="1112" t="s">
        <v>51</v>
      </c>
      <c r="B6" s="1128" t="s">
        <v>216</v>
      </c>
      <c r="C6" s="1112">
        <v>31</v>
      </c>
      <c r="D6" s="1112"/>
    </row>
    <row r="7" spans="1:4" ht="12.75">
      <c r="A7" s="1112" t="s">
        <v>52</v>
      </c>
      <c r="B7" s="1128" t="s">
        <v>217</v>
      </c>
      <c r="C7" s="1112">
        <v>30</v>
      </c>
      <c r="D7" s="1112"/>
    </row>
    <row r="8" spans="1:4" ht="12.75">
      <c r="A8" s="1112" t="s">
        <v>53</v>
      </c>
      <c r="B8" s="1128" t="s">
        <v>218</v>
      </c>
      <c r="C8" s="1112">
        <v>31</v>
      </c>
      <c r="D8" s="1112"/>
    </row>
    <row r="9" spans="1:4" ht="12.75">
      <c r="A9" s="1112" t="s">
        <v>54</v>
      </c>
      <c r="B9" s="1128" t="s">
        <v>219</v>
      </c>
      <c r="C9" s="1112">
        <v>31</v>
      </c>
      <c r="D9" s="1112"/>
    </row>
    <row r="10" spans="1:4" ht="12.75">
      <c r="A10" s="1112" t="s">
        <v>55</v>
      </c>
      <c r="B10" s="1128" t="s">
        <v>220</v>
      </c>
      <c r="C10" s="1112">
        <v>30</v>
      </c>
      <c r="D10" s="1112"/>
    </row>
    <row r="11" spans="1:4" ht="12.75">
      <c r="A11" s="1112" t="s">
        <v>56</v>
      </c>
      <c r="B11" s="1128" t="s">
        <v>221</v>
      </c>
      <c r="C11" s="1112">
        <v>31</v>
      </c>
      <c r="D11" s="1112"/>
    </row>
    <row r="12" spans="1:4" ht="12.75">
      <c r="A12" s="1112" t="s">
        <v>57</v>
      </c>
      <c r="B12" s="1128" t="s">
        <v>222</v>
      </c>
      <c r="C12" s="1112">
        <v>30</v>
      </c>
      <c r="D12" s="1112"/>
    </row>
    <row r="13" spans="1:9" ht="12.75">
      <c r="A13" s="1112" t="s">
        <v>58</v>
      </c>
      <c r="B13" s="1128" t="s">
        <v>223</v>
      </c>
      <c r="C13" s="1112">
        <v>31</v>
      </c>
      <c r="D13" s="1112"/>
      <c r="E13" s="1209"/>
      <c r="I13" s="1144" t="s">
        <v>293</v>
      </c>
    </row>
    <row r="14" spans="1:9" ht="12.75">
      <c r="A14" s="1109">
        <v>3</v>
      </c>
      <c r="B14" s="1110">
        <v>10</v>
      </c>
      <c r="C14" s="1109" t="str">
        <f ca="1">CELL("CONTENIDO",OFFSET(A1,B14,0))</f>
        <v>octubre</v>
      </c>
      <c r="D14" s="1109">
        <f ca="1">CELL("CONTENIDO",OFFSET(C1,B14,0))</f>
        <v>31</v>
      </c>
      <c r="E14" s="1109">
        <f ca="1">CELL("CONTENIDO",OFFSET(D1,A14,0))</f>
        <v>2008</v>
      </c>
      <c r="F14" s="1109" t="str">
        <f>"Desde el 01 al "&amp;D14&amp;" de "&amp;C14&amp;" de "&amp;E14</f>
        <v>Desde el 01 al 31 de octubre de 2008</v>
      </c>
      <c r="G14" s="1109" t="str">
        <f ca="1">CELL("CONTENIDO",OFFSET(B1,B14,0))</f>
        <v>10</v>
      </c>
      <c r="H14" s="1109" t="str">
        <f>RIGHT(E14,2)</f>
        <v>08</v>
      </c>
      <c r="I14" s="1145" t="s">
        <v>287</v>
      </c>
    </row>
    <row r="15" spans="1:8" ht="12.75">
      <c r="A15" s="1109"/>
      <c r="B15" s="1111" t="str">
        <f>"\\fileserver\files\Transporte\transporte\AA PROCESO AUT\TRANSENER\"&amp;E14</f>
        <v>\\fileserver\files\Transporte\transporte\AA PROCESO AUT\TRANSENER\2008</v>
      </c>
      <c r="C15" s="1109"/>
      <c r="D15" s="1109"/>
      <c r="E15" s="1109"/>
      <c r="F15" s="1109"/>
      <c r="G15" s="1109" t="str">
        <f>"J"&amp;G14&amp;H14&amp;"NER"</f>
        <v>J1008NER</v>
      </c>
      <c r="H15" s="1109"/>
    </row>
    <row r="16" spans="1:8" ht="12.75">
      <c r="A16" s="1109"/>
      <c r="B16" s="1111" t="str">
        <f>"\\fileserver\files\Transporte\transporte\AA PROCESO AUT\NERNOANEA\"&amp;H14&amp;G14</f>
        <v>\\fileserver\files\Transporte\transporte\AA PROCESO AUT\NERNOANEA\0810</v>
      </c>
      <c r="C16" s="1109"/>
      <c r="D16" s="1109"/>
      <c r="E16" s="1109"/>
      <c r="F16" s="1109"/>
      <c r="G16" s="1109"/>
      <c r="H16" s="1109"/>
    </row>
    <row r="17" spans="1:29" ht="12.75">
      <c r="A17" s="1113" t="s">
        <v>194</v>
      </c>
      <c r="B17" s="1113" t="s">
        <v>245</v>
      </c>
      <c r="C17" s="1113" t="s">
        <v>227</v>
      </c>
      <c r="D17" s="1113" t="s">
        <v>226</v>
      </c>
      <c r="E17" s="1113" t="s">
        <v>211</v>
      </c>
      <c r="F17" s="1113" t="s">
        <v>224</v>
      </c>
      <c r="G17" s="1113" t="s">
        <v>242</v>
      </c>
      <c r="H17" s="1113" t="s">
        <v>228</v>
      </c>
      <c r="I17" s="1113" t="s">
        <v>229</v>
      </c>
      <c r="J17" s="1113" t="s">
        <v>230</v>
      </c>
      <c r="K17" s="1113" t="s">
        <v>231</v>
      </c>
      <c r="L17" s="1113" t="s">
        <v>232</v>
      </c>
      <c r="M17" s="1113" t="s">
        <v>233</v>
      </c>
      <c r="N17" s="1113" t="s">
        <v>234</v>
      </c>
      <c r="O17" s="1113" t="s">
        <v>235</v>
      </c>
      <c r="P17" s="1113" t="s">
        <v>317</v>
      </c>
      <c r="Q17" s="1113" t="s">
        <v>236</v>
      </c>
      <c r="R17" s="1113" t="s">
        <v>237</v>
      </c>
      <c r="S17" s="1113" t="s">
        <v>238</v>
      </c>
      <c r="T17" s="1113" t="s">
        <v>239</v>
      </c>
      <c r="U17" s="1113" t="s">
        <v>240</v>
      </c>
      <c r="V17" s="1113" t="s">
        <v>241</v>
      </c>
      <c r="W17" s="1113" t="s">
        <v>298</v>
      </c>
      <c r="X17" s="1113" t="s">
        <v>299</v>
      </c>
      <c r="Y17" s="1113" t="s">
        <v>301</v>
      </c>
      <c r="Z17" s="1113" t="s">
        <v>300</v>
      </c>
      <c r="AA17" s="1113" t="s">
        <v>303</v>
      </c>
      <c r="AB17" s="1113" t="s">
        <v>302</v>
      </c>
      <c r="AC17" s="1113" t="s">
        <v>319</v>
      </c>
    </row>
    <row r="18" spans="1:29" ht="12.75">
      <c r="A18" s="1151" t="s">
        <v>195</v>
      </c>
      <c r="B18" s="1132">
        <v>22</v>
      </c>
      <c r="C18" s="1132">
        <v>20</v>
      </c>
      <c r="D18" s="1132">
        <v>11</v>
      </c>
      <c r="E18" s="1151" t="str">
        <f>"LI-"&amp;$G$14</f>
        <v>LI-10</v>
      </c>
      <c r="F18" s="1151" t="s">
        <v>225</v>
      </c>
      <c r="G18" s="1132">
        <v>3</v>
      </c>
      <c r="H18" s="1133">
        <v>0</v>
      </c>
      <c r="I18" s="1133">
        <v>0</v>
      </c>
      <c r="J18" s="1132">
        <v>4</v>
      </c>
      <c r="K18" s="1132">
        <v>5</v>
      </c>
      <c r="L18" s="1132">
        <v>6</v>
      </c>
      <c r="M18" s="1132">
        <v>7</v>
      </c>
      <c r="N18" s="1132">
        <v>10</v>
      </c>
      <c r="O18" s="1132">
        <v>11</v>
      </c>
      <c r="P18" s="1132">
        <v>14</v>
      </c>
      <c r="Q18" s="1132">
        <v>17</v>
      </c>
      <c r="R18" s="1132">
        <v>28</v>
      </c>
      <c r="S18" s="1132">
        <v>0</v>
      </c>
      <c r="T18" s="1132">
        <v>0</v>
      </c>
      <c r="U18" s="1132">
        <v>0</v>
      </c>
      <c r="V18" s="1132">
        <v>0</v>
      </c>
      <c r="W18" s="1151">
        <v>17</v>
      </c>
      <c r="X18" s="1151">
        <v>9</v>
      </c>
      <c r="Y18" s="1151">
        <v>43</v>
      </c>
      <c r="Z18" s="1155">
        <v>29</v>
      </c>
      <c r="AA18" s="1151">
        <v>20</v>
      </c>
      <c r="AB18" s="1155">
        <v>29</v>
      </c>
      <c r="AC18" s="1151">
        <v>14</v>
      </c>
    </row>
    <row r="19" spans="1:29" ht="12.75">
      <c r="A19" s="1151" t="s">
        <v>257</v>
      </c>
      <c r="B19" s="1132">
        <v>22</v>
      </c>
      <c r="C19" s="1132">
        <v>20</v>
      </c>
      <c r="D19" s="1132">
        <v>11</v>
      </c>
      <c r="E19" s="1151" t="str">
        <f>"LI-IV-"&amp;$G$14</f>
        <v>LI-IV-10</v>
      </c>
      <c r="F19" s="1151" t="s">
        <v>258</v>
      </c>
      <c r="G19" s="1132">
        <v>3</v>
      </c>
      <c r="H19" s="1133">
        <v>0</v>
      </c>
      <c r="I19" s="1133">
        <v>0</v>
      </c>
      <c r="J19" s="1132">
        <v>4</v>
      </c>
      <c r="K19" s="1132">
        <v>5</v>
      </c>
      <c r="L19" s="1132">
        <v>6</v>
      </c>
      <c r="M19" s="1132">
        <v>7</v>
      </c>
      <c r="N19" s="1132">
        <v>10</v>
      </c>
      <c r="O19" s="1132">
        <v>11</v>
      </c>
      <c r="P19" s="1132">
        <v>14</v>
      </c>
      <c r="Q19" s="1132">
        <v>17</v>
      </c>
      <c r="R19" s="1132">
        <v>28</v>
      </c>
      <c r="S19" s="1132">
        <v>0</v>
      </c>
      <c r="T19" s="1132">
        <v>0</v>
      </c>
      <c r="U19" s="1132">
        <v>0</v>
      </c>
      <c r="V19" s="1132">
        <v>0</v>
      </c>
      <c r="W19" s="1151">
        <v>20</v>
      </c>
      <c r="X19" s="1151">
        <v>9</v>
      </c>
      <c r="Y19" s="1151">
        <v>43</v>
      </c>
      <c r="Z19" s="1155">
        <v>29</v>
      </c>
      <c r="AA19" s="1151">
        <v>20</v>
      </c>
      <c r="AB19" s="1155">
        <v>29</v>
      </c>
      <c r="AC19" s="1151">
        <v>14</v>
      </c>
    </row>
    <row r="20" spans="1:29" ht="12.75">
      <c r="A20" s="1152" t="s">
        <v>196</v>
      </c>
      <c r="B20" s="1134">
        <v>22</v>
      </c>
      <c r="C20" s="1134">
        <v>20</v>
      </c>
      <c r="D20" s="1134">
        <v>12</v>
      </c>
      <c r="E20" s="1152" t="str">
        <f>"TR-"&amp;$G$14</f>
        <v>TR-10</v>
      </c>
      <c r="F20" s="1152" t="s">
        <v>246</v>
      </c>
      <c r="G20" s="1132">
        <v>3</v>
      </c>
      <c r="H20" s="1133">
        <v>0</v>
      </c>
      <c r="I20" s="1133">
        <v>0</v>
      </c>
      <c r="J20" s="1134">
        <v>4</v>
      </c>
      <c r="K20" s="1134">
        <v>5</v>
      </c>
      <c r="L20" s="1134">
        <v>6</v>
      </c>
      <c r="M20" s="1134">
        <v>7</v>
      </c>
      <c r="N20" s="1134">
        <v>9</v>
      </c>
      <c r="O20" s="1134">
        <v>10</v>
      </c>
      <c r="P20" s="1134">
        <v>13</v>
      </c>
      <c r="Q20" s="1134">
        <v>15</v>
      </c>
      <c r="R20" s="1134">
        <v>16</v>
      </c>
      <c r="S20" s="1134">
        <v>26</v>
      </c>
      <c r="T20" s="1134">
        <v>0</v>
      </c>
      <c r="U20" s="1134">
        <v>0</v>
      </c>
      <c r="V20" s="1134">
        <v>0</v>
      </c>
      <c r="W20" s="1152">
        <v>26</v>
      </c>
      <c r="X20" s="1152">
        <v>9</v>
      </c>
      <c r="Y20" s="1152">
        <v>43</v>
      </c>
      <c r="Z20" s="1152">
        <v>27</v>
      </c>
      <c r="AA20" s="1152">
        <v>20</v>
      </c>
      <c r="AB20" s="1152">
        <v>27</v>
      </c>
      <c r="AC20" s="1152">
        <v>13</v>
      </c>
    </row>
    <row r="21" spans="1:29" ht="12.75">
      <c r="A21" s="1151" t="s">
        <v>197</v>
      </c>
      <c r="B21" s="1132">
        <v>24</v>
      </c>
      <c r="C21" s="1132">
        <v>20</v>
      </c>
      <c r="D21" s="1132">
        <v>9</v>
      </c>
      <c r="E21" s="1151" t="str">
        <f>"SA-"&amp;$G$14</f>
        <v>SA-10</v>
      </c>
      <c r="F21" s="1151" t="s">
        <v>250</v>
      </c>
      <c r="G21" s="1132">
        <v>3</v>
      </c>
      <c r="H21" s="1133">
        <v>0</v>
      </c>
      <c r="I21" s="1133">
        <v>0</v>
      </c>
      <c r="J21" s="1132">
        <v>4</v>
      </c>
      <c r="K21" s="1132">
        <v>5</v>
      </c>
      <c r="L21" s="1132">
        <v>6</v>
      </c>
      <c r="M21" s="1132">
        <v>8</v>
      </c>
      <c r="N21" s="1132">
        <v>9</v>
      </c>
      <c r="O21" s="1132">
        <v>12</v>
      </c>
      <c r="P21" s="1132">
        <v>13</v>
      </c>
      <c r="Q21" s="1132">
        <v>18</v>
      </c>
      <c r="R21" s="1132">
        <v>0</v>
      </c>
      <c r="S21" s="1132">
        <v>0</v>
      </c>
      <c r="T21" s="1132">
        <v>0</v>
      </c>
      <c r="U21" s="1132">
        <v>0</v>
      </c>
      <c r="V21" s="1132">
        <v>0</v>
      </c>
      <c r="W21" s="1151">
        <v>31</v>
      </c>
      <c r="X21" s="1151">
        <v>9</v>
      </c>
      <c r="Y21" s="1151">
        <v>45</v>
      </c>
      <c r="Z21" s="1151">
        <v>20</v>
      </c>
      <c r="AA21" s="1151">
        <v>22</v>
      </c>
      <c r="AB21" s="1151">
        <v>20</v>
      </c>
      <c r="AC21" s="1151">
        <v>12</v>
      </c>
    </row>
    <row r="22" spans="1:29" ht="12.75">
      <c r="A22" s="1151" t="s">
        <v>205</v>
      </c>
      <c r="B22" s="1132">
        <v>22</v>
      </c>
      <c r="C22" s="1132">
        <v>20</v>
      </c>
      <c r="D22" s="1132">
        <v>10</v>
      </c>
      <c r="E22" s="1151" t="str">
        <f>"RE-"&amp;$G$14</f>
        <v>RE-10</v>
      </c>
      <c r="F22" s="1151" t="s">
        <v>253</v>
      </c>
      <c r="G22" s="1132">
        <v>3</v>
      </c>
      <c r="H22" s="1133">
        <v>0</v>
      </c>
      <c r="I22" s="1133">
        <v>0</v>
      </c>
      <c r="J22" s="1132">
        <v>4</v>
      </c>
      <c r="K22" s="1132">
        <v>5</v>
      </c>
      <c r="L22" s="1132">
        <v>6</v>
      </c>
      <c r="M22" s="1132">
        <v>8</v>
      </c>
      <c r="N22" s="1132">
        <v>9</v>
      </c>
      <c r="O22" s="1132">
        <v>12</v>
      </c>
      <c r="P22" s="1132">
        <v>14</v>
      </c>
      <c r="Q22" s="1132">
        <v>20</v>
      </c>
      <c r="R22" s="1132">
        <v>0</v>
      </c>
      <c r="S22" s="1132">
        <v>0</v>
      </c>
      <c r="T22" s="1132">
        <v>0</v>
      </c>
      <c r="U22" s="1132">
        <v>0</v>
      </c>
      <c r="V22" s="1132">
        <v>0</v>
      </c>
      <c r="W22" s="1151">
        <v>39</v>
      </c>
      <c r="X22" s="1151">
        <v>9</v>
      </c>
      <c r="Y22" s="1151">
        <v>43</v>
      </c>
      <c r="Z22" s="1151">
        <v>21</v>
      </c>
      <c r="AA22" s="1151">
        <v>20</v>
      </c>
      <c r="AB22" s="1151">
        <v>21</v>
      </c>
      <c r="AC22" s="1151">
        <v>12</v>
      </c>
    </row>
    <row r="23" spans="1:29" ht="12.75">
      <c r="A23" s="1151" t="s">
        <v>290</v>
      </c>
      <c r="B23" s="1132">
        <v>22</v>
      </c>
      <c r="C23" s="1132">
        <v>20</v>
      </c>
      <c r="D23" s="1132">
        <v>10</v>
      </c>
      <c r="E23" s="1151" t="str">
        <f>"RE-IV-"&amp;$G$14</f>
        <v>RE-IV-10</v>
      </c>
      <c r="F23" s="1151" t="s">
        <v>291</v>
      </c>
      <c r="G23" s="1132">
        <v>3</v>
      </c>
      <c r="H23" s="1133">
        <v>0</v>
      </c>
      <c r="I23" s="1133">
        <v>0</v>
      </c>
      <c r="J23" s="1132">
        <v>4</v>
      </c>
      <c r="K23" s="1132">
        <v>5</v>
      </c>
      <c r="L23" s="1132">
        <v>6</v>
      </c>
      <c r="M23" s="1132">
        <v>8</v>
      </c>
      <c r="N23" s="1132">
        <v>9</v>
      </c>
      <c r="O23" s="1132">
        <v>12</v>
      </c>
      <c r="P23" s="1132">
        <v>14</v>
      </c>
      <c r="Q23" s="1132">
        <v>20</v>
      </c>
      <c r="R23" s="1132">
        <v>0</v>
      </c>
      <c r="S23" s="1132">
        <v>0</v>
      </c>
      <c r="T23" s="1132">
        <v>0</v>
      </c>
      <c r="U23" s="1132">
        <v>0</v>
      </c>
      <c r="V23" s="1132">
        <v>0</v>
      </c>
      <c r="W23" s="1151">
        <v>43</v>
      </c>
      <c r="X23" s="1151">
        <v>9</v>
      </c>
      <c r="Y23" s="1151">
        <v>43</v>
      </c>
      <c r="Z23" s="1151">
        <v>21</v>
      </c>
      <c r="AA23" s="1151">
        <v>20</v>
      </c>
      <c r="AB23" s="1151">
        <v>21</v>
      </c>
      <c r="AC23" s="1151">
        <v>12</v>
      </c>
    </row>
    <row r="24" spans="1:29" ht="12.75">
      <c r="A24" s="1151" t="s">
        <v>198</v>
      </c>
      <c r="B24" s="1132">
        <v>19</v>
      </c>
      <c r="C24" s="1132">
        <v>20</v>
      </c>
      <c r="D24" s="1132">
        <v>11</v>
      </c>
      <c r="E24" s="1151" t="str">
        <f>"LI-YACY-"&amp;$G$14</f>
        <v>LI-YACY-10</v>
      </c>
      <c r="F24" s="1151" t="s">
        <v>243</v>
      </c>
      <c r="G24" s="1132">
        <v>3</v>
      </c>
      <c r="H24" s="1133">
        <v>0</v>
      </c>
      <c r="I24" s="1133">
        <v>0</v>
      </c>
      <c r="J24" s="1132">
        <v>4</v>
      </c>
      <c r="K24" s="1132">
        <v>5</v>
      </c>
      <c r="L24" s="1132">
        <v>6</v>
      </c>
      <c r="M24" s="1132">
        <v>0</v>
      </c>
      <c r="N24" s="1132">
        <v>7</v>
      </c>
      <c r="O24" s="1132">
        <v>8</v>
      </c>
      <c r="P24" s="1132">
        <v>11</v>
      </c>
      <c r="Q24" s="1132">
        <v>0</v>
      </c>
      <c r="R24" s="1132">
        <v>0</v>
      </c>
      <c r="S24" s="1132">
        <v>0</v>
      </c>
      <c r="T24" s="1132">
        <v>0</v>
      </c>
      <c r="U24" s="1132">
        <v>0</v>
      </c>
      <c r="V24" s="1132">
        <v>0</v>
      </c>
      <c r="W24" s="1151">
        <v>18</v>
      </c>
      <c r="X24" s="1151">
        <v>9</v>
      </c>
      <c r="Y24" s="1151">
        <v>40</v>
      </c>
      <c r="Z24" s="1155">
        <v>22</v>
      </c>
      <c r="AA24" s="1151">
        <v>17</v>
      </c>
      <c r="AB24" s="1155">
        <v>22</v>
      </c>
      <c r="AC24" s="1151">
        <v>11</v>
      </c>
    </row>
    <row r="25" spans="1:29" ht="12.75">
      <c r="A25" s="1151" t="s">
        <v>209</v>
      </c>
      <c r="B25" s="1132">
        <v>21</v>
      </c>
      <c r="C25" s="1132">
        <v>20</v>
      </c>
      <c r="D25" s="1132">
        <v>8</v>
      </c>
      <c r="E25" s="1151" t="str">
        <f>"RE-YACY-"&amp;$G$14</f>
        <v>RE-YACY-10</v>
      </c>
      <c r="F25" s="1151" t="s">
        <v>254</v>
      </c>
      <c r="G25" s="1132">
        <v>3</v>
      </c>
      <c r="H25" s="1133">
        <v>0</v>
      </c>
      <c r="I25" s="1133">
        <v>0</v>
      </c>
      <c r="J25" s="1132">
        <v>4</v>
      </c>
      <c r="K25" s="1132">
        <v>5</v>
      </c>
      <c r="L25" s="1132">
        <v>6</v>
      </c>
      <c r="M25" s="1132">
        <v>7</v>
      </c>
      <c r="N25" s="1132">
        <v>8</v>
      </c>
      <c r="O25" s="1132">
        <v>11</v>
      </c>
      <c r="P25" s="1132">
        <v>0</v>
      </c>
      <c r="Q25" s="1132">
        <v>0</v>
      </c>
      <c r="R25" s="1132">
        <v>0</v>
      </c>
      <c r="S25" s="1132">
        <v>0</v>
      </c>
      <c r="T25" s="1132">
        <v>0</v>
      </c>
      <c r="U25" s="1132">
        <v>0</v>
      </c>
      <c r="V25" s="1132">
        <v>0</v>
      </c>
      <c r="W25" s="1151">
        <v>41</v>
      </c>
      <c r="X25" s="1151">
        <v>9</v>
      </c>
      <c r="Y25" s="1151">
        <v>42</v>
      </c>
      <c r="Z25" s="1151">
        <v>22</v>
      </c>
      <c r="AA25" s="1151">
        <v>19</v>
      </c>
      <c r="AB25" s="1151">
        <v>22</v>
      </c>
      <c r="AC25" s="1151">
        <v>11</v>
      </c>
    </row>
    <row r="26" spans="1:29" ht="12.75">
      <c r="A26" s="1151" t="s">
        <v>199</v>
      </c>
      <c r="B26" s="1132">
        <v>22</v>
      </c>
      <c r="C26" s="1132">
        <v>20</v>
      </c>
      <c r="D26" s="1132">
        <v>11</v>
      </c>
      <c r="E26" s="1151" t="str">
        <f>"LI-LITSA-"&amp;$G$14</f>
        <v>LI-LITSA-10</v>
      </c>
      <c r="F26" s="1151" t="s">
        <v>244</v>
      </c>
      <c r="G26" s="1132">
        <v>3</v>
      </c>
      <c r="H26" s="1133">
        <v>0</v>
      </c>
      <c r="I26" s="1133">
        <v>0</v>
      </c>
      <c r="J26" s="1132">
        <v>4</v>
      </c>
      <c r="K26" s="1132">
        <v>5</v>
      </c>
      <c r="L26" s="1132">
        <v>6</v>
      </c>
      <c r="M26" s="1132">
        <v>7</v>
      </c>
      <c r="N26" s="1132">
        <v>10</v>
      </c>
      <c r="O26" s="1132">
        <v>11</v>
      </c>
      <c r="P26" s="1132">
        <v>14</v>
      </c>
      <c r="Q26" s="1132">
        <v>17</v>
      </c>
      <c r="R26" s="1132">
        <v>28</v>
      </c>
      <c r="S26" s="1132">
        <v>0</v>
      </c>
      <c r="T26" s="1132">
        <v>0</v>
      </c>
      <c r="U26" s="1132">
        <v>0</v>
      </c>
      <c r="V26" s="1132">
        <v>0</v>
      </c>
      <c r="W26" s="1151">
        <v>19</v>
      </c>
      <c r="X26" s="1151">
        <v>9</v>
      </c>
      <c r="Y26" s="1151">
        <v>43</v>
      </c>
      <c r="Z26" s="1155">
        <v>30</v>
      </c>
      <c r="AA26" s="1151">
        <v>20</v>
      </c>
      <c r="AB26" s="1155">
        <v>30</v>
      </c>
      <c r="AC26" s="1151">
        <v>14</v>
      </c>
    </row>
    <row r="27" spans="1:29" ht="12.75">
      <c r="A27" s="1151" t="s">
        <v>200</v>
      </c>
      <c r="B27" s="1132">
        <v>22</v>
      </c>
      <c r="C27" s="1132">
        <v>20</v>
      </c>
      <c r="D27" s="1134">
        <v>12</v>
      </c>
      <c r="E27" s="1151" t="str">
        <f>"TR-LITSA-"&amp;$G$14</f>
        <v>TR-LITSA-10</v>
      </c>
      <c r="F27" s="1151" t="s">
        <v>247</v>
      </c>
      <c r="G27" s="1132">
        <v>3</v>
      </c>
      <c r="H27" s="1133">
        <v>0</v>
      </c>
      <c r="I27" s="1133">
        <v>0</v>
      </c>
      <c r="J27" s="1134">
        <v>4</v>
      </c>
      <c r="K27" s="1134">
        <v>5</v>
      </c>
      <c r="L27" s="1134">
        <v>6</v>
      </c>
      <c r="M27" s="1134">
        <v>7</v>
      </c>
      <c r="N27" s="1134">
        <v>9</v>
      </c>
      <c r="O27" s="1134">
        <v>10</v>
      </c>
      <c r="P27" s="1134">
        <v>13</v>
      </c>
      <c r="Q27" s="1134">
        <v>15</v>
      </c>
      <c r="R27" s="1134">
        <v>16</v>
      </c>
      <c r="S27" s="1134">
        <v>26</v>
      </c>
      <c r="T27" s="1134">
        <v>0</v>
      </c>
      <c r="U27" s="1134">
        <v>0</v>
      </c>
      <c r="V27" s="1134">
        <v>0</v>
      </c>
      <c r="W27" s="1152">
        <v>27</v>
      </c>
      <c r="X27" s="1152">
        <v>9</v>
      </c>
      <c r="Y27" s="1152">
        <v>43</v>
      </c>
      <c r="Z27" s="1152">
        <v>27</v>
      </c>
      <c r="AA27" s="1152">
        <v>20</v>
      </c>
      <c r="AB27" s="1152">
        <v>27</v>
      </c>
      <c r="AC27" s="1152">
        <v>13</v>
      </c>
    </row>
    <row r="28" spans="1:29" ht="12.75">
      <c r="A28" s="1151" t="s">
        <v>210</v>
      </c>
      <c r="B28" s="1132">
        <v>24</v>
      </c>
      <c r="C28" s="1132">
        <v>20</v>
      </c>
      <c r="D28" s="1132">
        <v>10</v>
      </c>
      <c r="E28" s="1151" t="str">
        <f>"RE-LITSA-"&amp;$G$14</f>
        <v>RE-LITSA-10</v>
      </c>
      <c r="F28" s="1151" t="s">
        <v>255</v>
      </c>
      <c r="G28" s="1132">
        <v>3</v>
      </c>
      <c r="H28" s="1133">
        <v>0</v>
      </c>
      <c r="I28" s="1133">
        <v>0</v>
      </c>
      <c r="J28" s="1132">
        <v>4</v>
      </c>
      <c r="K28" s="1132">
        <v>5</v>
      </c>
      <c r="L28" s="1132">
        <v>6</v>
      </c>
      <c r="M28" s="1132">
        <v>8</v>
      </c>
      <c r="N28" s="1132">
        <v>9</v>
      </c>
      <c r="O28" s="1132">
        <v>12</v>
      </c>
      <c r="P28" s="1132">
        <v>14</v>
      </c>
      <c r="Q28" s="1132">
        <v>20</v>
      </c>
      <c r="R28" s="1132">
        <v>0</v>
      </c>
      <c r="S28" s="1132">
        <v>0</v>
      </c>
      <c r="T28" s="1132">
        <v>0</v>
      </c>
      <c r="U28" s="1132">
        <v>0</v>
      </c>
      <c r="V28" s="1132">
        <v>0</v>
      </c>
      <c r="W28" s="1151">
        <v>42</v>
      </c>
      <c r="X28" s="1151">
        <v>9</v>
      </c>
      <c r="Y28" s="1151">
        <v>45</v>
      </c>
      <c r="Z28" s="1151">
        <v>22</v>
      </c>
      <c r="AA28" s="1151">
        <v>22</v>
      </c>
      <c r="AB28" s="1151">
        <v>22</v>
      </c>
      <c r="AC28" s="1151">
        <v>13</v>
      </c>
    </row>
    <row r="29" spans="1:29" ht="12.75">
      <c r="A29" s="1151" t="s">
        <v>201</v>
      </c>
      <c r="B29" s="1132">
        <v>20</v>
      </c>
      <c r="C29" s="1132">
        <v>20</v>
      </c>
      <c r="D29" s="1134">
        <v>12</v>
      </c>
      <c r="E29" s="1151" t="str">
        <f>"TR-TIBA-"&amp;$G$14</f>
        <v>TR-TIBA-10</v>
      </c>
      <c r="F29" s="1151" t="s">
        <v>249</v>
      </c>
      <c r="G29" s="1132">
        <v>3</v>
      </c>
      <c r="H29" s="1133">
        <v>0</v>
      </c>
      <c r="I29" s="1133">
        <v>0</v>
      </c>
      <c r="J29" s="1134">
        <v>4</v>
      </c>
      <c r="K29" s="1134">
        <v>5</v>
      </c>
      <c r="L29" s="1134">
        <v>6</v>
      </c>
      <c r="M29" s="1134">
        <v>7</v>
      </c>
      <c r="N29" s="1134">
        <v>9</v>
      </c>
      <c r="O29" s="1134">
        <v>10</v>
      </c>
      <c r="P29" s="1134">
        <v>13</v>
      </c>
      <c r="Q29" s="1134">
        <v>15</v>
      </c>
      <c r="R29" s="1134">
        <v>16</v>
      </c>
      <c r="S29" s="1134">
        <v>26</v>
      </c>
      <c r="T29" s="1134">
        <v>0</v>
      </c>
      <c r="U29" s="1134">
        <v>0</v>
      </c>
      <c r="V29" s="1134">
        <v>0</v>
      </c>
      <c r="W29" s="1152">
        <v>28</v>
      </c>
      <c r="X29" s="1152">
        <v>9</v>
      </c>
      <c r="Y29" s="1152">
        <v>41</v>
      </c>
      <c r="Z29" s="1152">
        <v>27</v>
      </c>
      <c r="AA29" s="1152">
        <v>18</v>
      </c>
      <c r="AB29" s="1152">
        <v>27</v>
      </c>
      <c r="AC29" s="1152">
        <v>13</v>
      </c>
    </row>
    <row r="30" spans="1:29" ht="12.75">
      <c r="A30" s="1151" t="s">
        <v>203</v>
      </c>
      <c r="B30" s="1132">
        <v>22</v>
      </c>
      <c r="C30" s="1132">
        <v>20</v>
      </c>
      <c r="D30" s="1132">
        <v>9</v>
      </c>
      <c r="E30" s="1151" t="str">
        <f>"SA-TIBA-"&amp;$G$14</f>
        <v>SA-TIBA-10</v>
      </c>
      <c r="F30" s="1151" t="s">
        <v>251</v>
      </c>
      <c r="G30" s="1132">
        <v>3</v>
      </c>
      <c r="H30" s="1133">
        <v>0</v>
      </c>
      <c r="I30" s="1133">
        <v>0</v>
      </c>
      <c r="J30" s="1132">
        <v>4</v>
      </c>
      <c r="K30" s="1132">
        <v>5</v>
      </c>
      <c r="L30" s="1132">
        <v>6</v>
      </c>
      <c r="M30" s="1132">
        <v>8</v>
      </c>
      <c r="N30" s="1132">
        <v>9</v>
      </c>
      <c r="O30" s="1132">
        <v>12</v>
      </c>
      <c r="P30" s="1132">
        <v>13</v>
      </c>
      <c r="Q30" s="1132">
        <v>18</v>
      </c>
      <c r="R30" s="1132">
        <v>0</v>
      </c>
      <c r="S30" s="1132">
        <v>0</v>
      </c>
      <c r="T30" s="1132">
        <v>0</v>
      </c>
      <c r="U30" s="1132">
        <v>0</v>
      </c>
      <c r="V30" s="1132">
        <v>0</v>
      </c>
      <c r="W30" s="1151">
        <v>32</v>
      </c>
      <c r="X30" s="1151">
        <v>9</v>
      </c>
      <c r="Y30" s="1151">
        <v>43</v>
      </c>
      <c r="Z30" s="1151">
        <v>20</v>
      </c>
      <c r="AA30" s="1151">
        <v>20</v>
      </c>
      <c r="AB30" s="1151">
        <v>20</v>
      </c>
      <c r="AC30" s="1151">
        <v>12</v>
      </c>
    </row>
    <row r="31" spans="1:29" ht="12.75">
      <c r="A31" s="1151" t="s">
        <v>202</v>
      </c>
      <c r="B31" s="1132">
        <v>20</v>
      </c>
      <c r="C31" s="1132">
        <v>20</v>
      </c>
      <c r="D31" s="1134">
        <v>12</v>
      </c>
      <c r="E31" s="1151" t="str">
        <f>"TR-ENECOR-"&amp;$G$14</f>
        <v>TR-ENECOR-10</v>
      </c>
      <c r="F31" s="1151" t="s">
        <v>248</v>
      </c>
      <c r="G31" s="1132">
        <v>3</v>
      </c>
      <c r="H31" s="1133">
        <v>0</v>
      </c>
      <c r="I31" s="1133">
        <v>0</v>
      </c>
      <c r="J31" s="1134">
        <v>4</v>
      </c>
      <c r="K31" s="1134">
        <v>5</v>
      </c>
      <c r="L31" s="1134">
        <v>6</v>
      </c>
      <c r="M31" s="1134">
        <v>7</v>
      </c>
      <c r="N31" s="1134">
        <v>9</v>
      </c>
      <c r="O31" s="1134">
        <v>10</v>
      </c>
      <c r="P31" s="1134">
        <v>13</v>
      </c>
      <c r="Q31" s="1134">
        <v>15</v>
      </c>
      <c r="R31" s="1134">
        <v>16</v>
      </c>
      <c r="S31" s="1134">
        <v>26</v>
      </c>
      <c r="T31" s="1134">
        <v>0</v>
      </c>
      <c r="U31" s="1134">
        <v>0</v>
      </c>
      <c r="V31" s="1134">
        <v>0</v>
      </c>
      <c r="W31" s="1152">
        <v>29</v>
      </c>
      <c r="X31" s="1152">
        <v>9</v>
      </c>
      <c r="Y31" s="1152">
        <v>41</v>
      </c>
      <c r="Z31" s="1152">
        <v>27</v>
      </c>
      <c r="AA31" s="1152">
        <v>20</v>
      </c>
      <c r="AB31" s="1152">
        <v>27</v>
      </c>
      <c r="AC31" s="1152">
        <v>13</v>
      </c>
    </row>
    <row r="32" spans="1:29" ht="12.75">
      <c r="A32" s="1151" t="s">
        <v>204</v>
      </c>
      <c r="B32" s="1132">
        <v>22</v>
      </c>
      <c r="C32" s="1132">
        <v>20</v>
      </c>
      <c r="D32" s="1132">
        <v>9</v>
      </c>
      <c r="E32" s="1151" t="str">
        <f>"SA-ENECOR-"&amp;$G$14</f>
        <v>SA-ENECOR-10</v>
      </c>
      <c r="F32" s="1151" t="s">
        <v>252</v>
      </c>
      <c r="G32" s="1132">
        <v>3</v>
      </c>
      <c r="H32" s="1133">
        <v>0</v>
      </c>
      <c r="I32" s="1133">
        <v>0</v>
      </c>
      <c r="J32" s="1132">
        <v>4</v>
      </c>
      <c r="K32" s="1132">
        <v>5</v>
      </c>
      <c r="L32" s="1132">
        <v>6</v>
      </c>
      <c r="M32" s="1132">
        <v>8</v>
      </c>
      <c r="N32" s="1132">
        <v>9</v>
      </c>
      <c r="O32" s="1132">
        <v>12</v>
      </c>
      <c r="P32" s="1132">
        <v>13</v>
      </c>
      <c r="Q32" s="1132">
        <v>18</v>
      </c>
      <c r="R32" s="1132">
        <v>0</v>
      </c>
      <c r="S32" s="1132">
        <v>0</v>
      </c>
      <c r="T32" s="1132">
        <v>0</v>
      </c>
      <c r="U32" s="1132">
        <v>0</v>
      </c>
      <c r="V32" s="1132">
        <v>0</v>
      </c>
      <c r="W32" s="1151">
        <v>33</v>
      </c>
      <c r="X32" s="1151">
        <v>9</v>
      </c>
      <c r="Y32" s="1151">
        <v>43</v>
      </c>
      <c r="Z32" s="1151">
        <v>20</v>
      </c>
      <c r="AA32" s="1151">
        <v>20</v>
      </c>
      <c r="AB32" s="1151">
        <v>20</v>
      </c>
      <c r="AC32" s="1151">
        <v>12</v>
      </c>
    </row>
    <row r="33" spans="1:29" ht="12.75">
      <c r="A33" s="1154" t="s">
        <v>259</v>
      </c>
      <c r="B33" s="1149">
        <v>32</v>
      </c>
      <c r="C33" s="1149">
        <v>25</v>
      </c>
      <c r="D33" s="1149">
        <v>11</v>
      </c>
      <c r="E33" s="1154" t="s">
        <v>259</v>
      </c>
      <c r="F33" s="1153" t="s">
        <v>243</v>
      </c>
      <c r="G33" s="1149">
        <v>0</v>
      </c>
      <c r="H33" s="1149">
        <v>0</v>
      </c>
      <c r="I33" s="1149">
        <v>0</v>
      </c>
      <c r="J33" s="1149">
        <v>4</v>
      </c>
      <c r="K33" s="1149">
        <v>5</v>
      </c>
      <c r="L33" s="1149">
        <v>6</v>
      </c>
      <c r="M33" s="1149">
        <v>7</v>
      </c>
      <c r="N33" s="1149">
        <v>10</v>
      </c>
      <c r="O33" s="1149">
        <v>11</v>
      </c>
      <c r="P33" s="1149">
        <v>14</v>
      </c>
      <c r="Q33" s="1149">
        <v>17</v>
      </c>
      <c r="R33" s="1149">
        <v>28</v>
      </c>
      <c r="S33" s="1149">
        <v>0</v>
      </c>
      <c r="T33" s="1149">
        <v>0</v>
      </c>
      <c r="U33" s="1149">
        <v>0</v>
      </c>
      <c r="V33" s="1149">
        <v>0</v>
      </c>
      <c r="W33" s="1153">
        <v>0</v>
      </c>
      <c r="X33" s="1153">
        <v>0</v>
      </c>
      <c r="Y33" s="1153">
        <v>0</v>
      </c>
      <c r="Z33" s="1153">
        <v>0</v>
      </c>
      <c r="AA33" s="1153">
        <v>0</v>
      </c>
      <c r="AB33" s="1153">
        <v>0</v>
      </c>
      <c r="AC33" s="1153">
        <v>0</v>
      </c>
    </row>
    <row r="34" spans="1:29" ht="12.75">
      <c r="A34" s="1154" t="s">
        <v>284</v>
      </c>
      <c r="B34" s="1149">
        <v>61</v>
      </c>
      <c r="C34" s="1149">
        <v>25</v>
      </c>
      <c r="D34" s="1150">
        <v>12</v>
      </c>
      <c r="E34" s="1154" t="s">
        <v>284</v>
      </c>
      <c r="F34" s="1153" t="s">
        <v>247</v>
      </c>
      <c r="G34" s="1149">
        <v>0</v>
      </c>
      <c r="H34" s="1149">
        <v>0</v>
      </c>
      <c r="I34" s="1149">
        <v>0</v>
      </c>
      <c r="J34" s="1149">
        <v>4</v>
      </c>
      <c r="K34" s="1149">
        <v>5</v>
      </c>
      <c r="L34" s="1149">
        <v>6</v>
      </c>
      <c r="M34" s="1149">
        <v>8</v>
      </c>
      <c r="N34" s="1149">
        <v>9</v>
      </c>
      <c r="O34" s="1149">
        <v>10</v>
      </c>
      <c r="P34" s="1149">
        <v>13</v>
      </c>
      <c r="Q34" s="1149">
        <v>15</v>
      </c>
      <c r="R34" s="1149">
        <v>16</v>
      </c>
      <c r="S34" s="1149">
        <v>0</v>
      </c>
      <c r="T34" s="1149">
        <v>0</v>
      </c>
      <c r="U34" s="1149">
        <v>0</v>
      </c>
      <c r="V34" s="1149">
        <v>0</v>
      </c>
      <c r="W34" s="1153">
        <v>0</v>
      </c>
      <c r="X34" s="1153">
        <v>0</v>
      </c>
      <c r="Y34" s="1153">
        <v>0</v>
      </c>
      <c r="Z34" s="1153">
        <v>0</v>
      </c>
      <c r="AA34" s="1153">
        <v>0</v>
      </c>
      <c r="AB34" s="1153">
        <v>0</v>
      </c>
      <c r="AC34" s="1153">
        <v>0</v>
      </c>
    </row>
    <row r="35" spans="1:29" ht="12.75">
      <c r="A35" s="1154" t="s">
        <v>284</v>
      </c>
      <c r="B35" s="1149">
        <v>32</v>
      </c>
      <c r="C35" s="1149">
        <v>25</v>
      </c>
      <c r="D35" s="1149">
        <v>11</v>
      </c>
      <c r="E35" s="1154" t="s">
        <v>284</v>
      </c>
      <c r="F35" s="1153" t="s">
        <v>244</v>
      </c>
      <c r="G35" s="1149">
        <v>0</v>
      </c>
      <c r="H35" s="1149">
        <v>0</v>
      </c>
      <c r="I35" s="1149">
        <v>0</v>
      </c>
      <c r="J35" s="1149">
        <v>4</v>
      </c>
      <c r="K35" s="1149">
        <v>5</v>
      </c>
      <c r="L35" s="1149">
        <v>6</v>
      </c>
      <c r="M35" s="1149">
        <v>7</v>
      </c>
      <c r="N35" s="1149">
        <v>10</v>
      </c>
      <c r="O35" s="1149">
        <v>11</v>
      </c>
      <c r="P35" s="1149">
        <v>14</v>
      </c>
      <c r="Q35" s="1149">
        <v>17</v>
      </c>
      <c r="R35" s="1149">
        <v>28</v>
      </c>
      <c r="S35" s="1149">
        <v>0</v>
      </c>
      <c r="T35" s="1149">
        <v>0</v>
      </c>
      <c r="U35" s="1149">
        <v>0</v>
      </c>
      <c r="V35" s="1149">
        <v>0</v>
      </c>
      <c r="W35" s="1153">
        <v>0</v>
      </c>
      <c r="X35" s="1153">
        <v>0</v>
      </c>
      <c r="Y35" s="1153">
        <v>0</v>
      </c>
      <c r="Z35" s="1153">
        <v>0</v>
      </c>
      <c r="AA35" s="1153">
        <v>0</v>
      </c>
      <c r="AB35" s="1153">
        <v>0</v>
      </c>
      <c r="AC35" s="1153">
        <v>0</v>
      </c>
    </row>
    <row r="36" spans="1:29" ht="12.75">
      <c r="A36" s="1154" t="s">
        <v>285</v>
      </c>
      <c r="B36" s="1149">
        <v>60</v>
      </c>
      <c r="C36" s="1149">
        <v>36</v>
      </c>
      <c r="D36" s="1149">
        <v>9</v>
      </c>
      <c r="E36" s="1154" t="s">
        <v>285</v>
      </c>
      <c r="F36" s="1153" t="s">
        <v>251</v>
      </c>
      <c r="G36" s="1149">
        <v>0</v>
      </c>
      <c r="H36" s="1149">
        <v>0</v>
      </c>
      <c r="I36" s="1149">
        <v>0</v>
      </c>
      <c r="J36" s="1149">
        <v>4</v>
      </c>
      <c r="K36" s="1149">
        <v>5</v>
      </c>
      <c r="L36" s="1149">
        <v>7</v>
      </c>
      <c r="M36" s="1149">
        <v>9</v>
      </c>
      <c r="N36" s="1149">
        <v>10</v>
      </c>
      <c r="O36" s="1149">
        <v>13</v>
      </c>
      <c r="P36" s="1149">
        <v>14</v>
      </c>
      <c r="Q36" s="1149">
        <v>21</v>
      </c>
      <c r="R36" s="1149">
        <v>0</v>
      </c>
      <c r="S36" s="1149">
        <v>0</v>
      </c>
      <c r="T36" s="1149">
        <v>0</v>
      </c>
      <c r="U36" s="1149">
        <v>0</v>
      </c>
      <c r="V36" s="1149">
        <v>0</v>
      </c>
      <c r="W36" s="1153">
        <v>0</v>
      </c>
      <c r="X36" s="1153">
        <v>0</v>
      </c>
      <c r="Y36" s="1153">
        <v>0</v>
      </c>
      <c r="Z36" s="1153">
        <v>0</v>
      </c>
      <c r="AA36" s="1153">
        <v>0</v>
      </c>
      <c r="AB36" s="1153">
        <v>0</v>
      </c>
      <c r="AC36" s="1153">
        <v>0</v>
      </c>
    </row>
    <row r="37" spans="1:29" ht="12.75">
      <c r="A37" s="1154" t="s">
        <v>285</v>
      </c>
      <c r="B37" s="1149">
        <v>31</v>
      </c>
      <c r="C37" s="1149">
        <v>25</v>
      </c>
      <c r="D37" s="1150">
        <v>12</v>
      </c>
      <c r="E37" s="1154" t="s">
        <v>285</v>
      </c>
      <c r="F37" s="1153" t="s">
        <v>249</v>
      </c>
      <c r="G37" s="1149">
        <v>0</v>
      </c>
      <c r="H37" s="1149">
        <v>0</v>
      </c>
      <c r="I37" s="1149">
        <v>0</v>
      </c>
      <c r="J37" s="1149">
        <v>4</v>
      </c>
      <c r="K37" s="1149">
        <v>5</v>
      </c>
      <c r="L37" s="1149">
        <v>6</v>
      </c>
      <c r="M37" s="1149">
        <v>7</v>
      </c>
      <c r="N37" s="1149">
        <v>9</v>
      </c>
      <c r="O37" s="1149">
        <v>10</v>
      </c>
      <c r="P37" s="1149">
        <v>13</v>
      </c>
      <c r="Q37" s="1149">
        <v>15</v>
      </c>
      <c r="R37" s="1149">
        <v>16</v>
      </c>
      <c r="S37" s="1149">
        <v>0</v>
      </c>
      <c r="T37" s="1149">
        <v>0</v>
      </c>
      <c r="U37" s="1149">
        <v>0</v>
      </c>
      <c r="V37" s="1149">
        <v>0</v>
      </c>
      <c r="W37" s="1153">
        <v>0</v>
      </c>
      <c r="X37" s="1153">
        <v>0</v>
      </c>
      <c r="Y37" s="1153">
        <v>0</v>
      </c>
      <c r="Z37" s="1153">
        <v>0</v>
      </c>
      <c r="AA37" s="1153">
        <v>0</v>
      </c>
      <c r="AB37" s="1153">
        <v>0</v>
      </c>
      <c r="AC37" s="1153">
        <v>0</v>
      </c>
    </row>
    <row r="38" spans="1:29" ht="12.75">
      <c r="A38" s="1154" t="s">
        <v>286</v>
      </c>
      <c r="B38" s="1149">
        <v>60</v>
      </c>
      <c r="C38" s="1149">
        <v>25</v>
      </c>
      <c r="D38" s="1149">
        <v>9</v>
      </c>
      <c r="E38" s="1154" t="s">
        <v>286</v>
      </c>
      <c r="F38" s="1153" t="s">
        <v>252</v>
      </c>
      <c r="G38" s="1149">
        <v>0</v>
      </c>
      <c r="H38" s="1149">
        <v>0</v>
      </c>
      <c r="I38" s="1149">
        <v>0</v>
      </c>
      <c r="J38" s="1149">
        <v>4</v>
      </c>
      <c r="K38" s="1149">
        <v>5</v>
      </c>
      <c r="L38" s="1149">
        <v>7</v>
      </c>
      <c r="M38" s="1149">
        <v>9</v>
      </c>
      <c r="N38" s="1149">
        <v>10</v>
      </c>
      <c r="O38" s="1149">
        <v>13</v>
      </c>
      <c r="P38" s="1149">
        <v>14</v>
      </c>
      <c r="Q38" s="1149">
        <v>21</v>
      </c>
      <c r="R38" s="1149">
        <v>0</v>
      </c>
      <c r="S38" s="1149">
        <v>0</v>
      </c>
      <c r="T38" s="1149">
        <v>0</v>
      </c>
      <c r="U38" s="1149">
        <v>0</v>
      </c>
      <c r="V38" s="1149">
        <v>0</v>
      </c>
      <c r="W38" s="1153">
        <v>0</v>
      </c>
      <c r="X38" s="1153">
        <v>0</v>
      </c>
      <c r="Y38" s="1153">
        <v>0</v>
      </c>
      <c r="Z38" s="1153">
        <v>0</v>
      </c>
      <c r="AA38" s="1153">
        <v>0</v>
      </c>
      <c r="AB38" s="1153">
        <v>0</v>
      </c>
      <c r="AC38" s="1153">
        <v>0</v>
      </c>
    </row>
    <row r="39" spans="1:29" ht="12.75">
      <c r="A39" s="1154" t="s">
        <v>286</v>
      </c>
      <c r="B39" s="1149">
        <v>31</v>
      </c>
      <c r="C39" s="1149">
        <v>25</v>
      </c>
      <c r="D39" s="1150">
        <v>12</v>
      </c>
      <c r="E39" s="1154" t="s">
        <v>286</v>
      </c>
      <c r="F39" s="1153" t="s">
        <v>248</v>
      </c>
      <c r="G39" s="1149">
        <v>0</v>
      </c>
      <c r="H39" s="1149">
        <v>0</v>
      </c>
      <c r="I39" s="1149">
        <v>0</v>
      </c>
      <c r="J39" s="1149">
        <v>4</v>
      </c>
      <c r="K39" s="1149">
        <v>5</v>
      </c>
      <c r="L39" s="1149">
        <v>6</v>
      </c>
      <c r="M39" s="1149">
        <v>7</v>
      </c>
      <c r="N39" s="1149">
        <v>9</v>
      </c>
      <c r="O39" s="1149">
        <v>10</v>
      </c>
      <c r="P39" s="1149">
        <v>13</v>
      </c>
      <c r="Q39" s="1149">
        <v>15</v>
      </c>
      <c r="R39" s="1149">
        <v>16</v>
      </c>
      <c r="S39" s="1149">
        <v>0</v>
      </c>
      <c r="T39" s="1149">
        <v>0</v>
      </c>
      <c r="U39" s="1149">
        <v>0</v>
      </c>
      <c r="V39" s="1149">
        <v>0</v>
      </c>
      <c r="W39" s="1153">
        <v>0</v>
      </c>
      <c r="X39" s="1153">
        <v>0</v>
      </c>
      <c r="Y39" s="1153">
        <v>0</v>
      </c>
      <c r="Z39" s="1153">
        <v>0</v>
      </c>
      <c r="AA39" s="1153">
        <v>0</v>
      </c>
      <c r="AB39" s="1153">
        <v>0</v>
      </c>
      <c r="AC39" s="1153">
        <v>0</v>
      </c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6"/>
  <sheetViews>
    <sheetView zoomScale="70" zoomScaleNormal="70" workbookViewId="0" topLeftCell="H1">
      <selection activeCell="Q30" sqref="Q30"/>
    </sheetView>
  </sheetViews>
  <sheetFormatPr defaultColWidth="11.421875" defaultRowHeight="12.75" outlineLevelCol="1"/>
  <cols>
    <col min="1" max="1" width="22.00390625" style="332" customWidth="1"/>
    <col min="2" max="2" width="15.7109375" style="332" customWidth="1"/>
    <col min="3" max="4" width="5.28125" style="332" customWidth="1"/>
    <col min="5" max="5" width="4.7109375" style="332" customWidth="1"/>
    <col min="6" max="6" width="41.28125" style="332" customWidth="1"/>
    <col min="7" max="7" width="5.8515625" style="332" customWidth="1"/>
    <col min="8" max="8" width="7.140625" style="332" bestFit="1" customWidth="1"/>
    <col min="9" max="9" width="3.7109375" style="332" customWidth="1"/>
    <col min="10" max="10" width="4.421875" style="332" hidden="1" customWidth="1"/>
    <col min="11" max="11" width="8.8515625" style="332" hidden="1" customWidth="1"/>
    <col min="12" max="13" width="16.28125" style="332" customWidth="1"/>
    <col min="14" max="14" width="7.140625" style="336" customWidth="1"/>
    <col min="15" max="15" width="7.8515625" style="332" customWidth="1"/>
    <col min="16" max="16" width="7.140625" style="332" customWidth="1"/>
    <col min="17" max="17" width="6.57421875" style="332" customWidth="1"/>
    <col min="18" max="18" width="5.421875" style="332" customWidth="1"/>
    <col min="19" max="19" width="6.00390625" style="332" bestFit="1" customWidth="1"/>
    <col min="20" max="20" width="48.00390625" style="332" hidden="1" customWidth="1"/>
    <col min="21" max="21" width="11.00390625" style="332" hidden="1" customWidth="1"/>
    <col min="22" max="22" width="12.140625" style="332" hidden="1" customWidth="1"/>
    <col min="23" max="23" width="13.28125" style="337" bestFit="1" customWidth="1"/>
    <col min="24" max="24" width="8.57421875" style="332" customWidth="1"/>
    <col min="25" max="25" width="9.00390625" style="332" customWidth="1"/>
    <col min="26" max="26" width="7.28125" style="337" customWidth="1"/>
    <col min="27" max="27" width="8.57421875" style="337" customWidth="1"/>
    <col min="28" max="28" width="4.140625" style="337" bestFit="1" customWidth="1"/>
    <col min="29" max="29" width="8.57421875" style="337" bestFit="1" customWidth="1"/>
    <col min="30" max="30" width="7.57421875" style="337" bestFit="1" customWidth="1"/>
    <col min="31" max="31" width="11.8515625" style="337" customWidth="1"/>
    <col min="32" max="32" width="16.57421875" style="337" hidden="1" customWidth="1" outlineLevel="1"/>
    <col min="33" max="33" width="15.7109375" style="332" hidden="1" customWidth="1" outlineLevel="1"/>
    <col min="34" max="34" width="15.8515625" style="332" hidden="1" customWidth="1" outlineLevel="1"/>
    <col min="35" max="35" width="48.140625" style="332" hidden="1" customWidth="1" outlineLevel="1"/>
    <col min="36" max="37" width="12.140625" style="332" hidden="1" customWidth="1" outlineLevel="1"/>
    <col min="38" max="38" width="18.00390625" style="332" customWidth="1" collapsed="1"/>
    <col min="39" max="39" width="13.28125" style="332" bestFit="1" customWidth="1"/>
    <col min="40" max="40" width="12.28125" style="332" customWidth="1"/>
    <col min="41" max="41" width="30.421875" style="332" customWidth="1"/>
    <col min="42" max="42" width="3.140625" style="332" customWidth="1"/>
    <col min="43" max="43" width="3.57421875" style="332" customWidth="1"/>
    <col min="44" max="44" width="24.28125" style="332" customWidth="1"/>
    <col min="45" max="45" width="4.7109375" style="332" customWidth="1"/>
    <col min="46" max="46" width="7.57421875" style="332" customWidth="1"/>
    <col min="47" max="48" width="4.140625" style="332" customWidth="1"/>
    <col min="49" max="49" width="7.140625" style="332" customWidth="1"/>
    <col min="50" max="50" width="5.28125" style="332" customWidth="1"/>
    <col min="51" max="51" width="5.421875" style="332" customWidth="1"/>
    <col min="52" max="52" width="4.7109375" style="332" customWidth="1"/>
    <col min="53" max="53" width="5.28125" style="332" customWidth="1"/>
    <col min="54" max="55" width="13.28125" style="332" customWidth="1"/>
    <col min="56" max="56" width="6.57421875" style="332" customWidth="1"/>
    <col min="57" max="57" width="6.421875" style="332" customWidth="1"/>
    <col min="58" max="61" width="11.421875" style="332" customWidth="1"/>
    <col min="62" max="62" width="12.7109375" style="332" customWidth="1"/>
    <col min="63" max="65" width="11.421875" style="332" customWidth="1"/>
    <col min="66" max="66" width="21.00390625" style="332" customWidth="1"/>
    <col min="67" max="16384" width="11.421875" style="332" customWidth="1"/>
  </cols>
  <sheetData>
    <row r="1" ht="12.75"/>
    <row r="2" spans="1:40" s="149" customFormat="1" ht="26.25">
      <c r="A2" s="148"/>
      <c r="B2" s="1318" t="str">
        <f>+Incendio!B2</f>
        <v>ANEXO V al Memorándum D.T.E.E. N°  366 / 2010        </v>
      </c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1318"/>
      <c r="Z2" s="1318"/>
      <c r="AA2" s="1318"/>
      <c r="AB2" s="1318"/>
      <c r="AC2" s="1318"/>
      <c r="AD2" s="1318"/>
      <c r="AE2" s="1318"/>
      <c r="AF2" s="1318"/>
      <c r="AG2" s="1318"/>
      <c r="AH2" s="1318"/>
      <c r="AI2" s="1318"/>
      <c r="AJ2" s="1318"/>
      <c r="AK2" s="1318"/>
      <c r="AL2" s="1318"/>
      <c r="AM2" s="1318"/>
      <c r="AN2" s="1318"/>
    </row>
    <row r="3" spans="1:40" s="149" customFormat="1" ht="26.25">
      <c r="A3" s="148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150"/>
      <c r="P3" s="150"/>
      <c r="Q3" s="150"/>
      <c r="R3" s="150"/>
      <c r="S3" s="150"/>
      <c r="T3" s="150"/>
      <c r="U3" s="150"/>
      <c r="V3" s="150"/>
      <c r="W3" s="151"/>
      <c r="X3" s="150"/>
      <c r="Y3" s="150"/>
      <c r="Z3" s="151"/>
      <c r="AA3" s="151"/>
      <c r="AB3" s="151"/>
      <c r="AC3" s="151"/>
      <c r="AD3" s="151"/>
      <c r="AE3" s="151"/>
      <c r="AF3" s="151"/>
      <c r="AG3" s="150"/>
      <c r="AH3" s="150"/>
      <c r="AI3" s="150"/>
      <c r="AJ3" s="150"/>
      <c r="AK3" s="150"/>
      <c r="AL3" s="150"/>
      <c r="AM3" s="150"/>
      <c r="AN3" s="150"/>
    </row>
    <row r="4" spans="1:32" s="153" customFormat="1" ht="12.75">
      <c r="A4" s="152"/>
      <c r="N4" s="152"/>
      <c r="W4" s="152"/>
      <c r="Z4" s="152"/>
      <c r="AA4" s="152"/>
      <c r="AB4" s="152"/>
      <c r="AC4" s="152"/>
      <c r="AD4" s="152"/>
      <c r="AE4" s="152"/>
      <c r="AF4" s="152"/>
    </row>
    <row r="5" spans="1:32" s="156" customFormat="1" ht="11.25">
      <c r="A5" s="154" t="s">
        <v>2</v>
      </c>
      <c r="B5" s="155"/>
      <c r="C5" s="155"/>
      <c r="D5" s="155"/>
      <c r="N5" s="157"/>
      <c r="W5" s="157"/>
      <c r="Z5" s="157"/>
      <c r="AA5" s="157"/>
      <c r="AB5" s="157"/>
      <c r="AC5" s="157"/>
      <c r="AD5" s="157"/>
      <c r="AE5" s="157"/>
      <c r="AF5" s="157"/>
    </row>
    <row r="6" spans="1:32" s="156" customFormat="1" ht="12" thickBot="1">
      <c r="A6" s="154" t="s">
        <v>3</v>
      </c>
      <c r="B6" s="155"/>
      <c r="C6" s="155"/>
      <c r="D6" s="155"/>
      <c r="N6" s="157"/>
      <c r="W6" s="157"/>
      <c r="Z6" s="157"/>
      <c r="AA6" s="157"/>
      <c r="AB6" s="157"/>
      <c r="AC6" s="157"/>
      <c r="AD6" s="157"/>
      <c r="AE6" s="157"/>
      <c r="AF6" s="157"/>
    </row>
    <row r="7" spans="2:40" s="153" customFormat="1" ht="13.5" thickTop="1">
      <c r="B7" s="158"/>
      <c r="C7" s="159"/>
      <c r="D7" s="159"/>
      <c r="E7" s="159"/>
      <c r="F7" s="159"/>
      <c r="G7" s="160"/>
      <c r="H7" s="159"/>
      <c r="I7" s="159"/>
      <c r="J7" s="159"/>
      <c r="K7" s="159"/>
      <c r="L7" s="159"/>
      <c r="M7" s="159"/>
      <c r="N7" s="161"/>
      <c r="O7" s="159"/>
      <c r="P7" s="159"/>
      <c r="Q7" s="159"/>
      <c r="R7" s="159"/>
      <c r="S7" s="159"/>
      <c r="T7" s="159"/>
      <c r="U7" s="159"/>
      <c r="V7" s="159"/>
      <c r="W7" s="161"/>
      <c r="X7" s="159"/>
      <c r="Y7" s="159"/>
      <c r="Z7" s="161"/>
      <c r="AA7" s="161"/>
      <c r="AB7" s="161"/>
      <c r="AC7" s="161"/>
      <c r="AD7" s="161"/>
      <c r="AE7" s="161"/>
      <c r="AF7" s="161"/>
      <c r="AG7" s="159"/>
      <c r="AH7" s="159"/>
      <c r="AI7" s="159"/>
      <c r="AJ7" s="159"/>
      <c r="AK7" s="159"/>
      <c r="AL7" s="159"/>
      <c r="AM7" s="159"/>
      <c r="AN7" s="162"/>
    </row>
    <row r="8" spans="2:40" s="163" customFormat="1" ht="20.25">
      <c r="B8" s="164"/>
      <c r="C8" s="165"/>
      <c r="D8" s="165"/>
      <c r="E8" s="165"/>
      <c r="F8" s="166" t="s">
        <v>96</v>
      </c>
      <c r="G8" s="165"/>
      <c r="H8" s="165"/>
      <c r="I8" s="165"/>
      <c r="J8" s="165"/>
      <c r="N8" s="167"/>
      <c r="P8" s="165"/>
      <c r="Q8" s="165"/>
      <c r="R8" s="168"/>
      <c r="S8" s="168"/>
      <c r="T8" s="165"/>
      <c r="U8" s="165"/>
      <c r="V8" s="165"/>
      <c r="W8" s="169"/>
      <c r="X8" s="165"/>
      <c r="Y8" s="165"/>
      <c r="Z8" s="169"/>
      <c r="AA8" s="169"/>
      <c r="AB8" s="169"/>
      <c r="AC8" s="169"/>
      <c r="AD8" s="169"/>
      <c r="AE8" s="169"/>
      <c r="AF8" s="169"/>
      <c r="AG8" s="165"/>
      <c r="AH8" s="165"/>
      <c r="AI8" s="165"/>
      <c r="AJ8" s="165"/>
      <c r="AK8" s="165"/>
      <c r="AL8" s="165"/>
      <c r="AM8" s="165"/>
      <c r="AN8" s="170"/>
    </row>
    <row r="9" spans="2:40" s="153" customFormat="1" ht="12.75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172"/>
      <c r="P9" s="172"/>
      <c r="Q9" s="172"/>
      <c r="R9" s="172"/>
      <c r="S9" s="172"/>
      <c r="T9" s="172"/>
      <c r="U9" s="172"/>
      <c r="V9" s="172"/>
      <c r="W9" s="173"/>
      <c r="X9" s="172"/>
      <c r="Y9" s="172"/>
      <c r="Z9" s="173"/>
      <c r="AA9" s="173"/>
      <c r="AB9" s="173"/>
      <c r="AC9" s="173"/>
      <c r="AD9" s="173"/>
      <c r="AE9" s="173"/>
      <c r="AF9" s="173"/>
      <c r="AG9" s="172"/>
      <c r="AH9" s="172"/>
      <c r="AI9" s="172"/>
      <c r="AJ9" s="172"/>
      <c r="AK9" s="172"/>
      <c r="AL9" s="172"/>
      <c r="AM9" s="172"/>
      <c r="AN9" s="174"/>
    </row>
    <row r="10" spans="2:40" s="163" customFormat="1" ht="20.25">
      <c r="B10" s="164"/>
      <c r="C10" s="165"/>
      <c r="D10" s="165"/>
      <c r="E10" s="165"/>
      <c r="F10" s="175" t="s">
        <v>430</v>
      </c>
      <c r="G10" s="165"/>
      <c r="H10" s="165"/>
      <c r="I10" s="165"/>
      <c r="J10" s="165"/>
      <c r="K10" s="165"/>
      <c r="L10" s="165"/>
      <c r="M10" s="165"/>
      <c r="N10" s="169"/>
      <c r="O10" s="165"/>
      <c r="P10" s="165"/>
      <c r="Q10" s="165"/>
      <c r="R10" s="165"/>
      <c r="S10" s="165"/>
      <c r="T10" s="165"/>
      <c r="U10" s="165"/>
      <c r="V10" s="165"/>
      <c r="W10" s="169"/>
      <c r="X10" s="165"/>
      <c r="Y10" s="165"/>
      <c r="Z10" s="169"/>
      <c r="AA10" s="169"/>
      <c r="AB10" s="169"/>
      <c r="AC10" s="169"/>
      <c r="AD10" s="169"/>
      <c r="AE10" s="169"/>
      <c r="AF10" s="169"/>
      <c r="AG10" s="165"/>
      <c r="AH10" s="165"/>
      <c r="AI10" s="165"/>
      <c r="AJ10" s="165"/>
      <c r="AK10" s="165"/>
      <c r="AL10" s="165"/>
      <c r="AM10" s="165"/>
      <c r="AN10" s="170"/>
    </row>
    <row r="11" spans="2:40" s="153" customFormat="1" ht="12.75"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172"/>
      <c r="P11" s="172"/>
      <c r="Q11" s="172"/>
      <c r="R11" s="172"/>
      <c r="S11" s="172"/>
      <c r="T11" s="172"/>
      <c r="U11" s="172"/>
      <c r="V11" s="172"/>
      <c r="W11" s="173"/>
      <c r="X11" s="172"/>
      <c r="Y11" s="172"/>
      <c r="Z11" s="173"/>
      <c r="AA11" s="173"/>
      <c r="AB11" s="173"/>
      <c r="AC11" s="173"/>
      <c r="AD11" s="173"/>
      <c r="AE11" s="173"/>
      <c r="AF11" s="173"/>
      <c r="AG11" s="172"/>
      <c r="AH11" s="172"/>
      <c r="AI11" s="172"/>
      <c r="AJ11" s="172"/>
      <c r="AK11" s="172"/>
      <c r="AL11" s="172"/>
      <c r="AM11" s="172"/>
      <c r="AN11" s="174"/>
    </row>
    <row r="12" spans="2:40" s="153" customFormat="1" ht="12.75"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  <c r="O12" s="172"/>
      <c r="P12" s="172"/>
      <c r="Q12" s="172"/>
      <c r="R12" s="172"/>
      <c r="S12" s="172"/>
      <c r="T12" s="172"/>
      <c r="U12" s="172"/>
      <c r="V12" s="172"/>
      <c r="W12" s="173"/>
      <c r="X12" s="172"/>
      <c r="Y12" s="172"/>
      <c r="Z12" s="173"/>
      <c r="AA12" s="173"/>
      <c r="AB12" s="173"/>
      <c r="AC12" s="173"/>
      <c r="AD12" s="173"/>
      <c r="AE12" s="173"/>
      <c r="AF12" s="173"/>
      <c r="AG12" s="172"/>
      <c r="AH12" s="172"/>
      <c r="AI12" s="172"/>
      <c r="AJ12" s="172"/>
      <c r="AK12" s="172"/>
      <c r="AL12" s="172"/>
      <c r="AM12" s="172"/>
      <c r="AN12" s="174"/>
    </row>
    <row r="13" spans="2:40" s="176" customFormat="1" ht="19.5">
      <c r="B13" s="37" t="str">
        <f>+Incendio!B14</f>
        <v>Desde el 01 al 31 de octubre de 2008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/>
      <c r="O13" s="177"/>
      <c r="P13" s="179"/>
      <c r="Q13" s="179"/>
      <c r="R13" s="177"/>
      <c r="S13" s="177"/>
      <c r="T13" s="177"/>
      <c r="U13" s="177"/>
      <c r="V13" s="177"/>
      <c r="W13" s="178"/>
      <c r="X13" s="177"/>
      <c r="Y13" s="177"/>
      <c r="Z13" s="178"/>
      <c r="AA13" s="178"/>
      <c r="AB13" s="178"/>
      <c r="AC13" s="178"/>
      <c r="AD13" s="178"/>
      <c r="AE13" s="178"/>
      <c r="AF13" s="178"/>
      <c r="AG13" s="177"/>
      <c r="AH13" s="177"/>
      <c r="AI13" s="177"/>
      <c r="AJ13" s="177"/>
      <c r="AK13" s="177"/>
      <c r="AL13" s="177"/>
      <c r="AM13" s="177"/>
      <c r="AN13" s="180"/>
    </row>
    <row r="14" spans="2:40" s="153" customFormat="1" ht="16.5" customHeight="1" thickBot="1">
      <c r="B14" s="171"/>
      <c r="C14" s="172"/>
      <c r="D14" s="172"/>
      <c r="E14" s="172"/>
      <c r="F14" s="172"/>
      <c r="G14" s="181"/>
      <c r="H14" s="181"/>
      <c r="I14" s="172"/>
      <c r="J14" s="172"/>
      <c r="K14" s="172"/>
      <c r="L14" s="182"/>
      <c r="M14" s="172"/>
      <c r="N14" s="173"/>
      <c r="O14" s="172"/>
      <c r="R14" s="172"/>
      <c r="S14" s="172"/>
      <c r="T14" s="172"/>
      <c r="U14" s="172"/>
      <c r="V14" s="172"/>
      <c r="W14" s="173"/>
      <c r="X14" s="172"/>
      <c r="Y14" s="172"/>
      <c r="Z14" s="173"/>
      <c r="AA14" s="173"/>
      <c r="AB14" s="173"/>
      <c r="AC14" s="173"/>
      <c r="AD14" s="173"/>
      <c r="AE14" s="173"/>
      <c r="AF14" s="173"/>
      <c r="AG14" s="172"/>
      <c r="AH14" s="172"/>
      <c r="AI14" s="172"/>
      <c r="AJ14" s="172"/>
      <c r="AK14" s="172"/>
      <c r="AL14" s="172"/>
      <c r="AM14" s="172"/>
      <c r="AN14" s="174"/>
    </row>
    <row r="15" spans="2:40" s="153" customFormat="1" ht="16.5" customHeight="1" thickBot="1" thickTop="1">
      <c r="B15" s="171"/>
      <c r="C15" s="172"/>
      <c r="D15" s="172"/>
      <c r="E15" s="172"/>
      <c r="F15" s="189" t="s">
        <v>123</v>
      </c>
      <c r="G15" s="1136">
        <v>117.179</v>
      </c>
      <c r="H15" s="405"/>
      <c r="I15" s="172"/>
      <c r="J15" s="172"/>
      <c r="K15" s="172"/>
      <c r="L15" s="745"/>
      <c r="M15" s="172"/>
      <c r="N15" s="173"/>
      <c r="O15" s="172"/>
      <c r="P15" s="172"/>
      <c r="Q15" s="172"/>
      <c r="R15" s="172"/>
      <c r="S15" s="172"/>
      <c r="T15" s="183" t="s">
        <v>59</v>
      </c>
      <c r="U15" s="184"/>
      <c r="V15" s="185"/>
      <c r="W15" s="173"/>
      <c r="X15" s="172"/>
      <c r="Y15" s="172"/>
      <c r="Z15" s="173"/>
      <c r="AA15" s="173"/>
      <c r="AB15" s="173"/>
      <c r="AC15" s="173"/>
      <c r="AD15" s="173"/>
      <c r="AE15" s="173"/>
      <c r="AF15" s="173"/>
      <c r="AG15" s="172"/>
      <c r="AH15" s="172"/>
      <c r="AI15" s="186" t="s">
        <v>59</v>
      </c>
      <c r="AJ15" s="187"/>
      <c r="AK15" s="188"/>
      <c r="AL15" s="172"/>
      <c r="AM15" s="172"/>
      <c r="AN15" s="174"/>
    </row>
    <row r="16" spans="2:40" s="153" customFormat="1" ht="16.5" customHeight="1" thickBot="1" thickTop="1">
      <c r="B16" s="171"/>
      <c r="C16" s="172"/>
      <c r="D16" s="172"/>
      <c r="E16" s="172"/>
      <c r="F16" s="189" t="s">
        <v>124</v>
      </c>
      <c r="G16" s="1136">
        <v>97.649</v>
      </c>
      <c r="H16" s="405"/>
      <c r="I16" s="172"/>
      <c r="J16" s="172"/>
      <c r="K16" s="172"/>
      <c r="L16" s="745"/>
      <c r="M16" s="746"/>
      <c r="N16" s="173"/>
      <c r="O16" s="172"/>
      <c r="P16" s="172"/>
      <c r="Q16" s="172"/>
      <c r="R16" s="172"/>
      <c r="S16" s="172"/>
      <c r="T16" s="190" t="s">
        <v>60</v>
      </c>
      <c r="U16" s="191"/>
      <c r="V16" s="192"/>
      <c r="W16" s="152"/>
      <c r="X16" s="193"/>
      <c r="Z16" s="152"/>
      <c r="AA16" s="152"/>
      <c r="AB16" s="152"/>
      <c r="AC16" s="152"/>
      <c r="AD16" s="152"/>
      <c r="AE16" s="152"/>
      <c r="AF16" s="152"/>
      <c r="AI16" s="194" t="s">
        <v>61</v>
      </c>
      <c r="AJ16" s="195"/>
      <c r="AK16" s="196"/>
      <c r="AL16" s="197"/>
      <c r="AM16" s="197"/>
      <c r="AN16" s="198"/>
    </row>
    <row r="17" spans="2:40" s="153" customFormat="1" ht="16.5" customHeight="1" thickBot="1" thickTop="1">
      <c r="B17" s="171"/>
      <c r="C17" s="172"/>
      <c r="D17" s="172"/>
      <c r="E17" s="172"/>
      <c r="F17" s="172"/>
      <c r="G17" s="199"/>
      <c r="H17" s="172"/>
      <c r="I17" s="172"/>
      <c r="J17" s="172"/>
      <c r="K17" s="172"/>
      <c r="L17" s="172"/>
      <c r="M17" s="172"/>
      <c r="N17" s="173"/>
      <c r="O17" s="172"/>
      <c r="P17" s="200"/>
      <c r="Q17" s="172"/>
      <c r="R17" s="172"/>
      <c r="S17" s="172"/>
      <c r="T17" s="201" t="s">
        <v>62</v>
      </c>
      <c r="U17" s="202"/>
      <c r="V17" s="203"/>
      <c r="W17" s="173"/>
      <c r="X17" s="172"/>
      <c r="Y17" s="172"/>
      <c r="Z17" s="173"/>
      <c r="AA17" s="173"/>
      <c r="AB17" s="173"/>
      <c r="AC17" s="173"/>
      <c r="AD17" s="173"/>
      <c r="AE17" s="173"/>
      <c r="AF17" s="173"/>
      <c r="AG17" s="172"/>
      <c r="AH17" s="172"/>
      <c r="AI17" s="204" t="s">
        <v>63</v>
      </c>
      <c r="AJ17" s="205"/>
      <c r="AK17" s="206"/>
      <c r="AL17" s="172"/>
      <c r="AM17" s="172"/>
      <c r="AN17" s="174"/>
    </row>
    <row r="18" spans="2:40" s="1309" customFormat="1" ht="67.5" customHeight="1" thickBot="1" thickTop="1">
      <c r="B18" s="1310"/>
      <c r="C18" s="1311"/>
      <c r="D18" s="207" t="s">
        <v>64</v>
      </c>
      <c r="E18" s="215" t="s">
        <v>13</v>
      </c>
      <c r="F18" s="209" t="s">
        <v>0</v>
      </c>
      <c r="G18" s="208" t="s">
        <v>14</v>
      </c>
      <c r="H18" s="209" t="s">
        <v>15</v>
      </c>
      <c r="I18" s="1312" t="s">
        <v>103</v>
      </c>
      <c r="J18" s="1313" t="s">
        <v>38</v>
      </c>
      <c r="K18" s="1314" t="s">
        <v>16</v>
      </c>
      <c r="L18" s="209" t="s">
        <v>17</v>
      </c>
      <c r="M18" s="212" t="s">
        <v>18</v>
      </c>
      <c r="N18" s="210" t="s">
        <v>37</v>
      </c>
      <c r="O18" s="211" t="s">
        <v>32</v>
      </c>
      <c r="P18" s="212" t="s">
        <v>19</v>
      </c>
      <c r="Q18" s="209" t="s">
        <v>65</v>
      </c>
      <c r="R18" s="212" t="s">
        <v>66</v>
      </c>
      <c r="S18" s="209" t="s">
        <v>33</v>
      </c>
      <c r="T18" s="213" t="s">
        <v>78</v>
      </c>
      <c r="U18" s="1315"/>
      <c r="V18" s="1316"/>
      <c r="W18" s="214" t="s">
        <v>67</v>
      </c>
      <c r="X18" s="215" t="s">
        <v>24</v>
      </c>
      <c r="Y18" s="215" t="s">
        <v>68</v>
      </c>
      <c r="Z18" s="214" t="s">
        <v>69</v>
      </c>
      <c r="AA18" s="214" t="s">
        <v>70</v>
      </c>
      <c r="AB18" s="214" t="s">
        <v>71</v>
      </c>
      <c r="AC18" s="214" t="s">
        <v>72</v>
      </c>
      <c r="AD18" s="214" t="s">
        <v>73</v>
      </c>
      <c r="AE18" s="214" t="s">
        <v>74</v>
      </c>
      <c r="AF18" s="216" t="s">
        <v>75</v>
      </c>
      <c r="AG18" s="216" t="s">
        <v>76</v>
      </c>
      <c r="AH18" s="216" t="s">
        <v>77</v>
      </c>
      <c r="AI18" s="213" t="s">
        <v>78</v>
      </c>
      <c r="AJ18" s="1315"/>
      <c r="AK18" s="1316"/>
      <c r="AL18" s="214" t="s">
        <v>79</v>
      </c>
      <c r="AM18" s="215" t="s">
        <v>25</v>
      </c>
      <c r="AN18" s="1317"/>
    </row>
    <row r="19" spans="2:40" s="153" customFormat="1" ht="16.5" customHeight="1" hidden="1">
      <c r="B19" s="171"/>
      <c r="C19" s="172"/>
      <c r="D19" s="172"/>
      <c r="E19" s="217"/>
      <c r="F19" s="218"/>
      <c r="G19" s="218"/>
      <c r="H19" s="217"/>
      <c r="I19" s="217"/>
      <c r="J19" s="769"/>
      <c r="K19" s="219"/>
      <c r="L19" s="217"/>
      <c r="M19" s="217"/>
      <c r="N19" s="220"/>
      <c r="O19" s="221"/>
      <c r="P19" s="217"/>
      <c r="Q19" s="217"/>
      <c r="R19" s="217"/>
      <c r="S19" s="217"/>
      <c r="T19" s="222"/>
      <c r="U19" s="223"/>
      <c r="V19" s="224"/>
      <c r="W19" s="225"/>
      <c r="X19" s="217"/>
      <c r="Y19" s="226"/>
      <c r="Z19" s="227"/>
      <c r="AA19" s="226"/>
      <c r="AB19" s="226"/>
      <c r="AC19" s="227"/>
      <c r="AD19" s="227"/>
      <c r="AE19" s="228"/>
      <c r="AF19" s="229"/>
      <c r="AG19" s="229"/>
      <c r="AH19" s="229"/>
      <c r="AI19" s="222"/>
      <c r="AJ19" s="223"/>
      <c r="AK19" s="224"/>
      <c r="AL19" s="227"/>
      <c r="AM19" s="226"/>
      <c r="AN19" s="174"/>
    </row>
    <row r="20" spans="2:40" s="153" customFormat="1" ht="16.5" customHeight="1" thickBot="1" thickTop="1">
      <c r="B20" s="171"/>
      <c r="C20" s="230"/>
      <c r="D20" s="231"/>
      <c r="E20" s="232"/>
      <c r="F20" s="233"/>
      <c r="G20" s="234"/>
      <c r="H20" s="233"/>
      <c r="I20" s="233"/>
      <c r="J20" s="747"/>
      <c r="K20" s="235"/>
      <c r="L20" s="236"/>
      <c r="M20" s="237"/>
      <c r="N20" s="238"/>
      <c r="O20" s="238"/>
      <c r="P20" s="239"/>
      <c r="Q20" s="238"/>
      <c r="R20" s="238"/>
      <c r="S20" s="238"/>
      <c r="T20" s="240"/>
      <c r="U20" s="240"/>
      <c r="V20" s="241"/>
      <c r="W20" s="242"/>
      <c r="X20" s="231"/>
      <c r="Y20" s="243"/>
      <c r="Z20" s="242"/>
      <c r="AA20" s="243"/>
      <c r="AB20" s="242"/>
      <c r="AC20" s="242"/>
      <c r="AD20" s="242"/>
      <c r="AE20" s="244"/>
      <c r="AF20" s="245"/>
      <c r="AG20" s="245"/>
      <c r="AH20" s="245"/>
      <c r="AI20" s="240"/>
      <c r="AJ20" s="240"/>
      <c r="AK20" s="241"/>
      <c r="AL20" s="242"/>
      <c r="AM20" s="246"/>
      <c r="AN20" s="174"/>
    </row>
    <row r="21" spans="2:40" s="152" customFormat="1" ht="16.5" customHeight="1" thickBot="1">
      <c r="B21" s="247"/>
      <c r="C21" s="1319" t="s">
        <v>80</v>
      </c>
      <c r="D21" s="248">
        <v>1</v>
      </c>
      <c r="E21" s="249">
        <v>9</v>
      </c>
      <c r="F21" s="748" t="s">
        <v>330</v>
      </c>
      <c r="G21" s="748">
        <v>500</v>
      </c>
      <c r="H21" s="748">
        <v>421</v>
      </c>
      <c r="I21" s="748" t="s">
        <v>329</v>
      </c>
      <c r="J21" s="1285">
        <f>IF(I21="A",200,IF(I21="B",60,20))</f>
        <v>200</v>
      </c>
      <c r="K21" s="749">
        <f>IF(G21=500,IF(H21&lt;100,100*$G$15/100,H21*$G$15/100),IF(H21&lt;100,100*$G$16/100,H21*$G$16/100))</f>
        <v>493.32359</v>
      </c>
      <c r="L21" s="750">
        <v>39741.072916666664</v>
      </c>
      <c r="M21" s="751">
        <v>39743.71597222222</v>
      </c>
      <c r="N21" s="250">
        <f>IF(F21="","",(M21-L21)*24)</f>
        <v>63.433333333348855</v>
      </c>
      <c r="O21" s="251">
        <f>IF(F21="","",ROUND((M21-L21)*24*60,0))</f>
        <v>3806</v>
      </c>
      <c r="P21" s="252" t="s">
        <v>325</v>
      </c>
      <c r="Q21" s="253" t="str">
        <f>IF(F21="","","--")</f>
        <v>--</v>
      </c>
      <c r="R21" s="254" t="str">
        <f>IF(F21="","","NO")</f>
        <v>NO</v>
      </c>
      <c r="S21" s="254" t="str">
        <f>IF(F21="","",IF(OR(P21="P",P21="RP"),"--","NO"))</f>
        <v>NO</v>
      </c>
      <c r="T21" s="299">
        <f>IF(AND(P21="F",S21="NO"),K21*J21*IF(R21="SI",1.2,1),"--")</f>
        <v>98664.71800000001</v>
      </c>
      <c r="U21" s="299">
        <f>IF(AND(P21="F",AF21&gt;=10),K21*J21*IF(R21="SI",1.2,1)*IF(AF21&lt;=300,ROUND(AF21/60,2),5),"--")</f>
        <v>493323.59</v>
      </c>
      <c r="V21" s="300">
        <f>IF(AND(P21="F",AF21&gt;300),(ROUND(AF21/60,2)-5)*K21*J21*0.1*IF(R21="SI",1.2,1),"--")</f>
        <v>637374.07828</v>
      </c>
      <c r="W21" s="255">
        <f>IF(F21="","",SUM(T21:V21)*IF(X21="SI",1,2))</f>
        <v>1229362.3862800002</v>
      </c>
      <c r="X21" s="256" t="str">
        <f>IF(F21="","","SI")</f>
        <v>SI</v>
      </c>
      <c r="Y21" s="1286">
        <v>1</v>
      </c>
      <c r="Z21" s="1287">
        <f>IF(F21="","",IF(Y21&lt;=10,48,72))</f>
        <v>48</v>
      </c>
      <c r="AA21" s="1288"/>
      <c r="AB21" s="260">
        <f>IF(F21="","",0.9)</f>
        <v>0.9</v>
      </c>
      <c r="AC21" s="1289">
        <f>IF(F21="","",Z21+AA21)</f>
        <v>48</v>
      </c>
      <c r="AD21" s="1289">
        <f>IF(F21="","",AB21*24*Y21)</f>
        <v>21.6</v>
      </c>
      <c r="AE21" s="1290">
        <f>IF(F21="","",AD21+AC21)</f>
        <v>69.6</v>
      </c>
      <c r="AF21" s="262">
        <f>AE21*60</f>
        <v>4176</v>
      </c>
      <c r="AG21" s="263">
        <f>LOG(W21)/LOG(AD21)</f>
        <v>4.563425233740412</v>
      </c>
      <c r="AH21" s="263">
        <f>1/(2*Y21)</f>
        <v>0.5</v>
      </c>
      <c r="AI21" s="299">
        <f>IF(AND(P21="F",S21="NO"),K21*J21*IF(R21="SI",1.2,1),"--")</f>
        <v>98664.71800000001</v>
      </c>
      <c r="AJ21" s="299">
        <f>IF(AND(P21="F",O21&gt;=10),K21*J21*IF(R21="SI",1.2,1)*IF(O21&lt;=300,ROUND(O21/60,2),5),"--")</f>
        <v>493323.59</v>
      </c>
      <c r="AK21" s="300">
        <f>IF(AND(P21="F",O21&gt;300),(ROUND(O21/60,2)-5)*K21*J21*0.1*IF(R21="SI",1.2,1),"--")</f>
        <v>576497.947274</v>
      </c>
      <c r="AL21" s="1289">
        <f>IF(F21="","",SUM(AI21:AK21)*IF(X21="SI",1,2))</f>
        <v>1168486.255274</v>
      </c>
      <c r="AM21" s="1291">
        <f>IF(F21=""," ",IF(N21&lt;=AC21,0,(IF(N21&gt;AE21,AL21,(N21-AC21)^AG21*1/(1-AH21*(N21-AE21))))))</f>
        <v>64928.04344189466</v>
      </c>
      <c r="AN21" s="265"/>
    </row>
    <row r="22" spans="2:40" s="152" customFormat="1" ht="16.5" customHeight="1">
      <c r="B22" s="247"/>
      <c r="C22" s="1320"/>
      <c r="D22" s="266"/>
      <c r="E22" s="267"/>
      <c r="F22" s="748"/>
      <c r="G22" s="753"/>
      <c r="H22" s="748"/>
      <c r="I22" s="753"/>
      <c r="J22" s="1285"/>
      <c r="K22" s="749"/>
      <c r="L22" s="757"/>
      <c r="M22" s="758"/>
      <c r="N22" s="268">
        <f>IF(F22="","",(M22-L22)*24)</f>
      </c>
      <c r="O22" s="269">
        <f>IF(F22="","",ROUND((M22-L22)*24*60,0))</f>
      </c>
      <c r="P22" s="270"/>
      <c r="Q22" s="271">
        <f>IF(F22="","","--")</f>
      </c>
      <c r="R22" s="272">
        <f>IF(F22="","","NO")</f>
      </c>
      <c r="S22" s="272">
        <f>IF(F22="","",IF(OR(P22="P",P22="RP"),"--","NO"))</f>
      </c>
      <c r="T22" s="273" t="str">
        <f>IF(AND(P22="F",S22="NO"),K22*J22*IF(R22="SI",1.2,1),"--")</f>
        <v>--</v>
      </c>
      <c r="U22" s="273" t="str">
        <f>IF(AND(P22="F",AF22&gt;=10),K22*J22*IF(R22="SI",1.2,1)*IF(AF22&lt;=300,ROUND(AF22/60,2),5),"--")</f>
        <v>--</v>
      </c>
      <c r="V22" s="274" t="str">
        <f>IF(AND(P22="F",AF22&gt;300),(ROUND(AF22/60,2)-5)*K22*J22*0.1*IF(R22="SI",1.2,1),"--")</f>
        <v>--</v>
      </c>
      <c r="W22" s="275">
        <f>IF(F22="","",SUM(T22:V22)*IF(X22="SI",1,2))</f>
      </c>
      <c r="X22" s="276">
        <f>IF(F22="","","SI")</f>
      </c>
      <c r="Y22" s="257"/>
      <c r="Z22" s="258">
        <f>IF(F22="","",IF(Y22&lt;=10,48,72))</f>
      </c>
      <c r="AA22" s="259"/>
      <c r="AB22" s="260">
        <f>IF(F22="","",0.9)</f>
      </c>
      <c r="AC22" s="255">
        <f>IF(F22="","",Z22+AA22)</f>
      </c>
      <c r="AD22" s="255">
        <f>IF(F22="","",AB22*24*Y22)</f>
      </c>
      <c r="AE22" s="261">
        <f>IF(F22="","",AD22+AC22)</f>
      </c>
      <c r="AF22" s="262"/>
      <c r="AG22" s="263"/>
      <c r="AH22" s="263"/>
      <c r="AI22" s="299" t="str">
        <f>IF(AND(P22="F",S22="NO"),K22*J22*IF(R22="SI",1.2,1),"--")</f>
        <v>--</v>
      </c>
      <c r="AJ22" s="299" t="str">
        <f>IF(AND(P22="F",O22&gt;=10),K22*J22*IF(R22="SI",1.2,1)*IF(O22&lt;=300,ROUND(O22/60,2),5),"--")</f>
        <v>--</v>
      </c>
      <c r="AK22" s="300" t="str">
        <f>IF(AND(P22="F",O22&gt;300),(ROUND(O22/60,2)-5)*K22*J22*0.1*IF(R22="SI",1.2,1),"--")</f>
        <v>--</v>
      </c>
      <c r="AL22" s="255">
        <f>IF(F22="","",SUM(AI22:AK22)*IF(X22="SI",1,2))</f>
      </c>
      <c r="AM22" s="264" t="str">
        <f>IF(F22=""," ",IF(N22&lt;=AC22,0,(IF(N22&gt;AE22,AL22,(N22-AC22)^AG22*1/(1-AH22*(N22-AE22))))))</f>
        <v> </v>
      </c>
      <c r="AN22" s="265"/>
    </row>
    <row r="23" spans="2:40" s="152" customFormat="1" ht="16.5" customHeight="1">
      <c r="B23" s="247"/>
      <c r="C23" s="1320"/>
      <c r="D23" s="266"/>
      <c r="E23" s="267"/>
      <c r="F23" s="752"/>
      <c r="G23" s="753"/>
      <c r="H23" s="754"/>
      <c r="I23" s="753"/>
      <c r="J23" s="755"/>
      <c r="K23" s="756"/>
      <c r="L23" s="759"/>
      <c r="M23" s="759"/>
      <c r="N23" s="268">
        <f>IF(F23="","",(M23-L23)*24)</f>
      </c>
      <c r="O23" s="269">
        <f>IF(F23="","",ROUND((M23-L23)*24*60,0))</f>
      </c>
      <c r="P23" s="278"/>
      <c r="Q23" s="271">
        <f>IF(F23="","","--")</f>
      </c>
      <c r="R23" s="272">
        <f>IF(F23="","","NO")</f>
      </c>
      <c r="S23" s="272">
        <f>IF(F23="","",IF(OR(P23="P",P23="RP"),"--","NO"))</f>
      </c>
      <c r="T23" s="273" t="str">
        <f>IF(AND(P23="F",S23="NO"),K23*J23*IF(R23="SI",1.2,1),"--")</f>
        <v>--</v>
      </c>
      <c r="U23" s="273"/>
      <c r="V23" s="274"/>
      <c r="W23" s="279">
        <f>IF(F23="","",SUM(T23:V23)*IF(X23="SI",1,2))</f>
      </c>
      <c r="X23" s="276">
        <f>IF(F23="","","SI")</f>
      </c>
      <c r="Y23" s="280"/>
      <c r="Z23" s="281">
        <f>IF(F23="","",IF(N22&lt;=AE22,0,IF(Y23&lt;=10,48,72)))</f>
      </c>
      <c r="AA23" s="282"/>
      <c r="AB23" s="277">
        <f>IF(F23="","",IF(N22&lt;=AE22,1,0.9))</f>
      </c>
      <c r="AC23" s="279">
        <f>IF(F23="","",IF(N22&lt;=AE22,N22+AA23,Z23+AA23))</f>
      </c>
      <c r="AD23" s="275">
        <f>IF(F23="","",IF(N22&lt;=AE22,AB23*Y23*24,AB23*Y23*24))</f>
      </c>
      <c r="AE23" s="279">
        <f>IF(F23="","",AD23+AC23)</f>
      </c>
      <c r="AF23" s="283"/>
      <c r="AG23" s="284"/>
      <c r="AH23" s="284"/>
      <c r="AI23" s="273" t="str">
        <f>IF(AND(P23="F",S23="NO"),K23*J23*IF(R23="SI",1.2,1),"--")</f>
        <v>--</v>
      </c>
      <c r="AJ23" s="273" t="str">
        <f>IF(AND(P23="F",O23&gt;=10),K23*J23*IF(R23="SI",1.2,1)*IF(O23&lt;=300,ROUND(O23/60,2),5),"--")</f>
        <v>--</v>
      </c>
      <c r="AK23" s="274" t="str">
        <f>IF(AND(P23="F",O23&gt;300),(ROUND(O23/60,2)-5)*K23*J23*0.1*IF(R23="SI",1.2,1),"--")</f>
        <v>--</v>
      </c>
      <c r="AL23" s="279">
        <f>IF(F23="","",SUM(AI23:AK23)*IF(X23="SI",1,2))</f>
      </c>
      <c r="AM23" s="279" t="str">
        <f>IF(F23=""," ",IF(N23&lt;=AC23,0,(IF(N23&gt;AE23,AL23,(N23-AC23)^AG23*1/(1-AH23*(N23-AE23))))))</f>
        <v> </v>
      </c>
      <c r="AN23" s="265"/>
    </row>
    <row r="24" spans="2:40" s="173" customFormat="1" ht="16.5" customHeight="1" thickBot="1">
      <c r="B24" s="247"/>
      <c r="C24" s="1321"/>
      <c r="D24" s="285"/>
      <c r="E24" s="286"/>
      <c r="F24" s="760"/>
      <c r="G24" s="761"/>
      <c r="H24" s="762"/>
      <c r="I24" s="761"/>
      <c r="J24" s="763"/>
      <c r="K24" s="764"/>
      <c r="L24" s="765"/>
      <c r="M24" s="765"/>
      <c r="N24" s="287">
        <f>IF(F24="","",(M24-L24)*24)</f>
      </c>
      <c r="O24" s="288">
        <f>IF(F24="","",ROUND((M24-L24)*24*60,0))</f>
      </c>
      <c r="P24" s="289"/>
      <c r="Q24" s="290">
        <f>IF(F24="","","--")</f>
      </c>
      <c r="R24" s="291">
        <f>IF(F24="","","NO")</f>
      </c>
      <c r="S24" s="291">
        <f>IF(F24="","",IF(OR(P24="P",P24="RP"),"--","NO"))</f>
      </c>
      <c r="T24" s="240" t="str">
        <f>IF(AND(P24="F",S24="NO"),K24*J24*IF(R24="SI",1.2,1),"--")</f>
        <v>--</v>
      </c>
      <c r="U24" s="240"/>
      <c r="V24" s="241"/>
      <c r="W24" s="292">
        <f>IF(F24="","",SUM(T24:V24)*IF(X24="SI",1,2))</f>
      </c>
      <c r="X24" s="293">
        <f>IF(F24="","","SI")</f>
      </c>
      <c r="Y24" s="294"/>
      <c r="Z24" s="295">
        <f>IF(F24="","",IF(N23&lt;=AE23,0,IF(Y24&lt;=10,48,72)))</f>
      </c>
      <c r="AA24" s="296"/>
      <c r="AB24" s="277">
        <f>IF(F24="","",IF(N23&lt;=AE23,1,0.9))</f>
      </c>
      <c r="AC24" s="292">
        <f>IF(F24="","",IF(N23&lt;=AE23,N23+AA24,Z24+AA24))</f>
      </c>
      <c r="AD24" s="275">
        <f>IF(F24="","",IF(N23&lt;=AE23,AB24*Y24*24,AB24*Y24*24))</f>
      </c>
      <c r="AE24" s="292">
        <f>IF(F24="","",AD24+AC24)</f>
      </c>
      <c r="AF24" s="297"/>
      <c r="AG24" s="298"/>
      <c r="AH24" s="298"/>
      <c r="AI24" s="240" t="str">
        <f>IF(AND(P24="F",S24="NO"),K24*J24*IF(R24="SI",1.2,1),"--")</f>
        <v>--</v>
      </c>
      <c r="AJ24" s="240" t="str">
        <f>IF(AND(P24="F",O24&gt;=10),K24*J24*IF(R24="SI",1.2,1)*IF(O24&lt;=300,ROUND(O24/60,2),5),"--")</f>
        <v>--</v>
      </c>
      <c r="AK24" s="241" t="str">
        <f>IF(AND(P24="F",O24&gt;300),(ROUND(O24/60,2)-5)*K24*J24*0.1*IF(R24="SI",1.2,1),"--")</f>
        <v>--</v>
      </c>
      <c r="AL24" s="292">
        <f>IF(F24="","",SUM(AI24:AK24)*IF(X24="SI",1,2))</f>
      </c>
      <c r="AM24" s="292" t="str">
        <f>IF(F24=""," ",IF(N24&lt;=AC24,0,(IF(N24&gt;AE24,AL24,(N24-AC24)^AG24*1/(1-AH24*(N24-AE24))))))</f>
        <v> </v>
      </c>
      <c r="AN24" s="265"/>
    </row>
    <row r="25" spans="1:41" s="152" customFormat="1" ht="16.5" customHeight="1" thickBot="1">
      <c r="A25" s="153"/>
      <c r="B25" s="171"/>
      <c r="C25" s="301"/>
      <c r="D25" s="302"/>
      <c r="E25" s="303"/>
      <c r="F25" s="304"/>
      <c r="G25" s="305"/>
      <c r="H25" s="304"/>
      <c r="I25" s="766"/>
      <c r="J25" s="767"/>
      <c r="K25" s="306"/>
      <c r="L25" s="307"/>
      <c r="M25" s="307"/>
      <c r="N25" s="308"/>
      <c r="O25" s="308"/>
      <c r="P25" s="307"/>
      <c r="Q25" s="309"/>
      <c r="R25" s="308"/>
      <c r="S25" s="308"/>
      <c r="T25" s="310"/>
      <c r="U25" s="310"/>
      <c r="V25" s="311"/>
      <c r="W25" s="312"/>
      <c r="X25" s="313"/>
      <c r="Y25" s="314"/>
      <c r="Z25" s="315"/>
      <c r="AA25" s="314"/>
      <c r="AB25" s="316"/>
      <c r="AC25" s="315"/>
      <c r="AD25" s="315"/>
      <c r="AE25" s="315"/>
      <c r="AF25" s="317"/>
      <c r="AG25" s="318"/>
      <c r="AH25" s="318"/>
      <c r="AI25" s="319"/>
      <c r="AJ25" s="319"/>
      <c r="AK25" s="320"/>
      <c r="AL25" s="315"/>
      <c r="AM25" s="321"/>
      <c r="AN25" s="265"/>
      <c r="AO25" s="153"/>
    </row>
    <row r="26" spans="2:40" s="153" customFormat="1" ht="16.5" customHeight="1" thickBot="1" thickTop="1">
      <c r="B26" s="171"/>
      <c r="C26" s="172"/>
      <c r="D26" s="172"/>
      <c r="E26" s="322"/>
      <c r="F26" s="323"/>
      <c r="G26" s="324"/>
      <c r="H26" s="199"/>
      <c r="I26" s="768"/>
      <c r="J26" s="199"/>
      <c r="K26" s="325"/>
      <c r="L26" s="325"/>
      <c r="M26" s="325"/>
      <c r="N26" s="326"/>
      <c r="O26" s="325"/>
      <c r="P26" s="325"/>
      <c r="Q26" s="327"/>
      <c r="R26" s="325"/>
      <c r="S26" s="325"/>
      <c r="T26" s="328">
        <f>SUM(T19:T25)</f>
        <v>98664.71800000001</v>
      </c>
      <c r="U26" s="328">
        <f>SUM(U19:U25)</f>
        <v>493323.59</v>
      </c>
      <c r="V26" s="328">
        <f>SUM(V19:V25)</f>
        <v>637374.07828</v>
      </c>
      <c r="W26" s="329"/>
      <c r="X26" s="330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8">
        <f>SUM(AI19:AI25)</f>
        <v>98664.71800000001</v>
      </c>
      <c r="AJ26" s="328">
        <f>SUM(AJ19:AJ25)</f>
        <v>493323.59</v>
      </c>
      <c r="AK26" s="328">
        <f>SUM(AK19:AK25)</f>
        <v>576497.947274</v>
      </c>
      <c r="AL26" s="329"/>
      <c r="AM26" s="331">
        <f>ROUND(SUM(AM19:AM25),2)</f>
        <v>64928.04</v>
      </c>
      <c r="AN26" s="265"/>
    </row>
    <row r="27" spans="2:40" ht="13.5" thickTop="1">
      <c r="B27" s="333"/>
      <c r="C27" s="334"/>
      <c r="D27" s="334"/>
      <c r="E27" s="332" t="s">
        <v>81</v>
      </c>
      <c r="F27" s="335" t="s">
        <v>82</v>
      </c>
      <c r="AN27" s="338"/>
    </row>
    <row r="28" spans="2:40" ht="12.75">
      <c r="B28" s="333"/>
      <c r="C28" s="334"/>
      <c r="D28" s="334"/>
      <c r="E28" s="332" t="s">
        <v>83</v>
      </c>
      <c r="F28" s="335" t="s">
        <v>84</v>
      </c>
      <c r="AN28" s="338"/>
    </row>
    <row r="29" spans="2:40" ht="12.75">
      <c r="B29" s="333"/>
      <c r="C29" s="334"/>
      <c r="D29" s="334"/>
      <c r="E29" s="335" t="s">
        <v>85</v>
      </c>
      <c r="F29" s="335" t="s">
        <v>86</v>
      </c>
      <c r="AN29" s="338"/>
    </row>
    <row r="30" spans="2:40" ht="12.75">
      <c r="B30" s="333"/>
      <c r="C30" s="334"/>
      <c r="D30" s="334"/>
      <c r="E30" s="335" t="s">
        <v>126</v>
      </c>
      <c r="F30" s="335" t="s">
        <v>127</v>
      </c>
      <c r="AN30" s="338"/>
    </row>
    <row r="31" spans="2:40" s="153" customFormat="1" ht="16.5" customHeight="1" thickBot="1"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1"/>
      <c r="O31" s="340"/>
      <c r="P31" s="340"/>
      <c r="Q31" s="340"/>
      <c r="R31" s="340"/>
      <c r="S31" s="340"/>
      <c r="T31" s="340"/>
      <c r="U31" s="340"/>
      <c r="V31" s="340"/>
      <c r="W31" s="341"/>
      <c r="X31" s="340"/>
      <c r="Y31" s="340"/>
      <c r="Z31" s="341"/>
      <c r="AA31" s="341"/>
      <c r="AB31" s="341"/>
      <c r="AC31" s="341"/>
      <c r="AD31" s="341"/>
      <c r="AE31" s="341"/>
      <c r="AF31" s="341"/>
      <c r="AG31" s="340"/>
      <c r="AH31" s="340"/>
      <c r="AI31" s="340"/>
      <c r="AJ31" s="340"/>
      <c r="AK31" s="340"/>
      <c r="AL31" s="340"/>
      <c r="AM31" s="340"/>
      <c r="AN31" s="342"/>
    </row>
    <row r="32" spans="2:40" ht="16.5" customHeight="1" thickTop="1">
      <c r="B32" s="334"/>
      <c r="C32" s="334"/>
      <c r="D32" s="334"/>
      <c r="AN32" s="334"/>
    </row>
    <row r="33" spans="6:15" ht="15.75">
      <c r="F33" s="343"/>
      <c r="G33" s="343"/>
      <c r="H33" s="343"/>
      <c r="I33" s="343"/>
      <c r="J33" s="343"/>
      <c r="K33" s="343"/>
      <c r="L33" s="343"/>
      <c r="M33" s="343"/>
      <c r="N33" s="344"/>
      <c r="O33" s="343"/>
    </row>
    <row r="34" spans="6:15" ht="15.75">
      <c r="F34" s="343"/>
      <c r="G34" s="343"/>
      <c r="H34" s="343"/>
      <c r="I34" s="343"/>
      <c r="J34" s="343"/>
      <c r="K34" s="343"/>
      <c r="L34" s="343"/>
      <c r="M34" s="343"/>
      <c r="N34" s="344"/>
      <c r="O34" s="343"/>
    </row>
    <row r="35" spans="6:15" ht="15.75">
      <c r="F35" s="343"/>
      <c r="G35" s="343"/>
      <c r="H35" s="343"/>
      <c r="I35" s="343"/>
      <c r="J35" s="343"/>
      <c r="K35" s="343"/>
      <c r="L35" s="343"/>
      <c r="M35" s="343"/>
      <c r="N35" s="344"/>
      <c r="O35" s="343"/>
    </row>
    <row r="36" spans="6:15" ht="15.75">
      <c r="F36" s="343"/>
      <c r="G36" s="343"/>
      <c r="H36" s="343"/>
      <c r="I36" s="343"/>
      <c r="J36" s="343"/>
      <c r="K36" s="343"/>
      <c r="L36" s="343"/>
      <c r="M36" s="343"/>
      <c r="N36" s="344"/>
      <c r="O36" s="343"/>
    </row>
  </sheetData>
  <mergeCells count="2">
    <mergeCell ref="B2:AN2"/>
    <mergeCell ref="C21:C24"/>
  </mergeCells>
  <printOptions horizontalCentered="1"/>
  <pageMargins left="0.1968503937007874" right="0.1968503937007874" top="0.98" bottom="0.5118110236220472" header="0" footer="0"/>
  <pageSetup fitToHeight="1" fitToWidth="1" horizontalDpi="600" verticalDpi="600" orientation="landscape" paperSize="9" scale="4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D42"/>
  <sheetViews>
    <sheetView zoomScale="75" zoomScaleNormal="75" workbookViewId="0" topLeftCell="A10">
      <selection activeCell="A36" sqref="A3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4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0" width="11.00390625" style="0" hidden="1" customWidth="1"/>
    <col min="21" max="21" width="12.140625" style="0" hidden="1" customWidth="1"/>
    <col min="22" max="22" width="12.00390625" style="0" hidden="1" customWidth="1"/>
    <col min="23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8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46"/>
    </row>
    <row r="2" spans="1:30" s="18" customFormat="1" ht="26.25">
      <c r="A2" s="91"/>
      <c r="B2" s="19" t="str">
        <f>+'TOT-1008'!B2</f>
        <v>ANEXO V al Memorándum D.T.E.E. N°  366 / 2010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30" s="5" customFormat="1" ht="13.5" thickTop="1">
      <c r="B7" s="69"/>
      <c r="C7" s="70"/>
      <c r="D7" s="70"/>
      <c r="E7" s="39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4"/>
    </row>
    <row r="8" spans="2:30" s="29" customFormat="1" ht="20.25">
      <c r="B8" s="79"/>
      <c r="C8" s="30"/>
      <c r="D8" s="375" t="s">
        <v>96</v>
      </c>
      <c r="E8" s="30"/>
      <c r="F8" s="30"/>
      <c r="G8" s="30"/>
      <c r="H8" s="30"/>
      <c r="N8" s="30"/>
      <c r="O8" s="30"/>
      <c r="P8" s="11"/>
      <c r="Q8" s="1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08"/>
    </row>
    <row r="9" spans="2:30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7"/>
    </row>
    <row r="10" spans="2:30" s="29" customFormat="1" ht="20.25">
      <c r="B10" s="79"/>
      <c r="C10" s="30"/>
      <c r="D10" s="11" t="s">
        <v>12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08"/>
    </row>
    <row r="11" spans="2:30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7"/>
    </row>
    <row r="12" spans="2:30" s="29" customFormat="1" ht="20.25">
      <c r="B12" s="79"/>
      <c r="C12" s="30"/>
      <c r="D12" s="11" t="s">
        <v>192</v>
      </c>
      <c r="E12" s="30"/>
      <c r="F12" s="30"/>
      <c r="G12" s="30"/>
      <c r="I12" s="30"/>
      <c r="J12" s="30"/>
      <c r="K12" s="30"/>
      <c r="L12" s="30"/>
      <c r="M12" s="30"/>
      <c r="N12" s="30"/>
      <c r="O12" s="30"/>
      <c r="P12" s="11"/>
      <c r="Q12" s="1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08"/>
    </row>
    <row r="13" spans="2:30" s="5" customFormat="1" ht="12.75">
      <c r="B13" s="50"/>
      <c r="C13" s="4"/>
      <c r="D13" s="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/>
    </row>
    <row r="14" spans="2:30" s="36" customFormat="1" ht="19.5">
      <c r="B14" s="37" t="str">
        <f>'TOT-1008'!B14</f>
        <v>Desde el 01 al 31 de octubre de 2008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1"/>
      <c r="O14" s="401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39"/>
    </row>
    <row r="15" spans="2:30" s="5" customFormat="1" ht="16.5" customHeight="1" thickBot="1">
      <c r="B15" s="50"/>
      <c r="C15" s="4"/>
      <c r="D15" s="4"/>
      <c r="E15" s="66"/>
      <c r="F15" s="66"/>
      <c r="G15" s="4"/>
      <c r="H15" s="4"/>
      <c r="I15" s="4"/>
      <c r="J15" s="402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7"/>
    </row>
    <row r="16" spans="2:30" s="5" customFormat="1" ht="16.5" customHeight="1" thickBot="1" thickTop="1">
      <c r="B16" s="50"/>
      <c r="C16" s="4"/>
      <c r="D16" s="82" t="s">
        <v>123</v>
      </c>
      <c r="E16" s="1136">
        <v>117.179</v>
      </c>
      <c r="F16" s="40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7"/>
    </row>
    <row r="17" spans="2:30" s="5" customFormat="1" ht="16.5" customHeight="1" thickBot="1" thickTop="1">
      <c r="B17" s="50"/>
      <c r="C17" s="4"/>
      <c r="D17" s="82" t="s">
        <v>124</v>
      </c>
      <c r="E17" s="1136">
        <v>97.649</v>
      </c>
      <c r="F17" s="405"/>
      <c r="G17" s="4"/>
      <c r="H17" s="4"/>
      <c r="I17" s="4"/>
      <c r="J17" s="411"/>
      <c r="K17" s="412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D17" s="17"/>
    </row>
    <row r="18" spans="2:30" s="5" customFormat="1" ht="16.5" customHeight="1" thickBot="1" thickTop="1">
      <c r="B18" s="50"/>
      <c r="C18" s="4"/>
      <c r="D18" s="4"/>
      <c r="E18" s="414"/>
      <c r="F18" s="4"/>
      <c r="G18" s="4"/>
      <c r="H18" s="4"/>
      <c r="I18" s="4"/>
      <c r="J18" s="4"/>
      <c r="K18" s="4"/>
      <c r="L18" s="4"/>
      <c r="M18" s="4"/>
      <c r="N18" s="41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7"/>
    </row>
    <row r="19" spans="2:30" s="5" customFormat="1" ht="33.75" customHeight="1" thickBot="1" thickTop="1">
      <c r="B19" s="50"/>
      <c r="C19" s="84" t="s">
        <v>13</v>
      </c>
      <c r="D19" s="85" t="s">
        <v>0</v>
      </c>
      <c r="E19" s="1059" t="s">
        <v>14</v>
      </c>
      <c r="F19" s="86" t="s">
        <v>15</v>
      </c>
      <c r="G19" s="417" t="s">
        <v>103</v>
      </c>
      <c r="H19" s="1060" t="s">
        <v>38</v>
      </c>
      <c r="I19" s="1061" t="s">
        <v>16</v>
      </c>
      <c r="J19" s="85" t="s">
        <v>17</v>
      </c>
      <c r="K19" s="380" t="s">
        <v>18</v>
      </c>
      <c r="L19" s="88" t="s">
        <v>37</v>
      </c>
      <c r="M19" s="86" t="s">
        <v>32</v>
      </c>
      <c r="N19" s="88" t="s">
        <v>19</v>
      </c>
      <c r="O19" s="86" t="s">
        <v>65</v>
      </c>
      <c r="P19" s="380" t="s">
        <v>66</v>
      </c>
      <c r="Q19" s="85" t="s">
        <v>33</v>
      </c>
      <c r="R19" s="137" t="s">
        <v>20</v>
      </c>
      <c r="S19" s="1062" t="s">
        <v>21</v>
      </c>
      <c r="T19" s="419" t="s">
        <v>78</v>
      </c>
      <c r="U19" s="420"/>
      <c r="V19" s="421"/>
      <c r="W19" s="1063" t="s">
        <v>193</v>
      </c>
      <c r="X19" s="1064"/>
      <c r="Y19" s="1065"/>
      <c r="Z19" s="422" t="s">
        <v>22</v>
      </c>
      <c r="AA19" s="423" t="s">
        <v>105</v>
      </c>
      <c r="AB19" s="133" t="s">
        <v>106</v>
      </c>
      <c r="AC19" s="133" t="s">
        <v>25</v>
      </c>
      <c r="AD19" s="424"/>
    </row>
    <row r="20" spans="2:30" s="5" customFormat="1" ht="16.5" customHeight="1" thickTop="1">
      <c r="B20" s="50"/>
      <c r="C20" s="382"/>
      <c r="D20" s="1115"/>
      <c r="E20" s="1115"/>
      <c r="F20" s="1137"/>
      <c r="G20" s="1114"/>
      <c r="H20" s="1116"/>
      <c r="I20" s="1117"/>
      <c r="J20" s="1129"/>
      <c r="K20" s="1129"/>
      <c r="L20" s="1114"/>
      <c r="M20" s="1114"/>
      <c r="N20" s="1114"/>
      <c r="O20" s="1114"/>
      <c r="P20" s="1114"/>
      <c r="Q20" s="1114"/>
      <c r="R20" s="1118"/>
      <c r="S20" s="1119"/>
      <c r="T20" s="1120"/>
      <c r="U20" s="1121"/>
      <c r="V20" s="1122"/>
      <c r="W20" s="1123"/>
      <c r="X20" s="1124"/>
      <c r="Y20" s="1125"/>
      <c r="Z20" s="1126"/>
      <c r="AA20" s="1127"/>
      <c r="AB20" s="1114"/>
      <c r="AC20" s="1066"/>
      <c r="AD20" s="17"/>
    </row>
    <row r="21" spans="2:30" s="5" customFormat="1" ht="16.5" customHeight="1">
      <c r="B21" s="50"/>
      <c r="C21" s="486"/>
      <c r="D21" s="384"/>
      <c r="E21" s="7"/>
      <c r="F21" s="1138"/>
      <c r="G21" s="384"/>
      <c r="H21" s="1067"/>
      <c r="I21" s="1068"/>
      <c r="J21" s="425"/>
      <c r="K21" s="116"/>
      <c r="L21" s="384"/>
      <c r="M21" s="384"/>
      <c r="N21" s="385"/>
      <c r="O21" s="384"/>
      <c r="P21" s="384"/>
      <c r="Q21" s="384"/>
      <c r="R21" s="1069"/>
      <c r="S21" s="1070"/>
      <c r="T21" s="1071"/>
      <c r="U21" s="1072"/>
      <c r="V21" s="1073"/>
      <c r="W21" s="1074"/>
      <c r="X21" s="1075"/>
      <c r="Y21" s="1076"/>
      <c r="Z21" s="426"/>
      <c r="AA21" s="427"/>
      <c r="AB21" s="384"/>
      <c r="AC21" s="428"/>
      <c r="AD21" s="17"/>
    </row>
    <row r="22" spans="2:30" s="5" customFormat="1" ht="16.5" customHeight="1">
      <c r="B22" s="50"/>
      <c r="C22" s="354">
        <v>1</v>
      </c>
      <c r="D22" s="354" t="s">
        <v>322</v>
      </c>
      <c r="E22" s="387">
        <v>500</v>
      </c>
      <c r="F22" s="1139">
        <v>289</v>
      </c>
      <c r="G22" s="387" t="s">
        <v>304</v>
      </c>
      <c r="H22" s="1077">
        <f aca="true" t="shared" si="0" ref="H22:H38">IF(G22="A",200,IF(G22="B",60,20))</f>
        <v>20</v>
      </c>
      <c r="I22" s="1078">
        <f aca="true" t="shared" si="1" ref="I22:I38">IF(E22=500,IF(F22&lt;100,100*$E$16/100,F22*$E$16/100),IF(F22&lt;100,100*$E$17/100,F22*$E$17/100))</f>
        <v>338.64731</v>
      </c>
      <c r="J22" s="1079">
        <v>39725.05972222222</v>
      </c>
      <c r="K22" s="1080">
        <v>39725.07916666667</v>
      </c>
      <c r="L22" s="390">
        <f aca="true" t="shared" si="2" ref="L22:L38">IF(D22="","",(K22-J22)*24)</f>
        <v>0.466666666790843</v>
      </c>
      <c r="M22" s="391">
        <f aca="true" t="shared" si="3" ref="M22:M38">IF(D22="","",ROUND((K22-J22)*24*60,0))</f>
        <v>28</v>
      </c>
      <c r="N22" s="431" t="s">
        <v>292</v>
      </c>
      <c r="O22" s="392" t="str">
        <f aca="true" t="shared" si="4" ref="O22:O38">IF(D22="","","--")</f>
        <v>--</v>
      </c>
      <c r="P22" s="352" t="str">
        <f aca="true" t="shared" si="5" ref="P22:P38">IF(D22="","","NO")</f>
        <v>NO</v>
      </c>
      <c r="Q22" s="352" t="str">
        <f aca="true" t="shared" si="6" ref="Q22:Q38">IF(D22="","",IF(OR(N22="P",N22="RP"),"--","NO"))</f>
        <v>--</v>
      </c>
      <c r="R22" s="1081">
        <f aca="true" t="shared" si="7" ref="R22:R38">IF(N22="P",I22*H22*ROUND(M22/60,2)*0.01,"--")</f>
        <v>31.83284714</v>
      </c>
      <c r="S22" s="1082" t="str">
        <f aca="true" t="shared" si="8" ref="S22:S38">IF(N22="RP",I22*H22*ROUND(M22/60,2)*0.01*O22/100,"--")</f>
        <v>--</v>
      </c>
      <c r="T22" s="434" t="str">
        <f aca="true" t="shared" si="9" ref="T22:T38">IF(AND(N22="F",Q22="NO"),I22*H22*IF(P22="SI",1.2,1),"--")</f>
        <v>--</v>
      </c>
      <c r="U22" s="435" t="str">
        <f aca="true" t="shared" si="10" ref="U22:U38">IF(AND(N22="F",M22&gt;=10),I22*H22*IF(P22="SI",1.2,1)*IF(M22&lt;=300,ROUND(M22/60,2),5),"--")</f>
        <v>--</v>
      </c>
      <c r="V22" s="436" t="str">
        <f aca="true" t="shared" si="11" ref="V22:V38">IF(AND(N22="F",M22&gt;300),(ROUND(M22/60,2)-5)*I22*H22*0.1*IF(P22="SI",1.2,1),"--")</f>
        <v>--</v>
      </c>
      <c r="W22" s="1083" t="str">
        <f aca="true" t="shared" si="12" ref="W22:W38">IF(AND(N22="R",Q22="NO"),I22*H22*O22/100*IF(P22="SI",1.2,1),"--")</f>
        <v>--</v>
      </c>
      <c r="X22" s="1084" t="str">
        <f aca="true" t="shared" si="13" ref="X22:X38">IF(AND(N22="R",M22&gt;=10),I22*H22*O22/100*IF(P22="SI",1.2,1)*IF(M22&lt;=300,ROUND(M22/60,2),5),"--")</f>
        <v>--</v>
      </c>
      <c r="Y22" s="1085" t="str">
        <f aca="true" t="shared" si="14" ref="Y22:Y38">IF(AND(N22="R",M22&gt;300),(ROUND(M22/60,2)-5)*I22*H22*0.1*O22/100*IF(P22="SI",1.2,1),"--")</f>
        <v>--</v>
      </c>
      <c r="Z22" s="437" t="str">
        <f aca="true" t="shared" si="15" ref="Z22:Z38">IF(N22="RF",ROUND(M22/60,2)*I22*H22*0.1*IF(P22="SI",1.2,1),"--")</f>
        <v>--</v>
      </c>
      <c r="AA22" s="438" t="str">
        <f aca="true" t="shared" si="16" ref="AA22:AA38">IF(N22="RR",ROUND(M22/60,2)*I22*H22*0.1*O22/100*IF(P22="SI",1.2,1),"--")</f>
        <v>--</v>
      </c>
      <c r="AB22" s="1086" t="s">
        <v>289</v>
      </c>
      <c r="AC22" s="16">
        <v>0</v>
      </c>
      <c r="AD22" s="1087"/>
    </row>
    <row r="23" spans="2:30" s="5" customFormat="1" ht="16.5" customHeight="1">
      <c r="B23" s="50"/>
      <c r="C23" s="486">
        <v>2</v>
      </c>
      <c r="D23" s="354" t="s">
        <v>323</v>
      </c>
      <c r="E23" s="387">
        <v>500</v>
      </c>
      <c r="F23" s="1139">
        <v>202.93</v>
      </c>
      <c r="G23" s="387" t="s">
        <v>304</v>
      </c>
      <c r="H23" s="1077">
        <f t="shared" si="0"/>
        <v>20</v>
      </c>
      <c r="I23" s="1078">
        <f t="shared" si="1"/>
        <v>237.7913447</v>
      </c>
      <c r="J23" s="1079">
        <v>39726.256944444445</v>
      </c>
      <c r="K23" s="1080">
        <v>39726.756944444445</v>
      </c>
      <c r="L23" s="390">
        <f t="shared" si="2"/>
        <v>12</v>
      </c>
      <c r="M23" s="391">
        <f t="shared" si="3"/>
        <v>720</v>
      </c>
      <c r="N23" s="431" t="s">
        <v>292</v>
      </c>
      <c r="O23" s="392" t="str">
        <f t="shared" si="4"/>
        <v>--</v>
      </c>
      <c r="P23" s="352" t="str">
        <f t="shared" si="5"/>
        <v>NO</v>
      </c>
      <c r="Q23" s="352" t="str">
        <f t="shared" si="6"/>
        <v>--</v>
      </c>
      <c r="R23" s="1081">
        <f t="shared" si="7"/>
        <v>570.69922728</v>
      </c>
      <c r="S23" s="1082" t="str">
        <f t="shared" si="8"/>
        <v>--</v>
      </c>
      <c r="T23" s="434" t="str">
        <f t="shared" si="9"/>
        <v>--</v>
      </c>
      <c r="U23" s="435" t="str">
        <f t="shared" si="10"/>
        <v>--</v>
      </c>
      <c r="V23" s="436" t="str">
        <f t="shared" si="11"/>
        <v>--</v>
      </c>
      <c r="W23" s="1083" t="str">
        <f t="shared" si="12"/>
        <v>--</v>
      </c>
      <c r="X23" s="1084" t="str">
        <f t="shared" si="13"/>
        <v>--</v>
      </c>
      <c r="Y23" s="1085" t="str">
        <f t="shared" si="14"/>
        <v>--</v>
      </c>
      <c r="Z23" s="437" t="str">
        <f t="shared" si="15"/>
        <v>--</v>
      </c>
      <c r="AA23" s="438" t="str">
        <f t="shared" si="16"/>
        <v>--</v>
      </c>
      <c r="AB23" s="1086" t="s">
        <v>289</v>
      </c>
      <c r="AC23" s="16">
        <v>0</v>
      </c>
      <c r="AD23" s="1087"/>
    </row>
    <row r="24" spans="2:30" s="5" customFormat="1" ht="16.5" customHeight="1">
      <c r="B24" s="50"/>
      <c r="C24" s="354">
        <v>5</v>
      </c>
      <c r="D24" s="354" t="s">
        <v>328</v>
      </c>
      <c r="E24" s="387">
        <v>500</v>
      </c>
      <c r="F24" s="1139">
        <v>227</v>
      </c>
      <c r="G24" s="387" t="s">
        <v>329</v>
      </c>
      <c r="H24" s="1077">
        <f t="shared" si="0"/>
        <v>200</v>
      </c>
      <c r="I24" s="1078">
        <f t="shared" si="1"/>
        <v>265.99633</v>
      </c>
      <c r="J24" s="1079">
        <v>39732.35625</v>
      </c>
      <c r="K24" s="1080">
        <v>39732.69583333333</v>
      </c>
      <c r="L24" s="390">
        <f t="shared" si="2"/>
        <v>8.150000000023283</v>
      </c>
      <c r="M24" s="391">
        <f t="shared" si="3"/>
        <v>489</v>
      </c>
      <c r="N24" s="431" t="s">
        <v>292</v>
      </c>
      <c r="O24" s="392" t="str">
        <f t="shared" si="4"/>
        <v>--</v>
      </c>
      <c r="P24" s="352" t="str">
        <f t="shared" si="5"/>
        <v>NO</v>
      </c>
      <c r="Q24" s="352" t="str">
        <f t="shared" si="6"/>
        <v>--</v>
      </c>
      <c r="R24" s="1081">
        <f t="shared" si="7"/>
        <v>4335.740179</v>
      </c>
      <c r="S24" s="1082" t="str">
        <f t="shared" si="8"/>
        <v>--</v>
      </c>
      <c r="T24" s="434" t="str">
        <f t="shared" si="9"/>
        <v>--</v>
      </c>
      <c r="U24" s="435" t="str">
        <f t="shared" si="10"/>
        <v>--</v>
      </c>
      <c r="V24" s="436" t="str">
        <f t="shared" si="11"/>
        <v>--</v>
      </c>
      <c r="W24" s="1083" t="str">
        <f t="shared" si="12"/>
        <v>--</v>
      </c>
      <c r="X24" s="1084" t="str">
        <f t="shared" si="13"/>
        <v>--</v>
      </c>
      <c r="Y24" s="1085" t="str">
        <f t="shared" si="14"/>
        <v>--</v>
      </c>
      <c r="Z24" s="437" t="str">
        <f t="shared" si="15"/>
        <v>--</v>
      </c>
      <c r="AA24" s="438" t="str">
        <f t="shared" si="16"/>
        <v>--</v>
      </c>
      <c r="AB24" s="1086" t="s">
        <v>289</v>
      </c>
      <c r="AC24" s="16">
        <f aca="true" t="shared" si="17" ref="AC24:AC38">IF(D24="","",SUM(R24:AA24)*IF(AB24="SI",1,2))</f>
        <v>4335.740179</v>
      </c>
      <c r="AD24" s="1087"/>
    </row>
    <row r="25" spans="2:30" s="5" customFormat="1" ht="16.5" customHeight="1">
      <c r="B25" s="50"/>
      <c r="C25" s="486">
        <v>6</v>
      </c>
      <c r="D25" s="354" t="s">
        <v>330</v>
      </c>
      <c r="E25" s="387">
        <v>500</v>
      </c>
      <c r="F25" s="1139">
        <v>421</v>
      </c>
      <c r="G25" s="387" t="s">
        <v>329</v>
      </c>
      <c r="H25" s="1077">
        <f t="shared" si="0"/>
        <v>200</v>
      </c>
      <c r="I25" s="1078">
        <f t="shared" si="1"/>
        <v>493.32359</v>
      </c>
      <c r="J25" s="1079">
        <v>39733.34861111111</v>
      </c>
      <c r="K25" s="1080">
        <v>39734.71527777778</v>
      </c>
      <c r="L25" s="390">
        <f t="shared" si="2"/>
        <v>32.800000000046566</v>
      </c>
      <c r="M25" s="391">
        <f t="shared" si="3"/>
        <v>1968</v>
      </c>
      <c r="N25" s="431" t="s">
        <v>292</v>
      </c>
      <c r="O25" s="392" t="str">
        <f t="shared" si="4"/>
        <v>--</v>
      </c>
      <c r="P25" s="352" t="str">
        <f t="shared" si="5"/>
        <v>NO</v>
      </c>
      <c r="Q25" s="352" t="str">
        <f t="shared" si="6"/>
        <v>--</v>
      </c>
      <c r="R25" s="1081">
        <f t="shared" si="7"/>
        <v>32362.027503999998</v>
      </c>
      <c r="S25" s="1082" t="str">
        <f t="shared" si="8"/>
        <v>--</v>
      </c>
      <c r="T25" s="434" t="str">
        <f t="shared" si="9"/>
        <v>--</v>
      </c>
      <c r="U25" s="435" t="str">
        <f t="shared" si="10"/>
        <v>--</v>
      </c>
      <c r="V25" s="436" t="str">
        <f t="shared" si="11"/>
        <v>--</v>
      </c>
      <c r="W25" s="1083" t="str">
        <f t="shared" si="12"/>
        <v>--</v>
      </c>
      <c r="X25" s="1084" t="str">
        <f t="shared" si="13"/>
        <v>--</v>
      </c>
      <c r="Y25" s="1085" t="str">
        <f t="shared" si="14"/>
        <v>--</v>
      </c>
      <c r="Z25" s="437" t="str">
        <f t="shared" si="15"/>
        <v>--</v>
      </c>
      <c r="AA25" s="438" t="str">
        <f t="shared" si="16"/>
        <v>--</v>
      </c>
      <c r="AB25" s="1086" t="s">
        <v>289</v>
      </c>
      <c r="AC25" s="16">
        <f t="shared" si="17"/>
        <v>32362.027503999998</v>
      </c>
      <c r="AD25" s="1087"/>
    </row>
    <row r="26" spans="2:30" s="5" customFormat="1" ht="16.5" customHeight="1">
      <c r="B26" s="50"/>
      <c r="C26" s="354">
        <v>7</v>
      </c>
      <c r="D26" s="345" t="s">
        <v>326</v>
      </c>
      <c r="E26" s="347">
        <v>500</v>
      </c>
      <c r="F26" s="1141">
        <v>255</v>
      </c>
      <c r="G26" s="347" t="s">
        <v>327</v>
      </c>
      <c r="H26" s="1077">
        <f t="shared" si="0"/>
        <v>60</v>
      </c>
      <c r="I26" s="1078">
        <f t="shared" si="1"/>
        <v>298.80645</v>
      </c>
      <c r="J26" s="388">
        <v>39733.63611111111</v>
      </c>
      <c r="K26" s="430">
        <v>39733.73472222222</v>
      </c>
      <c r="L26" s="390">
        <f t="shared" si="2"/>
        <v>2.3666666666977108</v>
      </c>
      <c r="M26" s="391">
        <f t="shared" si="3"/>
        <v>142</v>
      </c>
      <c r="N26" s="431" t="s">
        <v>292</v>
      </c>
      <c r="O26" s="392" t="str">
        <f t="shared" si="4"/>
        <v>--</v>
      </c>
      <c r="P26" s="352" t="str">
        <f t="shared" si="5"/>
        <v>NO</v>
      </c>
      <c r="Q26" s="352" t="str">
        <f t="shared" si="6"/>
        <v>--</v>
      </c>
      <c r="R26" s="1081">
        <f t="shared" si="7"/>
        <v>424.9027719</v>
      </c>
      <c r="S26" s="1082" t="str">
        <f t="shared" si="8"/>
        <v>--</v>
      </c>
      <c r="T26" s="434" t="str">
        <f t="shared" si="9"/>
        <v>--</v>
      </c>
      <c r="U26" s="435" t="str">
        <f t="shared" si="10"/>
        <v>--</v>
      </c>
      <c r="V26" s="436" t="str">
        <f t="shared" si="11"/>
        <v>--</v>
      </c>
      <c r="W26" s="1083" t="str">
        <f t="shared" si="12"/>
        <v>--</v>
      </c>
      <c r="X26" s="1084" t="str">
        <f t="shared" si="13"/>
        <v>--</v>
      </c>
      <c r="Y26" s="1085" t="str">
        <f t="shared" si="14"/>
        <v>--</v>
      </c>
      <c r="Z26" s="437" t="str">
        <f t="shared" si="15"/>
        <v>--</v>
      </c>
      <c r="AA26" s="438" t="str">
        <f t="shared" si="16"/>
        <v>--</v>
      </c>
      <c r="AB26" s="1086" t="s">
        <v>289</v>
      </c>
      <c r="AC26" s="16">
        <f t="shared" si="17"/>
        <v>424.9027719</v>
      </c>
      <c r="AD26" s="1087"/>
    </row>
    <row r="27" spans="2:30" s="5" customFormat="1" ht="16.5" customHeight="1">
      <c r="B27" s="50"/>
      <c r="C27" s="486">
        <v>8</v>
      </c>
      <c r="D27" s="345" t="s">
        <v>326</v>
      </c>
      <c r="E27" s="347">
        <v>500</v>
      </c>
      <c r="F27" s="1141">
        <v>255</v>
      </c>
      <c r="G27" s="347" t="s">
        <v>327</v>
      </c>
      <c r="H27" s="1077">
        <f t="shared" si="0"/>
        <v>60</v>
      </c>
      <c r="I27" s="1078">
        <f t="shared" si="1"/>
        <v>298.80645</v>
      </c>
      <c r="J27" s="388">
        <v>39734.334027777775</v>
      </c>
      <c r="K27" s="430">
        <v>39734.72361111111</v>
      </c>
      <c r="L27" s="390">
        <f t="shared" si="2"/>
        <v>9.350000000093132</v>
      </c>
      <c r="M27" s="391">
        <f t="shared" si="3"/>
        <v>561</v>
      </c>
      <c r="N27" s="431" t="s">
        <v>292</v>
      </c>
      <c r="O27" s="392" t="str">
        <f t="shared" si="4"/>
        <v>--</v>
      </c>
      <c r="P27" s="352" t="str">
        <f t="shared" si="5"/>
        <v>NO</v>
      </c>
      <c r="Q27" s="352" t="str">
        <f t="shared" si="6"/>
        <v>--</v>
      </c>
      <c r="R27" s="1081">
        <f t="shared" si="7"/>
        <v>1676.3041844999998</v>
      </c>
      <c r="S27" s="1082" t="str">
        <f t="shared" si="8"/>
        <v>--</v>
      </c>
      <c r="T27" s="434" t="str">
        <f t="shared" si="9"/>
        <v>--</v>
      </c>
      <c r="U27" s="435" t="str">
        <f t="shared" si="10"/>
        <v>--</v>
      </c>
      <c r="V27" s="436" t="str">
        <f t="shared" si="11"/>
        <v>--</v>
      </c>
      <c r="W27" s="1083" t="str">
        <f t="shared" si="12"/>
        <v>--</v>
      </c>
      <c r="X27" s="1084" t="str">
        <f t="shared" si="13"/>
        <v>--</v>
      </c>
      <c r="Y27" s="1085" t="str">
        <f t="shared" si="14"/>
        <v>--</v>
      </c>
      <c r="Z27" s="437" t="str">
        <f t="shared" si="15"/>
        <v>--</v>
      </c>
      <c r="AA27" s="438" t="str">
        <f t="shared" si="16"/>
        <v>--</v>
      </c>
      <c r="AB27" s="1086" t="s">
        <v>289</v>
      </c>
      <c r="AC27" s="16">
        <f t="shared" si="17"/>
        <v>1676.3041844999998</v>
      </c>
      <c r="AD27" s="1087"/>
    </row>
    <row r="28" spans="2:30" s="5" customFormat="1" ht="16.5" customHeight="1">
      <c r="B28" s="50"/>
      <c r="C28" s="486">
        <v>10</v>
      </c>
      <c r="D28" s="345" t="s">
        <v>331</v>
      </c>
      <c r="E28" s="347">
        <v>500</v>
      </c>
      <c r="F28" s="1141">
        <v>256</v>
      </c>
      <c r="G28" s="347" t="s">
        <v>304</v>
      </c>
      <c r="H28" s="1077">
        <f t="shared" si="0"/>
        <v>20</v>
      </c>
      <c r="I28" s="1078">
        <f t="shared" si="1"/>
        <v>299.97824</v>
      </c>
      <c r="J28" s="388">
        <v>39742.93680555555</v>
      </c>
      <c r="K28" s="430">
        <v>39742.947916666664</v>
      </c>
      <c r="L28" s="390">
        <f t="shared" si="2"/>
        <v>0.26666666666278616</v>
      </c>
      <c r="M28" s="391">
        <f t="shared" si="3"/>
        <v>16</v>
      </c>
      <c r="N28" s="431" t="s">
        <v>325</v>
      </c>
      <c r="O28" s="392" t="str">
        <f t="shared" si="4"/>
        <v>--</v>
      </c>
      <c r="P28" s="352" t="str">
        <f t="shared" si="5"/>
        <v>NO</v>
      </c>
      <c r="Q28" s="352" t="str">
        <f t="shared" si="6"/>
        <v>NO</v>
      </c>
      <c r="R28" s="1081" t="str">
        <f t="shared" si="7"/>
        <v>--</v>
      </c>
      <c r="S28" s="1082" t="str">
        <f t="shared" si="8"/>
        <v>--</v>
      </c>
      <c r="T28" s="434">
        <f t="shared" si="9"/>
        <v>5999.5648</v>
      </c>
      <c r="U28" s="435">
        <f t="shared" si="10"/>
        <v>1619.8824960000002</v>
      </c>
      <c r="V28" s="436" t="str">
        <f t="shared" si="11"/>
        <v>--</v>
      </c>
      <c r="W28" s="1083" t="str">
        <f t="shared" si="12"/>
        <v>--</v>
      </c>
      <c r="X28" s="1084" t="str">
        <f t="shared" si="13"/>
        <v>--</v>
      </c>
      <c r="Y28" s="1085" t="str">
        <f t="shared" si="14"/>
        <v>--</v>
      </c>
      <c r="Z28" s="437" t="str">
        <f t="shared" si="15"/>
        <v>--</v>
      </c>
      <c r="AA28" s="438" t="str">
        <f t="shared" si="16"/>
        <v>--</v>
      </c>
      <c r="AB28" s="1086" t="s">
        <v>289</v>
      </c>
      <c r="AC28" s="16">
        <f t="shared" si="17"/>
        <v>7619.447296</v>
      </c>
      <c r="AD28" s="1087"/>
    </row>
    <row r="29" spans="2:30" s="5" customFormat="1" ht="16.5" customHeight="1">
      <c r="B29" s="50"/>
      <c r="C29" s="354">
        <v>11</v>
      </c>
      <c r="D29" s="345" t="s">
        <v>332</v>
      </c>
      <c r="E29" s="347">
        <v>500</v>
      </c>
      <c r="F29" s="1141">
        <v>77</v>
      </c>
      <c r="G29" s="347" t="s">
        <v>304</v>
      </c>
      <c r="H29" s="1077">
        <f t="shared" si="0"/>
        <v>20</v>
      </c>
      <c r="I29" s="1078">
        <f t="shared" si="1"/>
        <v>117.179</v>
      </c>
      <c r="J29" s="388">
        <v>39744.083333333336</v>
      </c>
      <c r="K29" s="430">
        <v>39744.1375</v>
      </c>
      <c r="L29" s="390">
        <f t="shared" si="2"/>
        <v>1.2999999998719431</v>
      </c>
      <c r="M29" s="391">
        <f t="shared" si="3"/>
        <v>78</v>
      </c>
      <c r="N29" s="431" t="s">
        <v>292</v>
      </c>
      <c r="O29" s="392" t="str">
        <f t="shared" si="4"/>
        <v>--</v>
      </c>
      <c r="P29" s="352" t="str">
        <f t="shared" si="5"/>
        <v>NO</v>
      </c>
      <c r="Q29" s="352" t="str">
        <f t="shared" si="6"/>
        <v>--</v>
      </c>
      <c r="R29" s="1081">
        <f t="shared" si="7"/>
        <v>30.466540000000002</v>
      </c>
      <c r="S29" s="1082" t="str">
        <f t="shared" si="8"/>
        <v>--</v>
      </c>
      <c r="T29" s="434" t="str">
        <f t="shared" si="9"/>
        <v>--</v>
      </c>
      <c r="U29" s="435" t="str">
        <f t="shared" si="10"/>
        <v>--</v>
      </c>
      <c r="V29" s="436" t="str">
        <f t="shared" si="11"/>
        <v>--</v>
      </c>
      <c r="W29" s="1083" t="str">
        <f t="shared" si="12"/>
        <v>--</v>
      </c>
      <c r="X29" s="1084" t="str">
        <f t="shared" si="13"/>
        <v>--</v>
      </c>
      <c r="Y29" s="1085" t="str">
        <f t="shared" si="14"/>
        <v>--</v>
      </c>
      <c r="Z29" s="437" t="str">
        <f t="shared" si="15"/>
        <v>--</v>
      </c>
      <c r="AA29" s="438" t="str">
        <f t="shared" si="16"/>
        <v>--</v>
      </c>
      <c r="AB29" s="1086" t="s">
        <v>289</v>
      </c>
      <c r="AC29" s="16">
        <f t="shared" si="17"/>
        <v>30.466540000000002</v>
      </c>
      <c r="AD29" s="1087"/>
    </row>
    <row r="30" spans="2:30" s="5" customFormat="1" ht="16.5" customHeight="1">
      <c r="B30" s="50"/>
      <c r="C30" s="486">
        <v>12</v>
      </c>
      <c r="D30" s="345" t="s">
        <v>330</v>
      </c>
      <c r="E30" s="347">
        <v>500</v>
      </c>
      <c r="F30" s="1141">
        <v>421</v>
      </c>
      <c r="G30" s="347" t="s">
        <v>329</v>
      </c>
      <c r="H30" s="1077">
        <f t="shared" si="0"/>
        <v>200</v>
      </c>
      <c r="I30" s="1078">
        <f t="shared" si="1"/>
        <v>493.32359</v>
      </c>
      <c r="J30" s="388">
        <v>39744.30416666667</v>
      </c>
      <c r="K30" s="389">
        <v>39744.65694444445</v>
      </c>
      <c r="L30" s="390">
        <f t="shared" si="2"/>
        <v>8.466666666674428</v>
      </c>
      <c r="M30" s="391">
        <f t="shared" si="3"/>
        <v>508</v>
      </c>
      <c r="N30" s="431" t="s">
        <v>292</v>
      </c>
      <c r="O30" s="392" t="str">
        <f t="shared" si="4"/>
        <v>--</v>
      </c>
      <c r="P30" s="352" t="str">
        <f t="shared" si="5"/>
        <v>NO</v>
      </c>
      <c r="Q30" s="352" t="str">
        <f t="shared" si="6"/>
        <v>--</v>
      </c>
      <c r="R30" s="1081">
        <f t="shared" si="7"/>
        <v>8356.901614600001</v>
      </c>
      <c r="S30" s="1082" t="str">
        <f t="shared" si="8"/>
        <v>--</v>
      </c>
      <c r="T30" s="434" t="str">
        <f t="shared" si="9"/>
        <v>--</v>
      </c>
      <c r="U30" s="435" t="str">
        <f t="shared" si="10"/>
        <v>--</v>
      </c>
      <c r="V30" s="436" t="str">
        <f t="shared" si="11"/>
        <v>--</v>
      </c>
      <c r="W30" s="1083" t="str">
        <f t="shared" si="12"/>
        <v>--</v>
      </c>
      <c r="X30" s="1084" t="str">
        <f t="shared" si="13"/>
        <v>--</v>
      </c>
      <c r="Y30" s="1085" t="str">
        <f t="shared" si="14"/>
        <v>--</v>
      </c>
      <c r="Z30" s="437" t="str">
        <f t="shared" si="15"/>
        <v>--</v>
      </c>
      <c r="AA30" s="438" t="str">
        <f t="shared" si="16"/>
        <v>--</v>
      </c>
      <c r="AB30" s="1086" t="s">
        <v>289</v>
      </c>
      <c r="AC30" s="16">
        <f t="shared" si="17"/>
        <v>8356.901614600001</v>
      </c>
      <c r="AD30" s="1087"/>
    </row>
    <row r="31" spans="2:30" s="5" customFormat="1" ht="16.5" customHeight="1">
      <c r="B31" s="50"/>
      <c r="C31" s="354">
        <v>13</v>
      </c>
      <c r="D31" s="345" t="s">
        <v>333</v>
      </c>
      <c r="E31" s="347">
        <v>220</v>
      </c>
      <c r="F31" s="1141">
        <v>26</v>
      </c>
      <c r="G31" s="347" t="s">
        <v>304</v>
      </c>
      <c r="H31" s="1077">
        <f t="shared" si="0"/>
        <v>20</v>
      </c>
      <c r="I31" s="1078">
        <f t="shared" si="1"/>
        <v>97.649</v>
      </c>
      <c r="J31" s="388">
        <v>39745.61111111111</v>
      </c>
      <c r="K31" s="389">
        <v>39745.626388888886</v>
      </c>
      <c r="L31" s="390">
        <f t="shared" si="2"/>
        <v>0.3666666666395031</v>
      </c>
      <c r="M31" s="391">
        <f t="shared" si="3"/>
        <v>22</v>
      </c>
      <c r="N31" s="431" t="s">
        <v>325</v>
      </c>
      <c r="O31" s="392" t="str">
        <f t="shared" si="4"/>
        <v>--</v>
      </c>
      <c r="P31" s="352" t="str">
        <f t="shared" si="5"/>
        <v>NO</v>
      </c>
      <c r="Q31" s="352" t="str">
        <f t="shared" si="6"/>
        <v>NO</v>
      </c>
      <c r="R31" s="1081" t="str">
        <f t="shared" si="7"/>
        <v>--</v>
      </c>
      <c r="S31" s="1082" t="str">
        <f t="shared" si="8"/>
        <v>--</v>
      </c>
      <c r="T31" s="434">
        <f t="shared" si="9"/>
        <v>1952.98</v>
      </c>
      <c r="U31" s="435">
        <f t="shared" si="10"/>
        <v>722.6026</v>
      </c>
      <c r="V31" s="436" t="str">
        <f t="shared" si="11"/>
        <v>--</v>
      </c>
      <c r="W31" s="1083" t="str">
        <f t="shared" si="12"/>
        <v>--</v>
      </c>
      <c r="X31" s="1084" t="str">
        <f t="shared" si="13"/>
        <v>--</v>
      </c>
      <c r="Y31" s="1085" t="str">
        <f t="shared" si="14"/>
        <v>--</v>
      </c>
      <c r="Z31" s="437" t="str">
        <f t="shared" si="15"/>
        <v>--</v>
      </c>
      <c r="AA31" s="438" t="str">
        <f t="shared" si="16"/>
        <v>--</v>
      </c>
      <c r="AB31" s="1086" t="s">
        <v>289</v>
      </c>
      <c r="AC31" s="16">
        <f t="shared" si="17"/>
        <v>2675.5826</v>
      </c>
      <c r="AD31" s="1087"/>
    </row>
    <row r="32" spans="2:30" s="5" customFormat="1" ht="16.5" customHeight="1">
      <c r="B32" s="50"/>
      <c r="C32" s="486">
        <v>14</v>
      </c>
      <c r="D32" s="345" t="s">
        <v>334</v>
      </c>
      <c r="E32" s="347">
        <v>220</v>
      </c>
      <c r="F32" s="1141">
        <v>114</v>
      </c>
      <c r="G32" s="347" t="s">
        <v>304</v>
      </c>
      <c r="H32" s="1077">
        <f t="shared" si="0"/>
        <v>20</v>
      </c>
      <c r="I32" s="1078">
        <f t="shared" si="1"/>
        <v>111.31986</v>
      </c>
      <c r="J32" s="388">
        <v>39745.61111111111</v>
      </c>
      <c r="K32" s="389">
        <v>39745.620833333334</v>
      </c>
      <c r="L32" s="390">
        <f t="shared" si="2"/>
        <v>0.2333333333954215</v>
      </c>
      <c r="M32" s="391">
        <f t="shared" si="3"/>
        <v>14</v>
      </c>
      <c r="N32" s="431" t="s">
        <v>325</v>
      </c>
      <c r="O32" s="392" t="str">
        <f t="shared" si="4"/>
        <v>--</v>
      </c>
      <c r="P32" s="352" t="str">
        <f t="shared" si="5"/>
        <v>NO</v>
      </c>
      <c r="Q32" s="352" t="str">
        <f t="shared" si="6"/>
        <v>NO</v>
      </c>
      <c r="R32" s="1081" t="str">
        <f t="shared" si="7"/>
        <v>--</v>
      </c>
      <c r="S32" s="1082" t="str">
        <f t="shared" si="8"/>
        <v>--</v>
      </c>
      <c r="T32" s="434">
        <f t="shared" si="9"/>
        <v>2226.3972000000003</v>
      </c>
      <c r="U32" s="435">
        <f t="shared" si="10"/>
        <v>512.0713560000002</v>
      </c>
      <c r="V32" s="436" t="str">
        <f t="shared" si="11"/>
        <v>--</v>
      </c>
      <c r="W32" s="1083" t="str">
        <f t="shared" si="12"/>
        <v>--</v>
      </c>
      <c r="X32" s="1084" t="str">
        <f t="shared" si="13"/>
        <v>--</v>
      </c>
      <c r="Y32" s="1085" t="str">
        <f t="shared" si="14"/>
        <v>--</v>
      </c>
      <c r="Z32" s="437" t="str">
        <f t="shared" si="15"/>
        <v>--</v>
      </c>
      <c r="AA32" s="438" t="str">
        <f t="shared" si="16"/>
        <v>--</v>
      </c>
      <c r="AB32" s="1086" t="s">
        <v>289</v>
      </c>
      <c r="AC32" s="16">
        <f t="shared" si="17"/>
        <v>2738.4685560000007</v>
      </c>
      <c r="AD32" s="1087"/>
    </row>
    <row r="33" spans="2:30" s="5" customFormat="1" ht="16.5" customHeight="1">
      <c r="B33" s="50"/>
      <c r="C33" s="354">
        <v>15</v>
      </c>
      <c r="D33" s="345" t="s">
        <v>335</v>
      </c>
      <c r="E33" s="347">
        <v>220</v>
      </c>
      <c r="F33" s="1141">
        <v>61</v>
      </c>
      <c r="G33" s="347" t="s">
        <v>304</v>
      </c>
      <c r="H33" s="1077">
        <f t="shared" si="0"/>
        <v>20</v>
      </c>
      <c r="I33" s="1078">
        <f t="shared" si="1"/>
        <v>97.649</v>
      </c>
      <c r="J33" s="388">
        <v>39745.61111111111</v>
      </c>
      <c r="K33" s="389">
        <v>39745.629166666666</v>
      </c>
      <c r="L33" s="390">
        <f t="shared" si="2"/>
        <v>0.4333333333488554</v>
      </c>
      <c r="M33" s="391">
        <f t="shared" si="3"/>
        <v>26</v>
      </c>
      <c r="N33" s="431" t="s">
        <v>325</v>
      </c>
      <c r="O33" s="392" t="str">
        <f t="shared" si="4"/>
        <v>--</v>
      </c>
      <c r="P33" s="352" t="str">
        <f t="shared" si="5"/>
        <v>NO</v>
      </c>
      <c r="Q33" s="352" t="str">
        <f t="shared" si="6"/>
        <v>NO</v>
      </c>
      <c r="R33" s="1081" t="str">
        <f t="shared" si="7"/>
        <v>--</v>
      </c>
      <c r="S33" s="1082" t="str">
        <f t="shared" si="8"/>
        <v>--</v>
      </c>
      <c r="T33" s="434">
        <f t="shared" si="9"/>
        <v>1952.98</v>
      </c>
      <c r="U33" s="435">
        <f t="shared" si="10"/>
        <v>839.7814</v>
      </c>
      <c r="V33" s="436" t="str">
        <f t="shared" si="11"/>
        <v>--</v>
      </c>
      <c r="W33" s="1083" t="str">
        <f t="shared" si="12"/>
        <v>--</v>
      </c>
      <c r="X33" s="1084" t="str">
        <f t="shared" si="13"/>
        <v>--</v>
      </c>
      <c r="Y33" s="1085" t="str">
        <f t="shared" si="14"/>
        <v>--</v>
      </c>
      <c r="Z33" s="437" t="str">
        <f t="shared" si="15"/>
        <v>--</v>
      </c>
      <c r="AA33" s="438" t="str">
        <f t="shared" si="16"/>
        <v>--</v>
      </c>
      <c r="AB33" s="1086" t="s">
        <v>289</v>
      </c>
      <c r="AC33" s="16">
        <f t="shared" si="17"/>
        <v>2792.7614</v>
      </c>
      <c r="AD33" s="1087"/>
    </row>
    <row r="34" spans="2:30" s="5" customFormat="1" ht="16.5" customHeight="1">
      <c r="B34" s="50"/>
      <c r="C34" s="486">
        <v>16</v>
      </c>
      <c r="D34" s="345" t="s">
        <v>334</v>
      </c>
      <c r="E34" s="347">
        <v>220</v>
      </c>
      <c r="F34" s="1141">
        <v>114</v>
      </c>
      <c r="G34" s="347" t="s">
        <v>304</v>
      </c>
      <c r="H34" s="1077">
        <f t="shared" si="0"/>
        <v>20</v>
      </c>
      <c r="I34" s="1078">
        <f t="shared" si="1"/>
        <v>111.31986</v>
      </c>
      <c r="J34" s="388">
        <v>39745.73402777778</v>
      </c>
      <c r="K34" s="389">
        <v>39746.43194444444</v>
      </c>
      <c r="L34" s="390">
        <f t="shared" si="2"/>
        <v>16.749999999941792</v>
      </c>
      <c r="M34" s="391">
        <f t="shared" si="3"/>
        <v>1005</v>
      </c>
      <c r="N34" s="431" t="s">
        <v>325</v>
      </c>
      <c r="O34" s="392" t="str">
        <f t="shared" si="4"/>
        <v>--</v>
      </c>
      <c r="P34" s="352" t="str">
        <f t="shared" si="5"/>
        <v>NO</v>
      </c>
      <c r="Q34" s="352" t="s">
        <v>289</v>
      </c>
      <c r="R34" s="1081" t="str">
        <f t="shared" si="7"/>
        <v>--</v>
      </c>
      <c r="S34" s="1082" t="str">
        <f t="shared" si="8"/>
        <v>--</v>
      </c>
      <c r="T34" s="434" t="str">
        <f t="shared" si="9"/>
        <v>--</v>
      </c>
      <c r="U34" s="435">
        <f t="shared" si="10"/>
        <v>11131.986</v>
      </c>
      <c r="V34" s="436">
        <f t="shared" si="11"/>
        <v>2616.0167100000003</v>
      </c>
      <c r="W34" s="1083" t="str">
        <f t="shared" si="12"/>
        <v>--</v>
      </c>
      <c r="X34" s="1084" t="str">
        <f t="shared" si="13"/>
        <v>--</v>
      </c>
      <c r="Y34" s="1085" t="str">
        <f t="shared" si="14"/>
        <v>--</v>
      </c>
      <c r="Z34" s="437" t="str">
        <f t="shared" si="15"/>
        <v>--</v>
      </c>
      <c r="AA34" s="438" t="str">
        <f t="shared" si="16"/>
        <v>--</v>
      </c>
      <c r="AB34" s="1086" t="s">
        <v>289</v>
      </c>
      <c r="AC34" s="16">
        <f t="shared" si="17"/>
        <v>13748.00271</v>
      </c>
      <c r="AD34" s="1087"/>
    </row>
    <row r="35" spans="2:30" s="5" customFormat="1" ht="16.5" customHeight="1">
      <c r="B35" s="50"/>
      <c r="C35" s="354">
        <v>17</v>
      </c>
      <c r="D35" s="345" t="s">
        <v>336</v>
      </c>
      <c r="E35" s="347">
        <v>500</v>
      </c>
      <c r="F35" s="1141">
        <v>30</v>
      </c>
      <c r="G35" s="347" t="s">
        <v>304</v>
      </c>
      <c r="H35" s="1077">
        <f t="shared" si="0"/>
        <v>20</v>
      </c>
      <c r="I35" s="1078">
        <f t="shared" si="1"/>
        <v>117.179</v>
      </c>
      <c r="J35" s="388">
        <v>39751.64722222222</v>
      </c>
      <c r="K35" s="389">
        <v>39751.65416666667</v>
      </c>
      <c r="L35" s="390">
        <f t="shared" si="2"/>
        <v>0.16666666668606922</v>
      </c>
      <c r="M35" s="391">
        <f t="shared" si="3"/>
        <v>10</v>
      </c>
      <c r="N35" s="431" t="s">
        <v>325</v>
      </c>
      <c r="O35" s="392" t="str">
        <f t="shared" si="4"/>
        <v>--</v>
      </c>
      <c r="P35" s="352" t="str">
        <f t="shared" si="5"/>
        <v>NO</v>
      </c>
      <c r="Q35" s="352" t="str">
        <f t="shared" si="6"/>
        <v>NO</v>
      </c>
      <c r="R35" s="1081" t="str">
        <f t="shared" si="7"/>
        <v>--</v>
      </c>
      <c r="S35" s="1082" t="str">
        <f t="shared" si="8"/>
        <v>--</v>
      </c>
      <c r="T35" s="434">
        <f t="shared" si="9"/>
        <v>2343.58</v>
      </c>
      <c r="U35" s="435">
        <f t="shared" si="10"/>
        <v>398.40860000000004</v>
      </c>
      <c r="V35" s="436" t="str">
        <f t="shared" si="11"/>
        <v>--</v>
      </c>
      <c r="W35" s="1083" t="str">
        <f t="shared" si="12"/>
        <v>--</v>
      </c>
      <c r="X35" s="1084" t="str">
        <f t="shared" si="13"/>
        <v>--</v>
      </c>
      <c r="Y35" s="1085" t="str">
        <f t="shared" si="14"/>
        <v>--</v>
      </c>
      <c r="Z35" s="437" t="str">
        <f t="shared" si="15"/>
        <v>--</v>
      </c>
      <c r="AA35" s="438" t="str">
        <f t="shared" si="16"/>
        <v>--</v>
      </c>
      <c r="AB35" s="1086" t="s">
        <v>289</v>
      </c>
      <c r="AC35" s="16">
        <f t="shared" si="17"/>
        <v>2741.9886</v>
      </c>
      <c r="AD35" s="1087"/>
    </row>
    <row r="36" spans="2:30" s="5" customFormat="1" ht="16.5" customHeight="1">
      <c r="B36" s="50"/>
      <c r="C36" s="486"/>
      <c r="D36" s="345"/>
      <c r="E36" s="347"/>
      <c r="F36" s="1141"/>
      <c r="G36" s="347"/>
      <c r="H36" s="1077">
        <f t="shared" si="0"/>
        <v>20</v>
      </c>
      <c r="I36" s="1078">
        <f t="shared" si="1"/>
        <v>97.649</v>
      </c>
      <c r="J36" s="388"/>
      <c r="K36" s="389"/>
      <c r="L36" s="390">
        <f t="shared" si="2"/>
      </c>
      <c r="M36" s="391">
        <f t="shared" si="3"/>
      </c>
      <c r="N36" s="431"/>
      <c r="O36" s="392">
        <f t="shared" si="4"/>
      </c>
      <c r="P36" s="352">
        <f t="shared" si="5"/>
      </c>
      <c r="Q36" s="352">
        <f t="shared" si="6"/>
      </c>
      <c r="R36" s="1081" t="str">
        <f t="shared" si="7"/>
        <v>--</v>
      </c>
      <c r="S36" s="1082" t="str">
        <f t="shared" si="8"/>
        <v>--</v>
      </c>
      <c r="T36" s="434" t="str">
        <f t="shared" si="9"/>
        <v>--</v>
      </c>
      <c r="U36" s="435" t="str">
        <f t="shared" si="10"/>
        <v>--</v>
      </c>
      <c r="V36" s="436" t="str">
        <f t="shared" si="11"/>
        <v>--</v>
      </c>
      <c r="W36" s="1083" t="str">
        <f t="shared" si="12"/>
        <v>--</v>
      </c>
      <c r="X36" s="1084" t="str">
        <f t="shared" si="13"/>
        <v>--</v>
      </c>
      <c r="Y36" s="1085" t="str">
        <f t="shared" si="14"/>
        <v>--</v>
      </c>
      <c r="Z36" s="437" t="str">
        <f t="shared" si="15"/>
        <v>--</v>
      </c>
      <c r="AA36" s="438" t="str">
        <f t="shared" si="16"/>
        <v>--</v>
      </c>
      <c r="AB36" s="1086">
        <f>IF(D36="","","SI")</f>
      </c>
      <c r="AC36" s="16">
        <f t="shared" si="17"/>
      </c>
      <c r="AD36" s="1087"/>
    </row>
    <row r="37" spans="2:30" s="5" customFormat="1" ht="16.5" customHeight="1">
      <c r="B37" s="50"/>
      <c r="C37" s="354"/>
      <c r="D37" s="345"/>
      <c r="E37" s="347"/>
      <c r="F37" s="1141"/>
      <c r="G37" s="347"/>
      <c r="H37" s="1077">
        <f t="shared" si="0"/>
        <v>20</v>
      </c>
      <c r="I37" s="1078">
        <f t="shared" si="1"/>
        <v>97.649</v>
      </c>
      <c r="J37" s="388"/>
      <c r="K37" s="389"/>
      <c r="L37" s="390">
        <f t="shared" si="2"/>
      </c>
      <c r="M37" s="391">
        <f t="shared" si="3"/>
      </c>
      <c r="N37" s="431"/>
      <c r="O37" s="392">
        <f t="shared" si="4"/>
      </c>
      <c r="P37" s="352">
        <f t="shared" si="5"/>
      </c>
      <c r="Q37" s="352">
        <f t="shared" si="6"/>
      </c>
      <c r="R37" s="1081" t="str">
        <f t="shared" si="7"/>
        <v>--</v>
      </c>
      <c r="S37" s="1082" t="str">
        <f t="shared" si="8"/>
        <v>--</v>
      </c>
      <c r="T37" s="434" t="str">
        <f t="shared" si="9"/>
        <v>--</v>
      </c>
      <c r="U37" s="435" t="str">
        <f t="shared" si="10"/>
        <v>--</v>
      </c>
      <c r="V37" s="436" t="str">
        <f t="shared" si="11"/>
        <v>--</v>
      </c>
      <c r="W37" s="1083" t="str">
        <f t="shared" si="12"/>
        <v>--</v>
      </c>
      <c r="X37" s="1084" t="str">
        <f t="shared" si="13"/>
        <v>--</v>
      </c>
      <c r="Y37" s="1085" t="str">
        <f t="shared" si="14"/>
        <v>--</v>
      </c>
      <c r="Z37" s="437" t="str">
        <f t="shared" si="15"/>
        <v>--</v>
      </c>
      <c r="AA37" s="438" t="str">
        <f t="shared" si="16"/>
        <v>--</v>
      </c>
      <c r="AB37" s="1086">
        <f>IF(D37="","","SI")</f>
      </c>
      <c r="AC37" s="16">
        <f t="shared" si="17"/>
      </c>
      <c r="AD37" s="1087"/>
    </row>
    <row r="38" spans="2:30" s="5" customFormat="1" ht="16.5" customHeight="1">
      <c r="B38" s="50"/>
      <c r="C38" s="486"/>
      <c r="D38" s="345"/>
      <c r="E38" s="347"/>
      <c r="F38" s="1141"/>
      <c r="G38" s="347"/>
      <c r="H38" s="1077">
        <f t="shared" si="0"/>
        <v>20</v>
      </c>
      <c r="I38" s="1078">
        <f t="shared" si="1"/>
        <v>97.649</v>
      </c>
      <c r="J38" s="388"/>
      <c r="K38" s="389"/>
      <c r="L38" s="390">
        <f t="shared" si="2"/>
      </c>
      <c r="M38" s="391">
        <f t="shared" si="3"/>
      </c>
      <c r="N38" s="431"/>
      <c r="O38" s="392">
        <f t="shared" si="4"/>
      </c>
      <c r="P38" s="352">
        <f t="shared" si="5"/>
      </c>
      <c r="Q38" s="352">
        <f t="shared" si="6"/>
      </c>
      <c r="R38" s="1081" t="str">
        <f t="shared" si="7"/>
        <v>--</v>
      </c>
      <c r="S38" s="1082" t="str">
        <f t="shared" si="8"/>
        <v>--</v>
      </c>
      <c r="T38" s="434" t="str">
        <f t="shared" si="9"/>
        <v>--</v>
      </c>
      <c r="U38" s="435" t="str">
        <f t="shared" si="10"/>
        <v>--</v>
      </c>
      <c r="V38" s="436" t="str">
        <f t="shared" si="11"/>
        <v>--</v>
      </c>
      <c r="W38" s="1083" t="str">
        <f t="shared" si="12"/>
        <v>--</v>
      </c>
      <c r="X38" s="1084" t="str">
        <f t="shared" si="13"/>
        <v>--</v>
      </c>
      <c r="Y38" s="1085" t="str">
        <f t="shared" si="14"/>
        <v>--</v>
      </c>
      <c r="Z38" s="437" t="str">
        <f t="shared" si="15"/>
        <v>--</v>
      </c>
      <c r="AA38" s="438" t="str">
        <f t="shared" si="16"/>
        <v>--</v>
      </c>
      <c r="AB38" s="1086">
        <f>IF(D38="","","SI")</f>
      </c>
      <c r="AC38" s="16">
        <f t="shared" si="17"/>
      </c>
      <c r="AD38" s="1087"/>
    </row>
    <row r="39" spans="2:30" s="5" customFormat="1" ht="16.5" customHeight="1" thickBot="1">
      <c r="B39" s="50"/>
      <c r="C39" s="354"/>
      <c r="D39" s="349"/>
      <c r="E39" s="440"/>
      <c r="F39" s="1135"/>
      <c r="G39" s="441"/>
      <c r="H39" s="1092"/>
      <c r="I39" s="1093"/>
      <c r="J39" s="1130"/>
      <c r="K39" s="1130"/>
      <c r="L39" s="9"/>
      <c r="M39" s="9"/>
      <c r="N39" s="351"/>
      <c r="O39" s="394"/>
      <c r="P39" s="351"/>
      <c r="Q39" s="351"/>
      <c r="R39" s="1094"/>
      <c r="S39" s="1095"/>
      <c r="T39" s="442"/>
      <c r="U39" s="443"/>
      <c r="V39" s="444"/>
      <c r="W39" s="1096"/>
      <c r="X39" s="1097"/>
      <c r="Y39" s="1098"/>
      <c r="Z39" s="445"/>
      <c r="AA39" s="446"/>
      <c r="AB39" s="1099"/>
      <c r="AC39" s="447"/>
      <c r="AD39" s="1087"/>
    </row>
    <row r="40" spans="2:30" s="5" customFormat="1" ht="16.5" customHeight="1" thickBot="1" thickTop="1">
      <c r="B40" s="50"/>
      <c r="C40" s="128" t="s">
        <v>26</v>
      </c>
      <c r="D40" s="129" t="s">
        <v>406</v>
      </c>
      <c r="E40" s="448"/>
      <c r="F40" s="414"/>
      <c r="G40" s="449"/>
      <c r="H40" s="414"/>
      <c r="I40" s="395"/>
      <c r="J40" s="395"/>
      <c r="K40" s="395"/>
      <c r="L40" s="395"/>
      <c r="M40" s="395"/>
      <c r="N40" s="395"/>
      <c r="O40" s="450"/>
      <c r="P40" s="395"/>
      <c r="Q40" s="395"/>
      <c r="R40" s="1100">
        <f aca="true" t="shared" si="18" ref="R40:AA40">SUM(R20:R39)</f>
        <v>47788.874868419996</v>
      </c>
      <c r="S40" s="1101">
        <f t="shared" si="18"/>
        <v>0</v>
      </c>
      <c r="T40" s="1102">
        <f t="shared" si="18"/>
        <v>14475.501999999999</v>
      </c>
      <c r="U40" s="1102">
        <f t="shared" si="18"/>
        <v>15224.732452000002</v>
      </c>
      <c r="V40" s="1102">
        <f t="shared" si="18"/>
        <v>2616.0167100000003</v>
      </c>
      <c r="W40" s="1103">
        <f t="shared" si="18"/>
        <v>0</v>
      </c>
      <c r="X40" s="1103">
        <f t="shared" si="18"/>
        <v>0</v>
      </c>
      <c r="Y40" s="1103">
        <f t="shared" si="18"/>
        <v>0</v>
      </c>
      <c r="Z40" s="451">
        <f t="shared" si="18"/>
        <v>0</v>
      </c>
      <c r="AA40" s="452">
        <f t="shared" si="18"/>
        <v>0</v>
      </c>
      <c r="AB40" s="453"/>
      <c r="AC40" s="454">
        <f>ROUND(SUM(AC20:AC39),2)</f>
        <v>79502.59</v>
      </c>
      <c r="AD40" s="1087"/>
    </row>
    <row r="41" spans="2:30" s="5" customFormat="1" ht="16.5" customHeight="1" thickBot="1" thickTop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</row>
    <row r="42" spans="2:30" ht="16.5" customHeight="1" thickTop="1">
      <c r="B42" s="1"/>
      <c r="AD42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C156"/>
  <sheetViews>
    <sheetView zoomScale="75" zoomScaleNormal="75" workbookViewId="0" topLeftCell="C1">
      <selection activeCell="I32" sqref="I3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455" t="str">
        <f>+'TOT-1008'!B2</f>
        <v>ANEXO V al Memorándum D.T.E.E. N°  366 / 2010        </v>
      </c>
      <c r="C2" s="455"/>
      <c r="D2" s="455"/>
      <c r="E2" s="19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456" t="s">
        <v>107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456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457" t="s">
        <v>96</v>
      </c>
      <c r="E8" s="106"/>
      <c r="F8" s="106"/>
      <c r="G8" s="45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459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172" customFormat="1" ht="30" customHeight="1">
      <c r="A10" s="1166"/>
      <c r="B10" s="1167"/>
      <c r="C10" s="1166"/>
      <c r="D10" s="1168" t="s">
        <v>306</v>
      </c>
      <c r="E10" s="1166"/>
      <c r="F10" s="1169"/>
      <c r="G10" s="1170"/>
      <c r="H10" s="1166"/>
      <c r="I10" s="1166"/>
      <c r="J10" s="1166"/>
      <c r="K10" s="1166"/>
      <c r="L10" s="1166"/>
      <c r="M10" s="1166"/>
      <c r="N10" s="1166"/>
      <c r="O10" s="1166"/>
      <c r="P10" s="1166"/>
      <c r="Q10" s="1166"/>
      <c r="R10" s="1170"/>
      <c r="S10" s="1170"/>
      <c r="T10" s="1170"/>
      <c r="U10" s="1170"/>
      <c r="V10" s="1170"/>
      <c r="W10" s="1170"/>
      <c r="X10" s="1170"/>
      <c r="Y10" s="1170"/>
      <c r="Z10" s="1170"/>
      <c r="AA10" s="1170"/>
      <c r="AB10" s="1171"/>
    </row>
    <row r="11" spans="1:28" s="1177" customFormat="1" ht="9.75" customHeight="1">
      <c r="A11" s="1173"/>
      <c r="B11" s="1174"/>
      <c r="C11" s="1173"/>
      <c r="E11" s="1175"/>
      <c r="F11" s="1175"/>
      <c r="G11" s="1175"/>
      <c r="H11" s="1173"/>
      <c r="I11" s="1173"/>
      <c r="J11" s="1173"/>
      <c r="K11" s="1173"/>
      <c r="L11" s="1173"/>
      <c r="M11" s="1173"/>
      <c r="N11" s="1173"/>
      <c r="O11" s="1173"/>
      <c r="P11" s="1173"/>
      <c r="Q11" s="1173"/>
      <c r="R11" s="1175"/>
      <c r="S11" s="1175"/>
      <c r="T11" s="1175"/>
      <c r="U11" s="1175"/>
      <c r="V11" s="1175"/>
      <c r="W11" s="1175"/>
      <c r="X11" s="1175"/>
      <c r="Y11" s="1175"/>
      <c r="Z11" s="1175"/>
      <c r="AA11" s="1175"/>
      <c r="AB11" s="1176"/>
    </row>
    <row r="12" spans="1:28" s="1177" customFormat="1" ht="21" customHeight="1">
      <c r="A12" s="1166"/>
      <c r="B12" s="1167"/>
      <c r="C12" s="1166"/>
      <c r="D12" s="1178" t="s">
        <v>307</v>
      </c>
      <c r="E12" s="1166"/>
      <c r="F12" s="1166"/>
      <c r="G12" s="1166"/>
      <c r="H12" s="1179"/>
      <c r="I12" s="1179"/>
      <c r="J12" s="1179"/>
      <c r="K12" s="1179"/>
      <c r="L12" s="1179"/>
      <c r="M12" s="1173"/>
      <c r="N12" s="1173"/>
      <c r="O12" s="1173"/>
      <c r="P12" s="1173"/>
      <c r="Q12" s="1173"/>
      <c r="R12" s="1175"/>
      <c r="S12" s="1175"/>
      <c r="T12" s="1175"/>
      <c r="U12" s="1175"/>
      <c r="V12" s="1175"/>
      <c r="W12" s="1175"/>
      <c r="X12" s="1175"/>
      <c r="Y12" s="1175"/>
      <c r="Z12" s="1175"/>
      <c r="AA12" s="1175"/>
      <c r="AB12" s="1176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'TOT-1008'!B14</f>
        <v>Desde el 01 al 31 de octubre de 2008</v>
      </c>
      <c r="C14" s="460"/>
      <c r="D14" s="113"/>
      <c r="E14" s="113"/>
      <c r="F14" s="113"/>
      <c r="G14" s="113"/>
      <c r="H14" s="113"/>
      <c r="I14" s="113"/>
      <c r="J14" s="113"/>
      <c r="K14" s="113"/>
      <c r="L14" s="113"/>
      <c r="M14" s="460"/>
      <c r="N14" s="460"/>
      <c r="O14" s="460"/>
      <c r="P14" s="460"/>
      <c r="Q14" s="460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461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462" t="s">
        <v>108</v>
      </c>
      <c r="E16" s="463"/>
      <c r="F16" s="464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27</v>
      </c>
      <c r="E17" s="112"/>
      <c r="F17" s="1146">
        <v>200</v>
      </c>
      <c r="G17"/>
      <c r="H17" s="15"/>
      <c r="I17" s="411"/>
      <c r="J17" s="412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28</v>
      </c>
      <c r="E19" s="119" t="s">
        <v>29</v>
      </c>
      <c r="F19" s="121" t="s">
        <v>30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31</v>
      </c>
      <c r="L19" s="120" t="s">
        <v>32</v>
      </c>
      <c r="M19" s="88" t="s">
        <v>19</v>
      </c>
      <c r="N19" s="88" t="s">
        <v>65</v>
      </c>
      <c r="O19" s="123" t="s">
        <v>33</v>
      </c>
      <c r="P19" s="119" t="s">
        <v>34</v>
      </c>
      <c r="Q19" s="465" t="s">
        <v>38</v>
      </c>
      <c r="R19" s="466" t="s">
        <v>20</v>
      </c>
      <c r="S19" s="467" t="s">
        <v>21</v>
      </c>
      <c r="T19" s="419" t="s">
        <v>109</v>
      </c>
      <c r="U19" s="421"/>
      <c r="V19" s="468" t="s">
        <v>110</v>
      </c>
      <c r="W19" s="469"/>
      <c r="X19" s="470" t="s">
        <v>22</v>
      </c>
      <c r="Y19" s="471" t="s">
        <v>105</v>
      </c>
      <c r="Z19" s="133" t="s">
        <v>106</v>
      </c>
      <c r="AA19" s="122" t="s">
        <v>25</v>
      </c>
      <c r="AB19" s="17"/>
    </row>
    <row r="20" spans="1:28" s="5" customFormat="1" ht="16.5" customHeight="1" thickTop="1">
      <c r="A20" s="90"/>
      <c r="B20" s="95"/>
      <c r="C20" s="472"/>
      <c r="D20" s="472"/>
      <c r="E20" s="472"/>
      <c r="F20" s="472"/>
      <c r="G20" s="473"/>
      <c r="H20" s="474"/>
      <c r="I20" s="472"/>
      <c r="J20" s="472"/>
      <c r="K20" s="472"/>
      <c r="L20" s="472"/>
      <c r="M20" s="472"/>
      <c r="N20" s="382"/>
      <c r="O20" s="475"/>
      <c r="P20" s="472"/>
      <c r="Q20" s="476"/>
      <c r="R20" s="477"/>
      <c r="S20" s="478"/>
      <c r="T20" s="479"/>
      <c r="U20" s="480"/>
      <c r="V20" s="481"/>
      <c r="W20" s="482"/>
      <c r="X20" s="483"/>
      <c r="Y20" s="484"/>
      <c r="Z20" s="475"/>
      <c r="AA20" s="485"/>
      <c r="AB20" s="17"/>
    </row>
    <row r="21" spans="1:28" s="5" customFormat="1" ht="16.5" customHeight="1">
      <c r="A21" s="90"/>
      <c r="B21" s="95"/>
      <c r="C21" s="486"/>
      <c r="D21" s="486"/>
      <c r="E21" s="486"/>
      <c r="F21" s="486"/>
      <c r="G21" s="487"/>
      <c r="H21" s="488"/>
      <c r="I21" s="486"/>
      <c r="J21" s="486"/>
      <c r="K21" s="486"/>
      <c r="L21" s="486"/>
      <c r="M21" s="486"/>
      <c r="N21" s="385"/>
      <c r="O21" s="489"/>
      <c r="P21" s="486"/>
      <c r="Q21" s="490"/>
      <c r="R21" s="491"/>
      <c r="S21" s="492"/>
      <c r="T21" s="493"/>
      <c r="U21" s="494"/>
      <c r="V21" s="495"/>
      <c r="W21" s="496"/>
      <c r="X21" s="497"/>
      <c r="Y21" s="498"/>
      <c r="Z21" s="489"/>
      <c r="AA21" s="499"/>
      <c r="AB21" s="17"/>
    </row>
    <row r="22" spans="1:28" s="5" customFormat="1" ht="16.5" customHeight="1">
      <c r="A22" s="90"/>
      <c r="B22" s="95"/>
      <c r="C22" s="354"/>
      <c r="D22" s="348"/>
      <c r="E22" s="500"/>
      <c r="F22" s="501"/>
      <c r="G22" s="502"/>
      <c r="H22" s="503"/>
      <c r="I22" s="355"/>
      <c r="J22" s="355"/>
      <c r="K22" s="504"/>
      <c r="L22" s="14"/>
      <c r="M22" s="356"/>
      <c r="N22" s="432"/>
      <c r="O22" s="353"/>
      <c r="P22" s="352"/>
      <c r="Q22" s="505"/>
      <c r="R22" s="506"/>
      <c r="S22" s="507"/>
      <c r="T22" s="508"/>
      <c r="U22" s="509"/>
      <c r="V22" s="510"/>
      <c r="W22" s="511"/>
      <c r="X22" s="512"/>
      <c r="Y22" s="513"/>
      <c r="Z22" s="514"/>
      <c r="AA22" s="16"/>
      <c r="AB22" s="17"/>
    </row>
    <row r="23" spans="1:28" s="5" customFormat="1" ht="16.5" customHeight="1">
      <c r="A23" s="90"/>
      <c r="B23" s="95"/>
      <c r="C23" s="486">
        <v>19</v>
      </c>
      <c r="D23" s="348" t="s">
        <v>340</v>
      </c>
      <c r="E23" s="500" t="s">
        <v>341</v>
      </c>
      <c r="F23" s="501">
        <v>150</v>
      </c>
      <c r="G23" s="502" t="s">
        <v>408</v>
      </c>
      <c r="H23" s="503">
        <f aca="true" t="shared" si="0" ref="H23:H41">F23*$F$16</f>
        <v>47.85</v>
      </c>
      <c r="I23" s="355">
        <v>39723.356944444444</v>
      </c>
      <c r="J23" s="355">
        <v>39725.729166666664</v>
      </c>
      <c r="K23" s="504">
        <f aca="true" t="shared" si="1" ref="K23:K41">IF(D23="","",(J23-I23)*24)</f>
        <v>56.93333333329065</v>
      </c>
      <c r="L23" s="14">
        <f aca="true" t="shared" si="2" ref="L23:L41">IF(D23="","",ROUND((J23-I23)*24*60,0))</f>
        <v>3416</v>
      </c>
      <c r="M23" s="356" t="s">
        <v>292</v>
      </c>
      <c r="N23" s="432" t="str">
        <f aca="true" t="shared" si="3" ref="N23:N41">IF(D23="","","--")</f>
        <v>--</v>
      </c>
      <c r="O23" s="353" t="str">
        <f aca="true" t="shared" si="4" ref="O23:O41">IF(D23="","",IF(OR(M23="P",M23="RP"),"--","NO"))</f>
        <v>--</v>
      </c>
      <c r="P23" s="352" t="str">
        <f aca="true" t="shared" si="5" ref="P23:P41">IF(D23="","","NO")</f>
        <v>NO</v>
      </c>
      <c r="Q23" s="505">
        <f aca="true" t="shared" si="6" ref="Q23:Q41">$F$17*IF(OR(M23="P",M23="RP"),0.1,1)*IF(P23="SI",1,0.1)</f>
        <v>2</v>
      </c>
      <c r="R23" s="506">
        <f aca="true" t="shared" si="7" ref="R23:R41">IF(M23="P",H23*Q23*ROUND(L23/60,2),"--")</f>
        <v>5448.201</v>
      </c>
      <c r="S23" s="507" t="str">
        <f aca="true" t="shared" si="8" ref="S23:S41">IF(M23="RP",H23*Q23*N23/100*ROUND(L23/60,2),"--")</f>
        <v>--</v>
      </c>
      <c r="T23" s="508" t="str">
        <f aca="true" t="shared" si="9" ref="T23:T41">IF(AND(M23="F",O23="NO"),H23*Q23,"--")</f>
        <v>--</v>
      </c>
      <c r="U23" s="509" t="str">
        <f aca="true" t="shared" si="10" ref="U23:U41">IF(M23="F",H23*Q23*ROUND(L23/60,2),"--")</f>
        <v>--</v>
      </c>
      <c r="V23" s="510" t="str">
        <f aca="true" t="shared" si="11" ref="V23:V41">IF(AND(M23="R",O23="NO"),H23*Q23*N23/100,"--")</f>
        <v>--</v>
      </c>
      <c r="W23" s="511" t="str">
        <f aca="true" t="shared" si="12" ref="W23:W41">IF(M23="R",H23*Q23*N23/100*ROUND(L23/60,2),"--")</f>
        <v>--</v>
      </c>
      <c r="X23" s="512" t="str">
        <f aca="true" t="shared" si="13" ref="X23:X41">IF(M23="RF",H23*Q23*ROUND(L23/60,2),"--")</f>
        <v>--</v>
      </c>
      <c r="Y23" s="513" t="str">
        <f aca="true" t="shared" si="14" ref="Y23:Y41">IF(M23="RR",H23*Q23*N23/100*ROUND(L23/60,2),"--")</f>
        <v>--</v>
      </c>
      <c r="Z23" s="514" t="s">
        <v>289</v>
      </c>
      <c r="AA23" s="16">
        <f aca="true" t="shared" si="15" ref="AA23:AA41">IF(D23="","",(SUM(R23:Y23)*IF(Z23="SI",1,2)*IF(AND(N23&lt;&gt;"--",M23="RF"),N23/100,1)))</f>
        <v>5448.201</v>
      </c>
      <c r="AB23" s="17"/>
    </row>
    <row r="24" spans="1:28" s="5" customFormat="1" ht="16.5" customHeight="1">
      <c r="A24" s="90"/>
      <c r="B24" s="95"/>
      <c r="C24" s="354">
        <v>20</v>
      </c>
      <c r="D24" s="348" t="s">
        <v>342</v>
      </c>
      <c r="E24" s="500" t="s">
        <v>343</v>
      </c>
      <c r="F24" s="501">
        <v>800</v>
      </c>
      <c r="G24" s="502" t="s">
        <v>344</v>
      </c>
      <c r="H24" s="503">
        <f t="shared" si="0"/>
        <v>255.20000000000002</v>
      </c>
      <c r="I24" s="355">
        <v>39725.256944444445</v>
      </c>
      <c r="J24" s="355">
        <v>39725.69583333333</v>
      </c>
      <c r="K24" s="504">
        <f t="shared" si="1"/>
        <v>10.533333333267365</v>
      </c>
      <c r="L24" s="14">
        <f t="shared" si="2"/>
        <v>632</v>
      </c>
      <c r="M24" s="356" t="s">
        <v>292</v>
      </c>
      <c r="N24" s="432" t="str">
        <f t="shared" si="3"/>
        <v>--</v>
      </c>
      <c r="O24" s="353" t="str">
        <f t="shared" si="4"/>
        <v>--</v>
      </c>
      <c r="P24" s="352" t="str">
        <f t="shared" si="5"/>
        <v>NO</v>
      </c>
      <c r="Q24" s="505">
        <f t="shared" si="6"/>
        <v>2</v>
      </c>
      <c r="R24" s="506">
        <f t="shared" si="7"/>
        <v>5374.512</v>
      </c>
      <c r="S24" s="507" t="str">
        <f t="shared" si="8"/>
        <v>--</v>
      </c>
      <c r="T24" s="508" t="str">
        <f t="shared" si="9"/>
        <v>--</v>
      </c>
      <c r="U24" s="509" t="str">
        <f t="shared" si="10"/>
        <v>--</v>
      </c>
      <c r="V24" s="510" t="str">
        <f t="shared" si="11"/>
        <v>--</v>
      </c>
      <c r="W24" s="511" t="str">
        <f t="shared" si="12"/>
        <v>--</v>
      </c>
      <c r="X24" s="512" t="str">
        <f t="shared" si="13"/>
        <v>--</v>
      </c>
      <c r="Y24" s="513" t="str">
        <f t="shared" si="14"/>
        <v>--</v>
      </c>
      <c r="Z24" s="514" t="str">
        <f>IF(D24="","","SI")</f>
        <v>SI</v>
      </c>
      <c r="AA24" s="16">
        <f t="shared" si="15"/>
        <v>5374.512</v>
      </c>
      <c r="AB24" s="17"/>
    </row>
    <row r="25" spans="1:28" s="5" customFormat="1" ht="16.5" customHeight="1">
      <c r="A25" s="90"/>
      <c r="B25" s="95"/>
      <c r="C25" s="486">
        <v>21</v>
      </c>
      <c r="D25" s="348" t="s">
        <v>345</v>
      </c>
      <c r="E25" s="500" t="s">
        <v>341</v>
      </c>
      <c r="F25" s="501">
        <v>300</v>
      </c>
      <c r="G25" s="502" t="s">
        <v>179</v>
      </c>
      <c r="H25" s="503">
        <f t="shared" si="0"/>
        <v>95.7</v>
      </c>
      <c r="I25" s="355">
        <v>39727.31319444445</v>
      </c>
      <c r="J25" s="355">
        <v>39727.686111111114</v>
      </c>
      <c r="K25" s="504">
        <f t="shared" si="1"/>
        <v>8.950000000011642</v>
      </c>
      <c r="L25" s="14">
        <f t="shared" si="2"/>
        <v>537</v>
      </c>
      <c r="M25" s="356" t="s">
        <v>292</v>
      </c>
      <c r="N25" s="432" t="str">
        <f t="shared" si="3"/>
        <v>--</v>
      </c>
      <c r="O25" s="353" t="str">
        <f t="shared" si="4"/>
        <v>--</v>
      </c>
      <c r="P25" s="352" t="str">
        <f t="shared" si="5"/>
        <v>NO</v>
      </c>
      <c r="Q25" s="505">
        <f t="shared" si="6"/>
        <v>2</v>
      </c>
      <c r="R25" s="506">
        <f t="shared" si="7"/>
        <v>1713.03</v>
      </c>
      <c r="S25" s="507" t="str">
        <f t="shared" si="8"/>
        <v>--</v>
      </c>
      <c r="T25" s="508" t="str">
        <f t="shared" si="9"/>
        <v>--</v>
      </c>
      <c r="U25" s="509" t="str">
        <f t="shared" si="10"/>
        <v>--</v>
      </c>
      <c r="V25" s="510" t="str">
        <f t="shared" si="11"/>
        <v>--</v>
      </c>
      <c r="W25" s="511" t="str">
        <f t="shared" si="12"/>
        <v>--</v>
      </c>
      <c r="X25" s="512" t="str">
        <f t="shared" si="13"/>
        <v>--</v>
      </c>
      <c r="Y25" s="513" t="str">
        <f t="shared" si="14"/>
        <v>--</v>
      </c>
      <c r="Z25" s="514" t="s">
        <v>289</v>
      </c>
      <c r="AA25" s="16">
        <f t="shared" si="15"/>
        <v>1713.03</v>
      </c>
      <c r="AB25" s="17"/>
    </row>
    <row r="26" spans="1:28" s="5" customFormat="1" ht="16.5" customHeight="1">
      <c r="A26" s="90"/>
      <c r="B26" s="95"/>
      <c r="C26" s="354">
        <v>22</v>
      </c>
      <c r="D26" s="348" t="s">
        <v>345</v>
      </c>
      <c r="E26" s="500" t="s">
        <v>341</v>
      </c>
      <c r="F26" s="501">
        <v>300</v>
      </c>
      <c r="G26" s="502" t="s">
        <v>179</v>
      </c>
      <c r="H26" s="503">
        <f t="shared" si="0"/>
        <v>95.7</v>
      </c>
      <c r="I26" s="355">
        <v>39728.32083333333</v>
      </c>
      <c r="J26" s="355">
        <v>39728.66180555556</v>
      </c>
      <c r="K26" s="504">
        <f t="shared" si="1"/>
        <v>8.18333333346527</v>
      </c>
      <c r="L26" s="14">
        <f t="shared" si="2"/>
        <v>491</v>
      </c>
      <c r="M26" s="356" t="s">
        <v>292</v>
      </c>
      <c r="N26" s="432" t="str">
        <f t="shared" si="3"/>
        <v>--</v>
      </c>
      <c r="O26" s="353" t="str">
        <f t="shared" si="4"/>
        <v>--</v>
      </c>
      <c r="P26" s="352" t="str">
        <f t="shared" si="5"/>
        <v>NO</v>
      </c>
      <c r="Q26" s="505">
        <f t="shared" si="6"/>
        <v>2</v>
      </c>
      <c r="R26" s="506">
        <f t="shared" si="7"/>
        <v>1565.652</v>
      </c>
      <c r="S26" s="507" t="str">
        <f t="shared" si="8"/>
        <v>--</v>
      </c>
      <c r="T26" s="508" t="str">
        <f t="shared" si="9"/>
        <v>--</v>
      </c>
      <c r="U26" s="509" t="str">
        <f t="shared" si="10"/>
        <v>--</v>
      </c>
      <c r="V26" s="510" t="str">
        <f t="shared" si="11"/>
        <v>--</v>
      </c>
      <c r="W26" s="511" t="str">
        <f t="shared" si="12"/>
        <v>--</v>
      </c>
      <c r="X26" s="512" t="str">
        <f t="shared" si="13"/>
        <v>--</v>
      </c>
      <c r="Y26" s="513" t="str">
        <f t="shared" si="14"/>
        <v>--</v>
      </c>
      <c r="Z26" s="514" t="s">
        <v>289</v>
      </c>
      <c r="AA26" s="16">
        <f t="shared" si="15"/>
        <v>1565.652</v>
      </c>
      <c r="AB26" s="17"/>
    </row>
    <row r="27" spans="1:28" s="5" customFormat="1" ht="16.5" customHeight="1">
      <c r="A27" s="90"/>
      <c r="B27" s="95"/>
      <c r="C27" s="486">
        <v>23</v>
      </c>
      <c r="D27" s="348" t="s">
        <v>345</v>
      </c>
      <c r="E27" s="500" t="s">
        <v>341</v>
      </c>
      <c r="F27" s="501">
        <v>300</v>
      </c>
      <c r="G27" s="502" t="s">
        <v>179</v>
      </c>
      <c r="H27" s="503">
        <f t="shared" si="0"/>
        <v>95.7</v>
      </c>
      <c r="I27" s="355">
        <v>39729.31458333333</v>
      </c>
      <c r="J27" s="355">
        <v>39729.67361111111</v>
      </c>
      <c r="K27" s="504">
        <f t="shared" si="1"/>
        <v>8.616666666639503</v>
      </c>
      <c r="L27" s="14">
        <f t="shared" si="2"/>
        <v>517</v>
      </c>
      <c r="M27" s="356" t="s">
        <v>292</v>
      </c>
      <c r="N27" s="432" t="str">
        <f t="shared" si="3"/>
        <v>--</v>
      </c>
      <c r="O27" s="353" t="str">
        <f t="shared" si="4"/>
        <v>--</v>
      </c>
      <c r="P27" s="352" t="str">
        <f t="shared" si="5"/>
        <v>NO</v>
      </c>
      <c r="Q27" s="505">
        <f t="shared" si="6"/>
        <v>2</v>
      </c>
      <c r="R27" s="506">
        <f t="shared" si="7"/>
        <v>1649.868</v>
      </c>
      <c r="S27" s="507" t="str">
        <f t="shared" si="8"/>
        <v>--</v>
      </c>
      <c r="T27" s="508" t="str">
        <f t="shared" si="9"/>
        <v>--</v>
      </c>
      <c r="U27" s="509" t="str">
        <f t="shared" si="10"/>
        <v>--</v>
      </c>
      <c r="V27" s="510" t="str">
        <f t="shared" si="11"/>
        <v>--</v>
      </c>
      <c r="W27" s="511" t="str">
        <f t="shared" si="12"/>
        <v>--</v>
      </c>
      <c r="X27" s="512" t="str">
        <f t="shared" si="13"/>
        <v>--</v>
      </c>
      <c r="Y27" s="513" t="str">
        <f t="shared" si="14"/>
        <v>--</v>
      </c>
      <c r="Z27" s="514" t="s">
        <v>289</v>
      </c>
      <c r="AA27" s="16">
        <f t="shared" si="15"/>
        <v>1649.868</v>
      </c>
      <c r="AB27" s="17"/>
    </row>
    <row r="28" spans="1:29" s="5" customFormat="1" ht="16.5" customHeight="1">
      <c r="A28" s="90"/>
      <c r="B28" s="95"/>
      <c r="C28" s="354">
        <v>24</v>
      </c>
      <c r="D28" s="348" t="s">
        <v>345</v>
      </c>
      <c r="E28" s="500" t="s">
        <v>341</v>
      </c>
      <c r="F28" s="501">
        <v>300</v>
      </c>
      <c r="G28" s="502" t="s">
        <v>179</v>
      </c>
      <c r="H28" s="503">
        <f t="shared" si="0"/>
        <v>95.7</v>
      </c>
      <c r="I28" s="355">
        <v>39730.316666666666</v>
      </c>
      <c r="J28" s="355">
        <v>39730.665972222225</v>
      </c>
      <c r="K28" s="504">
        <f t="shared" si="1"/>
        <v>8.383333333418705</v>
      </c>
      <c r="L28" s="14">
        <f t="shared" si="2"/>
        <v>503</v>
      </c>
      <c r="M28" s="356" t="s">
        <v>292</v>
      </c>
      <c r="N28" s="432" t="str">
        <f t="shared" si="3"/>
        <v>--</v>
      </c>
      <c r="O28" s="353" t="str">
        <f t="shared" si="4"/>
        <v>--</v>
      </c>
      <c r="P28" s="352" t="str">
        <f t="shared" si="5"/>
        <v>NO</v>
      </c>
      <c r="Q28" s="505">
        <f t="shared" si="6"/>
        <v>2</v>
      </c>
      <c r="R28" s="506">
        <f t="shared" si="7"/>
        <v>1603.9320000000002</v>
      </c>
      <c r="S28" s="507" t="str">
        <f t="shared" si="8"/>
        <v>--</v>
      </c>
      <c r="T28" s="508" t="str">
        <f t="shared" si="9"/>
        <v>--</v>
      </c>
      <c r="U28" s="509" t="str">
        <f t="shared" si="10"/>
        <v>--</v>
      </c>
      <c r="V28" s="510" t="str">
        <f t="shared" si="11"/>
        <v>--</v>
      </c>
      <c r="W28" s="511" t="str">
        <f t="shared" si="12"/>
        <v>--</v>
      </c>
      <c r="X28" s="512" t="str">
        <f t="shared" si="13"/>
        <v>--</v>
      </c>
      <c r="Y28" s="513" t="str">
        <f t="shared" si="14"/>
        <v>--</v>
      </c>
      <c r="Z28" s="514" t="s">
        <v>289</v>
      </c>
      <c r="AA28" s="16">
        <f t="shared" si="15"/>
        <v>1603.9320000000002</v>
      </c>
      <c r="AB28" s="17"/>
      <c r="AC28" s="15"/>
    </row>
    <row r="29" spans="1:28" s="5" customFormat="1" ht="16.5" customHeight="1">
      <c r="A29" s="90"/>
      <c r="B29" s="95"/>
      <c r="C29" s="486">
        <v>25</v>
      </c>
      <c r="D29" s="348" t="s">
        <v>345</v>
      </c>
      <c r="E29" s="500" t="s">
        <v>341</v>
      </c>
      <c r="F29" s="501">
        <v>300</v>
      </c>
      <c r="G29" s="502" t="s">
        <v>179</v>
      </c>
      <c r="H29" s="503">
        <f t="shared" si="0"/>
        <v>95.7</v>
      </c>
      <c r="I29" s="355">
        <v>39731.353472222225</v>
      </c>
      <c r="J29" s="355">
        <v>39731.518055555556</v>
      </c>
      <c r="K29" s="504">
        <f t="shared" si="1"/>
        <v>3.949999999953434</v>
      </c>
      <c r="L29" s="14">
        <f t="shared" si="2"/>
        <v>237</v>
      </c>
      <c r="M29" s="356" t="s">
        <v>292</v>
      </c>
      <c r="N29" s="432" t="str">
        <f t="shared" si="3"/>
        <v>--</v>
      </c>
      <c r="O29" s="353" t="str">
        <f t="shared" si="4"/>
        <v>--</v>
      </c>
      <c r="P29" s="352" t="str">
        <f t="shared" si="5"/>
        <v>NO</v>
      </c>
      <c r="Q29" s="505">
        <f t="shared" si="6"/>
        <v>2</v>
      </c>
      <c r="R29" s="506">
        <f t="shared" si="7"/>
        <v>756.0300000000001</v>
      </c>
      <c r="S29" s="507" t="str">
        <f t="shared" si="8"/>
        <v>--</v>
      </c>
      <c r="T29" s="508" t="str">
        <f t="shared" si="9"/>
        <v>--</v>
      </c>
      <c r="U29" s="509" t="str">
        <f t="shared" si="10"/>
        <v>--</v>
      </c>
      <c r="V29" s="510" t="str">
        <f t="shared" si="11"/>
        <v>--</v>
      </c>
      <c r="W29" s="511" t="str">
        <f t="shared" si="12"/>
        <v>--</v>
      </c>
      <c r="X29" s="512" t="str">
        <f t="shared" si="13"/>
        <v>--</v>
      </c>
      <c r="Y29" s="513" t="str">
        <f t="shared" si="14"/>
        <v>--</v>
      </c>
      <c r="Z29" s="514" t="s">
        <v>289</v>
      </c>
      <c r="AA29" s="16">
        <f t="shared" si="15"/>
        <v>756.0300000000001</v>
      </c>
      <c r="AB29" s="17"/>
    </row>
    <row r="30" spans="1:28" s="5" customFormat="1" ht="16.5" customHeight="1">
      <c r="A30" s="90"/>
      <c r="B30" s="95"/>
      <c r="C30" s="354">
        <v>26</v>
      </c>
      <c r="D30" s="348" t="s">
        <v>346</v>
      </c>
      <c r="E30" s="500" t="s">
        <v>347</v>
      </c>
      <c r="F30" s="501">
        <v>150</v>
      </c>
      <c r="G30" s="502" t="s">
        <v>409</v>
      </c>
      <c r="H30" s="503">
        <f t="shared" si="0"/>
        <v>47.85</v>
      </c>
      <c r="I30" s="355">
        <v>39732.35972222222</v>
      </c>
      <c r="J30" s="355">
        <v>39734.740277777775</v>
      </c>
      <c r="K30" s="504">
        <f t="shared" si="1"/>
        <v>57.13333333324408</v>
      </c>
      <c r="L30" s="14">
        <f t="shared" si="2"/>
        <v>3428</v>
      </c>
      <c r="M30" s="356" t="s">
        <v>292</v>
      </c>
      <c r="N30" s="432" t="str">
        <f t="shared" si="3"/>
        <v>--</v>
      </c>
      <c r="O30" s="353" t="str">
        <f t="shared" si="4"/>
        <v>--</v>
      </c>
      <c r="P30" s="352" t="str">
        <f t="shared" si="5"/>
        <v>NO</v>
      </c>
      <c r="Q30" s="505">
        <f t="shared" si="6"/>
        <v>2</v>
      </c>
      <c r="R30" s="506">
        <f t="shared" si="7"/>
        <v>5467.341</v>
      </c>
      <c r="S30" s="507" t="str">
        <f t="shared" si="8"/>
        <v>--</v>
      </c>
      <c r="T30" s="508" t="str">
        <f t="shared" si="9"/>
        <v>--</v>
      </c>
      <c r="U30" s="509" t="str">
        <f t="shared" si="10"/>
        <v>--</v>
      </c>
      <c r="V30" s="510" t="str">
        <f t="shared" si="11"/>
        <v>--</v>
      </c>
      <c r="W30" s="511" t="str">
        <f t="shared" si="12"/>
        <v>--</v>
      </c>
      <c r="X30" s="512" t="str">
        <f t="shared" si="13"/>
        <v>--</v>
      </c>
      <c r="Y30" s="513" t="str">
        <f t="shared" si="14"/>
        <v>--</v>
      </c>
      <c r="Z30" s="514" t="s">
        <v>289</v>
      </c>
      <c r="AA30" s="16">
        <f t="shared" si="15"/>
        <v>5467.341</v>
      </c>
      <c r="AB30" s="17"/>
    </row>
    <row r="31" spans="1:28" s="5" customFormat="1" ht="16.5" customHeight="1">
      <c r="A31" s="90"/>
      <c r="B31" s="95"/>
      <c r="C31" s="486">
        <v>27</v>
      </c>
      <c r="D31" s="348" t="s">
        <v>337</v>
      </c>
      <c r="E31" s="500" t="s">
        <v>348</v>
      </c>
      <c r="F31" s="501">
        <v>100</v>
      </c>
      <c r="G31" s="502" t="s">
        <v>179</v>
      </c>
      <c r="H31" s="503">
        <f t="shared" si="0"/>
        <v>31.900000000000002</v>
      </c>
      <c r="I31" s="355">
        <v>39735.41180555556</v>
      </c>
      <c r="J31" s="355">
        <v>39735.55486111111</v>
      </c>
      <c r="K31" s="504">
        <f t="shared" si="1"/>
        <v>3.4333333331742324</v>
      </c>
      <c r="L31" s="14">
        <f t="shared" si="2"/>
        <v>206</v>
      </c>
      <c r="M31" s="356" t="s">
        <v>292</v>
      </c>
      <c r="N31" s="432" t="str">
        <f t="shared" si="3"/>
        <v>--</v>
      </c>
      <c r="O31" s="353" t="str">
        <f t="shared" si="4"/>
        <v>--</v>
      </c>
      <c r="P31" s="352" t="str">
        <f t="shared" si="5"/>
        <v>NO</v>
      </c>
      <c r="Q31" s="505">
        <f t="shared" si="6"/>
        <v>2</v>
      </c>
      <c r="R31" s="506">
        <f t="shared" si="7"/>
        <v>218.83400000000003</v>
      </c>
      <c r="S31" s="507" t="str">
        <f t="shared" si="8"/>
        <v>--</v>
      </c>
      <c r="T31" s="508" t="str">
        <f t="shared" si="9"/>
        <v>--</v>
      </c>
      <c r="U31" s="509" t="str">
        <f t="shared" si="10"/>
        <v>--</v>
      </c>
      <c r="V31" s="510" t="str">
        <f t="shared" si="11"/>
        <v>--</v>
      </c>
      <c r="W31" s="511" t="str">
        <f t="shared" si="12"/>
        <v>--</v>
      </c>
      <c r="X31" s="512" t="str">
        <f t="shared" si="13"/>
        <v>--</v>
      </c>
      <c r="Y31" s="513" t="str">
        <f t="shared" si="14"/>
        <v>--</v>
      </c>
      <c r="Z31" s="514" t="s">
        <v>289</v>
      </c>
      <c r="AA31" s="16">
        <v>0</v>
      </c>
      <c r="AB31" s="17"/>
    </row>
    <row r="32" spans="1:28" s="5" customFormat="1" ht="16.5" customHeight="1">
      <c r="A32" s="90"/>
      <c r="B32" s="95"/>
      <c r="C32" s="354">
        <v>28</v>
      </c>
      <c r="D32" s="348" t="s">
        <v>345</v>
      </c>
      <c r="E32" s="516" t="s">
        <v>343</v>
      </c>
      <c r="F32" s="501">
        <v>300</v>
      </c>
      <c r="G32" s="502" t="s">
        <v>179</v>
      </c>
      <c r="H32" s="503">
        <f t="shared" si="0"/>
        <v>95.7</v>
      </c>
      <c r="I32" s="355">
        <v>39744.27569444444</v>
      </c>
      <c r="J32" s="355">
        <v>39744.29861111111</v>
      </c>
      <c r="K32" s="504">
        <f t="shared" si="1"/>
        <v>0.5500000000465661</v>
      </c>
      <c r="L32" s="14">
        <f t="shared" si="2"/>
        <v>33</v>
      </c>
      <c r="M32" s="356" t="s">
        <v>292</v>
      </c>
      <c r="N32" s="432" t="str">
        <f t="shared" si="3"/>
        <v>--</v>
      </c>
      <c r="O32" s="353" t="str">
        <f t="shared" si="4"/>
        <v>--</v>
      </c>
      <c r="P32" s="352" t="str">
        <f t="shared" si="5"/>
        <v>NO</v>
      </c>
      <c r="Q32" s="505">
        <f t="shared" si="6"/>
        <v>2</v>
      </c>
      <c r="R32" s="506">
        <f t="shared" si="7"/>
        <v>105.27000000000001</v>
      </c>
      <c r="S32" s="507" t="str">
        <f t="shared" si="8"/>
        <v>--</v>
      </c>
      <c r="T32" s="508" t="str">
        <f t="shared" si="9"/>
        <v>--</v>
      </c>
      <c r="U32" s="509" t="str">
        <f t="shared" si="10"/>
        <v>--</v>
      </c>
      <c r="V32" s="510" t="str">
        <f t="shared" si="11"/>
        <v>--</v>
      </c>
      <c r="W32" s="511" t="str">
        <f t="shared" si="12"/>
        <v>--</v>
      </c>
      <c r="X32" s="512" t="str">
        <f t="shared" si="13"/>
        <v>--</v>
      </c>
      <c r="Y32" s="513" t="str">
        <f t="shared" si="14"/>
        <v>--</v>
      </c>
      <c r="Z32" s="514" t="s">
        <v>289</v>
      </c>
      <c r="AA32" s="16">
        <f t="shared" si="15"/>
        <v>105.27000000000001</v>
      </c>
      <c r="AB32" s="17"/>
    </row>
    <row r="33" spans="1:28" s="5" customFormat="1" ht="16.5" customHeight="1">
      <c r="A33" s="90"/>
      <c r="B33" s="95"/>
      <c r="C33" s="486">
        <v>29</v>
      </c>
      <c r="D33" s="348" t="s">
        <v>349</v>
      </c>
      <c r="E33" s="516" t="s">
        <v>350</v>
      </c>
      <c r="F33" s="501">
        <v>300</v>
      </c>
      <c r="G33" s="502" t="s">
        <v>179</v>
      </c>
      <c r="H33" s="503">
        <f t="shared" si="0"/>
        <v>95.7</v>
      </c>
      <c r="I33" s="355">
        <v>39744.381944444445</v>
      </c>
      <c r="J33" s="355">
        <v>39744.49444444444</v>
      </c>
      <c r="K33" s="504">
        <f t="shared" si="1"/>
        <v>2.699999999895226</v>
      </c>
      <c r="L33" s="14">
        <f t="shared" si="2"/>
        <v>162</v>
      </c>
      <c r="M33" s="356" t="s">
        <v>292</v>
      </c>
      <c r="N33" s="432" t="str">
        <f t="shared" si="3"/>
        <v>--</v>
      </c>
      <c r="O33" s="353" t="str">
        <f t="shared" si="4"/>
        <v>--</v>
      </c>
      <c r="P33" s="352" t="str">
        <f t="shared" si="5"/>
        <v>NO</v>
      </c>
      <c r="Q33" s="505">
        <f t="shared" si="6"/>
        <v>2</v>
      </c>
      <c r="R33" s="506">
        <f t="shared" si="7"/>
        <v>516.7800000000001</v>
      </c>
      <c r="S33" s="507" t="str">
        <f t="shared" si="8"/>
        <v>--</v>
      </c>
      <c r="T33" s="508" t="str">
        <f t="shared" si="9"/>
        <v>--</v>
      </c>
      <c r="U33" s="509" t="str">
        <f t="shared" si="10"/>
        <v>--</v>
      </c>
      <c r="V33" s="510" t="str">
        <f t="shared" si="11"/>
        <v>--</v>
      </c>
      <c r="W33" s="511" t="str">
        <f t="shared" si="12"/>
        <v>--</v>
      </c>
      <c r="X33" s="512" t="str">
        <f t="shared" si="13"/>
        <v>--</v>
      </c>
      <c r="Y33" s="513" t="str">
        <f t="shared" si="14"/>
        <v>--</v>
      </c>
      <c r="Z33" s="514" t="s">
        <v>289</v>
      </c>
      <c r="AA33" s="16">
        <f t="shared" si="15"/>
        <v>516.7800000000001</v>
      </c>
      <c r="AB33" s="17"/>
    </row>
    <row r="34" spans="1:28" s="5" customFormat="1" ht="16.5" customHeight="1">
      <c r="A34" s="90"/>
      <c r="B34" s="95"/>
      <c r="C34" s="354">
        <v>30</v>
      </c>
      <c r="D34" s="348" t="s">
        <v>345</v>
      </c>
      <c r="E34" s="516" t="s">
        <v>343</v>
      </c>
      <c r="F34" s="501">
        <v>300</v>
      </c>
      <c r="G34" s="502" t="s">
        <v>179</v>
      </c>
      <c r="H34" s="503">
        <f t="shared" si="0"/>
        <v>95.7</v>
      </c>
      <c r="I34" s="355">
        <v>39745.61597222222</v>
      </c>
      <c r="J34" s="355">
        <v>39745.72152777778</v>
      </c>
      <c r="K34" s="504">
        <f t="shared" si="1"/>
        <v>2.53333333338378</v>
      </c>
      <c r="L34" s="14">
        <f t="shared" si="2"/>
        <v>152</v>
      </c>
      <c r="M34" s="356" t="s">
        <v>325</v>
      </c>
      <c r="N34" s="432" t="str">
        <f t="shared" si="3"/>
        <v>--</v>
      </c>
      <c r="O34" s="353" t="str">
        <f t="shared" si="4"/>
        <v>NO</v>
      </c>
      <c r="P34" s="352" t="str">
        <f t="shared" si="5"/>
        <v>NO</v>
      </c>
      <c r="Q34" s="505">
        <f t="shared" si="6"/>
        <v>20</v>
      </c>
      <c r="R34" s="506" t="str">
        <f t="shared" si="7"/>
        <v>--</v>
      </c>
      <c r="S34" s="507" t="str">
        <f t="shared" si="8"/>
        <v>--</v>
      </c>
      <c r="T34" s="508">
        <f t="shared" si="9"/>
        <v>1914</v>
      </c>
      <c r="U34" s="509">
        <f t="shared" si="10"/>
        <v>4842.42</v>
      </c>
      <c r="V34" s="510" t="str">
        <f t="shared" si="11"/>
        <v>--</v>
      </c>
      <c r="W34" s="511" t="str">
        <f t="shared" si="12"/>
        <v>--</v>
      </c>
      <c r="X34" s="512" t="str">
        <f t="shared" si="13"/>
        <v>--</v>
      </c>
      <c r="Y34" s="513" t="str">
        <f t="shared" si="14"/>
        <v>--</v>
      </c>
      <c r="Z34" s="514" t="s">
        <v>289</v>
      </c>
      <c r="AA34" s="16">
        <f t="shared" si="15"/>
        <v>6756.42</v>
      </c>
      <c r="AB34" s="17"/>
    </row>
    <row r="35" spans="1:28" s="5" customFormat="1" ht="16.5" customHeight="1">
      <c r="A35" s="90"/>
      <c r="B35" s="95"/>
      <c r="C35" s="486">
        <v>31</v>
      </c>
      <c r="D35" s="348" t="s">
        <v>351</v>
      </c>
      <c r="E35" s="516" t="s">
        <v>352</v>
      </c>
      <c r="F35" s="501">
        <v>100</v>
      </c>
      <c r="G35" s="502" t="s">
        <v>339</v>
      </c>
      <c r="H35" s="503">
        <f t="shared" si="0"/>
        <v>31.900000000000002</v>
      </c>
      <c r="I35" s="355">
        <v>39746.37777777778</v>
      </c>
      <c r="J35" s="355">
        <v>39747.836805555555</v>
      </c>
      <c r="K35" s="504">
        <f t="shared" si="1"/>
        <v>35.01666666660458</v>
      </c>
      <c r="L35" s="14">
        <f t="shared" si="2"/>
        <v>2101</v>
      </c>
      <c r="M35" s="356" t="s">
        <v>292</v>
      </c>
      <c r="N35" s="432" t="str">
        <f t="shared" si="3"/>
        <v>--</v>
      </c>
      <c r="O35" s="353" t="str">
        <f t="shared" si="4"/>
        <v>--</v>
      </c>
      <c r="P35" s="352" t="str">
        <f t="shared" si="5"/>
        <v>NO</v>
      </c>
      <c r="Q35" s="505">
        <f t="shared" si="6"/>
        <v>2</v>
      </c>
      <c r="R35" s="506">
        <f t="shared" si="7"/>
        <v>2234.2760000000003</v>
      </c>
      <c r="S35" s="507" t="str">
        <f t="shared" si="8"/>
        <v>--</v>
      </c>
      <c r="T35" s="508" t="str">
        <f t="shared" si="9"/>
        <v>--</v>
      </c>
      <c r="U35" s="509" t="str">
        <f t="shared" si="10"/>
        <v>--</v>
      </c>
      <c r="V35" s="510" t="str">
        <f t="shared" si="11"/>
        <v>--</v>
      </c>
      <c r="W35" s="511" t="str">
        <f t="shared" si="12"/>
        <v>--</v>
      </c>
      <c r="X35" s="512" t="str">
        <f t="shared" si="13"/>
        <v>--</v>
      </c>
      <c r="Y35" s="513" t="str">
        <f t="shared" si="14"/>
        <v>--</v>
      </c>
      <c r="Z35" s="514" t="s">
        <v>289</v>
      </c>
      <c r="AA35" s="16">
        <f t="shared" si="15"/>
        <v>2234.2760000000003</v>
      </c>
      <c r="AB35" s="17"/>
    </row>
    <row r="36" spans="1:28" s="5" customFormat="1" ht="16.5" customHeight="1">
      <c r="A36" s="90"/>
      <c r="B36" s="95"/>
      <c r="C36" s="354">
        <v>32</v>
      </c>
      <c r="D36" s="348" t="s">
        <v>351</v>
      </c>
      <c r="E36" s="516" t="s">
        <v>352</v>
      </c>
      <c r="F36" s="501">
        <v>100</v>
      </c>
      <c r="G36" s="502" t="s">
        <v>339</v>
      </c>
      <c r="H36" s="503">
        <f t="shared" si="0"/>
        <v>31.900000000000002</v>
      </c>
      <c r="I36" s="355">
        <v>39748.39513888889</v>
      </c>
      <c r="J36" s="355">
        <v>39748.70625</v>
      </c>
      <c r="K36" s="504">
        <f t="shared" si="1"/>
        <v>7.466666666732635</v>
      </c>
      <c r="L36" s="14">
        <f t="shared" si="2"/>
        <v>448</v>
      </c>
      <c r="M36" s="356" t="s">
        <v>292</v>
      </c>
      <c r="N36" s="432" t="str">
        <f t="shared" si="3"/>
        <v>--</v>
      </c>
      <c r="O36" s="353" t="str">
        <f t="shared" si="4"/>
        <v>--</v>
      </c>
      <c r="P36" s="352" t="str">
        <f t="shared" si="5"/>
        <v>NO</v>
      </c>
      <c r="Q36" s="505">
        <f t="shared" si="6"/>
        <v>2</v>
      </c>
      <c r="R36" s="506">
        <f t="shared" si="7"/>
        <v>476.586</v>
      </c>
      <c r="S36" s="507" t="str">
        <f t="shared" si="8"/>
        <v>--</v>
      </c>
      <c r="T36" s="508" t="str">
        <f t="shared" si="9"/>
        <v>--</v>
      </c>
      <c r="U36" s="509" t="str">
        <f t="shared" si="10"/>
        <v>--</v>
      </c>
      <c r="V36" s="510" t="str">
        <f t="shared" si="11"/>
        <v>--</v>
      </c>
      <c r="W36" s="511" t="str">
        <f t="shared" si="12"/>
        <v>--</v>
      </c>
      <c r="X36" s="512" t="str">
        <f t="shared" si="13"/>
        <v>--</v>
      </c>
      <c r="Y36" s="513" t="str">
        <f t="shared" si="14"/>
        <v>--</v>
      </c>
      <c r="Z36" s="514" t="s">
        <v>289</v>
      </c>
      <c r="AA36" s="16">
        <v>0</v>
      </c>
      <c r="AB36" s="17"/>
    </row>
    <row r="37" spans="1:28" s="5" customFormat="1" ht="16.5" customHeight="1">
      <c r="A37" s="90"/>
      <c r="B37" s="95"/>
      <c r="C37" s="486">
        <v>33</v>
      </c>
      <c r="D37" s="348" t="s">
        <v>353</v>
      </c>
      <c r="E37" s="516" t="s">
        <v>343</v>
      </c>
      <c r="F37" s="501">
        <v>300</v>
      </c>
      <c r="G37" s="502" t="s">
        <v>339</v>
      </c>
      <c r="H37" s="503">
        <f t="shared" si="0"/>
        <v>95.7</v>
      </c>
      <c r="I37" s="355">
        <v>39748.52222222222</v>
      </c>
      <c r="J37" s="355">
        <v>39748.71388888889</v>
      </c>
      <c r="K37" s="504">
        <f t="shared" si="1"/>
        <v>4.599999999976717</v>
      </c>
      <c r="L37" s="14">
        <f t="shared" si="2"/>
        <v>276</v>
      </c>
      <c r="M37" s="356" t="s">
        <v>292</v>
      </c>
      <c r="N37" s="432" t="str">
        <f t="shared" si="3"/>
        <v>--</v>
      </c>
      <c r="O37" s="353" t="str">
        <f t="shared" si="4"/>
        <v>--</v>
      </c>
      <c r="P37" s="352" t="str">
        <f t="shared" si="5"/>
        <v>NO</v>
      </c>
      <c r="Q37" s="505">
        <f t="shared" si="6"/>
        <v>2</v>
      </c>
      <c r="R37" s="506">
        <f t="shared" si="7"/>
        <v>880.4399999999999</v>
      </c>
      <c r="S37" s="507" t="str">
        <f t="shared" si="8"/>
        <v>--</v>
      </c>
      <c r="T37" s="508" t="str">
        <f t="shared" si="9"/>
        <v>--</v>
      </c>
      <c r="U37" s="509" t="str">
        <f t="shared" si="10"/>
        <v>--</v>
      </c>
      <c r="V37" s="510" t="str">
        <f t="shared" si="11"/>
        <v>--</v>
      </c>
      <c r="W37" s="511" t="str">
        <f t="shared" si="12"/>
        <v>--</v>
      </c>
      <c r="X37" s="512" t="str">
        <f t="shared" si="13"/>
        <v>--</v>
      </c>
      <c r="Y37" s="513" t="str">
        <f t="shared" si="14"/>
        <v>--</v>
      </c>
      <c r="Z37" s="514" t="s">
        <v>289</v>
      </c>
      <c r="AA37" s="16">
        <f t="shared" si="15"/>
        <v>880.4399999999999</v>
      </c>
      <c r="AB37" s="17"/>
    </row>
    <row r="38" spans="1:28" s="5" customFormat="1" ht="16.5" customHeight="1">
      <c r="A38" s="90"/>
      <c r="B38" s="95"/>
      <c r="C38" s="354">
        <v>34</v>
      </c>
      <c r="D38" s="348" t="s">
        <v>353</v>
      </c>
      <c r="E38" s="516" t="s">
        <v>343</v>
      </c>
      <c r="F38" s="501">
        <v>300</v>
      </c>
      <c r="G38" s="502" t="s">
        <v>339</v>
      </c>
      <c r="H38" s="503">
        <f t="shared" si="0"/>
        <v>95.7</v>
      </c>
      <c r="I38" s="355">
        <v>39749.36319444444</v>
      </c>
      <c r="J38" s="355">
        <v>39749.70763888889</v>
      </c>
      <c r="K38" s="504">
        <f t="shared" si="1"/>
        <v>8.266666666720994</v>
      </c>
      <c r="L38" s="14">
        <f t="shared" si="2"/>
        <v>496</v>
      </c>
      <c r="M38" s="356" t="s">
        <v>292</v>
      </c>
      <c r="N38" s="432" t="str">
        <f t="shared" si="3"/>
        <v>--</v>
      </c>
      <c r="O38" s="353" t="str">
        <f t="shared" si="4"/>
        <v>--</v>
      </c>
      <c r="P38" s="352" t="str">
        <f t="shared" si="5"/>
        <v>NO</v>
      </c>
      <c r="Q38" s="505">
        <f t="shared" si="6"/>
        <v>2</v>
      </c>
      <c r="R38" s="506">
        <f t="shared" si="7"/>
        <v>1582.878</v>
      </c>
      <c r="S38" s="507" t="str">
        <f t="shared" si="8"/>
        <v>--</v>
      </c>
      <c r="T38" s="508" t="str">
        <f t="shared" si="9"/>
        <v>--</v>
      </c>
      <c r="U38" s="509" t="str">
        <f t="shared" si="10"/>
        <v>--</v>
      </c>
      <c r="V38" s="510" t="str">
        <f t="shared" si="11"/>
        <v>--</v>
      </c>
      <c r="W38" s="511" t="str">
        <f t="shared" si="12"/>
        <v>--</v>
      </c>
      <c r="X38" s="512" t="str">
        <f t="shared" si="13"/>
        <v>--</v>
      </c>
      <c r="Y38" s="513" t="str">
        <f t="shared" si="14"/>
        <v>--</v>
      </c>
      <c r="Z38" s="514" t="s">
        <v>289</v>
      </c>
      <c r="AA38" s="16">
        <f t="shared" si="15"/>
        <v>1582.878</v>
      </c>
      <c r="AB38" s="17"/>
    </row>
    <row r="39" spans="1:28" s="5" customFormat="1" ht="16.5" customHeight="1">
      <c r="A39" s="90"/>
      <c r="B39" s="95"/>
      <c r="C39" s="486">
        <v>35</v>
      </c>
      <c r="D39" s="348" t="s">
        <v>353</v>
      </c>
      <c r="E39" s="516" t="s">
        <v>343</v>
      </c>
      <c r="F39" s="501">
        <v>300</v>
      </c>
      <c r="G39" s="502" t="s">
        <v>339</v>
      </c>
      <c r="H39" s="503">
        <f t="shared" si="0"/>
        <v>95.7</v>
      </c>
      <c r="I39" s="355">
        <v>39750.36111111111</v>
      </c>
      <c r="J39" s="355">
        <v>39750.700694444444</v>
      </c>
      <c r="K39" s="504">
        <f t="shared" si="1"/>
        <v>8.150000000023283</v>
      </c>
      <c r="L39" s="14">
        <f t="shared" si="2"/>
        <v>489</v>
      </c>
      <c r="M39" s="356" t="s">
        <v>292</v>
      </c>
      <c r="N39" s="432" t="str">
        <f t="shared" si="3"/>
        <v>--</v>
      </c>
      <c r="O39" s="353" t="str">
        <f t="shared" si="4"/>
        <v>--</v>
      </c>
      <c r="P39" s="352" t="str">
        <f t="shared" si="5"/>
        <v>NO</v>
      </c>
      <c r="Q39" s="505">
        <f t="shared" si="6"/>
        <v>2</v>
      </c>
      <c r="R39" s="506">
        <f t="shared" si="7"/>
        <v>1559.91</v>
      </c>
      <c r="S39" s="507" t="str">
        <f t="shared" si="8"/>
        <v>--</v>
      </c>
      <c r="T39" s="508" t="str">
        <f t="shared" si="9"/>
        <v>--</v>
      </c>
      <c r="U39" s="509" t="str">
        <f t="shared" si="10"/>
        <v>--</v>
      </c>
      <c r="V39" s="510" t="str">
        <f t="shared" si="11"/>
        <v>--</v>
      </c>
      <c r="W39" s="511" t="str">
        <f t="shared" si="12"/>
        <v>--</v>
      </c>
      <c r="X39" s="512" t="str">
        <f t="shared" si="13"/>
        <v>--</v>
      </c>
      <c r="Y39" s="513" t="str">
        <f t="shared" si="14"/>
        <v>--</v>
      </c>
      <c r="Z39" s="514" t="s">
        <v>289</v>
      </c>
      <c r="AA39" s="16">
        <f t="shared" si="15"/>
        <v>1559.91</v>
      </c>
      <c r="AB39" s="17"/>
    </row>
    <row r="40" spans="1:28" s="5" customFormat="1" ht="16.5" customHeight="1">
      <c r="A40" s="90"/>
      <c r="B40" s="95"/>
      <c r="C40" s="354">
        <v>36</v>
      </c>
      <c r="D40" s="348" t="s">
        <v>353</v>
      </c>
      <c r="E40" s="516" t="s">
        <v>343</v>
      </c>
      <c r="F40" s="501">
        <v>300</v>
      </c>
      <c r="G40" s="502" t="s">
        <v>339</v>
      </c>
      <c r="H40" s="503">
        <f t="shared" si="0"/>
        <v>95.7</v>
      </c>
      <c r="I40" s="355">
        <v>39751.35486111111</v>
      </c>
      <c r="J40" s="355">
        <v>39751.71041666667</v>
      </c>
      <c r="K40" s="504">
        <f t="shared" si="1"/>
        <v>8.53333333338378</v>
      </c>
      <c r="L40" s="14">
        <f t="shared" si="2"/>
        <v>512</v>
      </c>
      <c r="M40" s="356" t="s">
        <v>292</v>
      </c>
      <c r="N40" s="432" t="str">
        <f t="shared" si="3"/>
        <v>--</v>
      </c>
      <c r="O40" s="353" t="str">
        <f t="shared" si="4"/>
        <v>--</v>
      </c>
      <c r="P40" s="352" t="str">
        <f t="shared" si="5"/>
        <v>NO</v>
      </c>
      <c r="Q40" s="505">
        <f t="shared" si="6"/>
        <v>2</v>
      </c>
      <c r="R40" s="506">
        <f t="shared" si="7"/>
        <v>1632.6419999999998</v>
      </c>
      <c r="S40" s="507" t="str">
        <f t="shared" si="8"/>
        <v>--</v>
      </c>
      <c r="T40" s="508" t="str">
        <f t="shared" si="9"/>
        <v>--</v>
      </c>
      <c r="U40" s="509" t="str">
        <f t="shared" si="10"/>
        <v>--</v>
      </c>
      <c r="V40" s="510" t="str">
        <f t="shared" si="11"/>
        <v>--</v>
      </c>
      <c r="W40" s="511" t="str">
        <f t="shared" si="12"/>
        <v>--</v>
      </c>
      <c r="X40" s="512" t="str">
        <f t="shared" si="13"/>
        <v>--</v>
      </c>
      <c r="Y40" s="513" t="str">
        <f t="shared" si="14"/>
        <v>--</v>
      </c>
      <c r="Z40" s="514" t="s">
        <v>289</v>
      </c>
      <c r="AA40" s="16">
        <f t="shared" si="15"/>
        <v>1632.6419999999998</v>
      </c>
      <c r="AB40" s="17"/>
    </row>
    <row r="41" spans="1:28" s="5" customFormat="1" ht="16.5" customHeight="1">
      <c r="A41" s="90"/>
      <c r="B41" s="95"/>
      <c r="C41" s="486"/>
      <c r="D41" s="348"/>
      <c r="E41" s="516"/>
      <c r="F41" s="501"/>
      <c r="G41" s="502"/>
      <c r="H41" s="503">
        <f t="shared" si="0"/>
        <v>0</v>
      </c>
      <c r="I41" s="355"/>
      <c r="J41" s="355"/>
      <c r="K41" s="504">
        <f t="shared" si="1"/>
      </c>
      <c r="L41" s="14">
        <f t="shared" si="2"/>
      </c>
      <c r="M41" s="356"/>
      <c r="N41" s="432">
        <f t="shared" si="3"/>
      </c>
      <c r="O41" s="353">
        <f t="shared" si="4"/>
      </c>
      <c r="P41" s="352">
        <f t="shared" si="5"/>
      </c>
      <c r="Q41" s="505">
        <f t="shared" si="6"/>
        <v>20</v>
      </c>
      <c r="R41" s="506" t="str">
        <f t="shared" si="7"/>
        <v>--</v>
      </c>
      <c r="S41" s="507" t="str">
        <f t="shared" si="8"/>
        <v>--</v>
      </c>
      <c r="T41" s="508" t="str">
        <f t="shared" si="9"/>
        <v>--</v>
      </c>
      <c r="U41" s="509" t="str">
        <f t="shared" si="10"/>
        <v>--</v>
      </c>
      <c r="V41" s="510" t="str">
        <f t="shared" si="11"/>
        <v>--</v>
      </c>
      <c r="W41" s="511" t="str">
        <f t="shared" si="12"/>
        <v>--</v>
      </c>
      <c r="X41" s="512" t="str">
        <f t="shared" si="13"/>
        <v>--</v>
      </c>
      <c r="Y41" s="513" t="str">
        <f t="shared" si="14"/>
        <v>--</v>
      </c>
      <c r="Z41" s="514">
        <f>IF(D41="","","SI")</f>
      </c>
      <c r="AA41" s="16">
        <f t="shared" si="15"/>
      </c>
      <c r="AB41" s="17"/>
    </row>
    <row r="42" spans="1:28" s="5" customFormat="1" ht="16.5" customHeight="1" thickBot="1">
      <c r="A42" s="90"/>
      <c r="B42" s="95"/>
      <c r="C42" s="354"/>
      <c r="D42" s="517"/>
      <c r="E42" s="518"/>
      <c r="F42" s="517"/>
      <c r="G42" s="519"/>
      <c r="H42" s="132"/>
      <c r="I42" s="357"/>
      <c r="J42" s="520"/>
      <c r="K42" s="521"/>
      <c r="L42" s="522"/>
      <c r="M42" s="362"/>
      <c r="N42" s="394"/>
      <c r="O42" s="360"/>
      <c r="P42" s="362"/>
      <c r="Q42" s="523"/>
      <c r="R42" s="524"/>
      <c r="S42" s="525"/>
      <c r="T42" s="526"/>
      <c r="U42" s="527"/>
      <c r="V42" s="528"/>
      <c r="W42" s="529"/>
      <c r="X42" s="530"/>
      <c r="Y42" s="531"/>
      <c r="Z42" s="532"/>
      <c r="AA42" s="533"/>
      <c r="AB42" s="17"/>
    </row>
    <row r="43" spans="1:28" s="5" customFormat="1" ht="16.5" customHeight="1" thickBot="1" thickTop="1">
      <c r="A43" s="90"/>
      <c r="B43" s="95"/>
      <c r="C43" s="128" t="s">
        <v>26</v>
      </c>
      <c r="D43" s="129" t="s">
        <v>406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534">
        <f aca="true" t="shared" si="16" ref="R43:Y43">SUM(R20:R42)</f>
        <v>32786.182</v>
      </c>
      <c r="S43" s="535">
        <f t="shared" si="16"/>
        <v>0</v>
      </c>
      <c r="T43" s="536">
        <f t="shared" si="16"/>
        <v>1914</v>
      </c>
      <c r="U43" s="537">
        <f t="shared" si="16"/>
        <v>4842.42</v>
      </c>
      <c r="V43" s="538">
        <f t="shared" si="16"/>
        <v>0</v>
      </c>
      <c r="W43" s="539">
        <f t="shared" si="16"/>
        <v>0</v>
      </c>
      <c r="X43" s="540">
        <f t="shared" si="16"/>
        <v>0</v>
      </c>
      <c r="Y43" s="541">
        <f t="shared" si="16"/>
        <v>0</v>
      </c>
      <c r="Z43" s="90"/>
      <c r="AA43" s="542">
        <f>ROUND(SUM(AA20:AA42),2)</f>
        <v>38847.18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</row>
    <row r="46" spans="1:29" ht="16.5" customHeight="1">
      <c r="A46" s="2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</row>
    <row r="47" spans="1:29" ht="16.5" customHeight="1">
      <c r="A47" s="2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</row>
    <row r="48" spans="1:29" ht="16.5" customHeight="1">
      <c r="A48" s="2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</row>
    <row r="49" spans="4:29" ht="16.5" customHeight="1"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</row>
    <row r="50" spans="4:29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</row>
    <row r="51" spans="4:29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</row>
    <row r="52" spans="4:29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</row>
    <row r="53" spans="4:29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</row>
    <row r="54" spans="4:29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</row>
    <row r="55" spans="4:29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</row>
    <row r="56" spans="4:29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</row>
    <row r="57" spans="4:29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</row>
    <row r="58" spans="4:29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</row>
    <row r="59" spans="4:29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</row>
    <row r="60" spans="4:29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</row>
    <row r="61" spans="4:29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</row>
    <row r="62" spans="4:29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</row>
    <row r="63" spans="4:29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</row>
    <row r="64" spans="4:29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</row>
    <row r="65" spans="4:29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</row>
    <row r="66" spans="4:29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</row>
    <row r="67" spans="4:29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</row>
    <row r="68" spans="4:29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</row>
    <row r="69" spans="4:29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</row>
    <row r="70" spans="4:29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</row>
    <row r="71" spans="4:29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</row>
    <row r="72" spans="4:29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</row>
    <row r="73" spans="4:29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</row>
    <row r="74" spans="4:29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</row>
    <row r="75" spans="4:29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</row>
    <row r="76" spans="4:29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</row>
    <row r="77" spans="4:29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</row>
    <row r="78" spans="4:29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</row>
    <row r="79" spans="4:29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</row>
    <row r="80" spans="4:29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</row>
    <row r="81" spans="4:29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</row>
    <row r="82" spans="4:29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</row>
    <row r="83" spans="4:29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</row>
    <row r="84" spans="4:29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</row>
    <row r="85" spans="4:29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</row>
    <row r="86" spans="4:29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</row>
    <row r="87" spans="4:29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</row>
    <row r="88" spans="4:29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</row>
    <row r="89" spans="4:29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</row>
    <row r="90" spans="4:29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</row>
    <row r="91" spans="4:29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</row>
    <row r="92" spans="4:29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</row>
    <row r="93" spans="4:29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</row>
    <row r="94" spans="4:29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</row>
    <row r="95" spans="4:29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</row>
    <row r="96" spans="4:29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</row>
    <row r="97" spans="4:29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</row>
    <row r="98" spans="4:29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</row>
    <row r="99" spans="4:29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</row>
    <row r="100" spans="4:29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</row>
    <row r="101" spans="4:29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</row>
    <row r="102" spans="4:29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</row>
    <row r="103" spans="4:29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</row>
    <row r="104" spans="4:29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</row>
    <row r="105" spans="4:29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</row>
    <row r="106" spans="4:29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</row>
    <row r="107" spans="4:29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</row>
    <row r="108" spans="4:29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</row>
    <row r="109" spans="4:29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</row>
    <row r="110" spans="4:29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</row>
    <row r="111" spans="4:29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</row>
    <row r="112" spans="4:29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</row>
    <row r="113" spans="4:29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</row>
    <row r="114" spans="4:29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</row>
    <row r="115" spans="4:29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</row>
    <row r="116" spans="4:29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</row>
    <row r="117" spans="4:29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</row>
    <row r="118" spans="4:29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</row>
    <row r="119" spans="4:29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</row>
    <row r="120" spans="4:29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</row>
    <row r="121" spans="4:29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</row>
    <row r="122" spans="4:29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</row>
    <row r="123" spans="4:29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</row>
    <row r="124" spans="4:29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</row>
    <row r="125" spans="4:29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</row>
    <row r="126" spans="4:29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</row>
    <row r="127" spans="4:29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</row>
    <row r="128" spans="4:29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</row>
    <row r="129" spans="4:29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</row>
    <row r="130" spans="4:29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</row>
    <row r="131" spans="4:29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</row>
    <row r="132" spans="4:29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</row>
    <row r="133" spans="4:29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</row>
    <row r="134" spans="4:29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</row>
    <row r="135" spans="4:29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</row>
    <row r="136" spans="4:29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</row>
    <row r="137" spans="4:29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</row>
    <row r="138" spans="4:29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</row>
    <row r="139" spans="4:29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</row>
    <row r="140" spans="4:29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</row>
    <row r="141" spans="4:29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</row>
    <row r="142" spans="4:29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</row>
    <row r="143" spans="4:29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</row>
    <row r="144" spans="4:29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</row>
    <row r="145" spans="4:29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</row>
    <row r="146" spans="4:29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</row>
    <row r="147" spans="4:29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</row>
    <row r="148" spans="4:29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</row>
    <row r="149" spans="4:29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</row>
    <row r="150" spans="4:29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</row>
    <row r="151" spans="4:29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</row>
    <row r="152" spans="4:29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</row>
    <row r="153" ht="16.5" customHeight="1">
      <c r="AC153" s="376"/>
    </row>
    <row r="154" ht="16.5" customHeight="1">
      <c r="AC154" s="376"/>
    </row>
    <row r="155" ht="16.5" customHeight="1">
      <c r="AC155" s="376"/>
    </row>
    <row r="156" ht="16.5" customHeight="1">
      <c r="AC156" s="376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AC156"/>
  <sheetViews>
    <sheetView zoomScale="75" zoomScaleNormal="75" workbookViewId="0" topLeftCell="A1">
      <selection activeCell="D10" sqref="D1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455" t="str">
        <f>+'TOT-1008'!B2</f>
        <v>ANEXO V al Memorándum D.T.E.E. N°  366 / 2010        </v>
      </c>
      <c r="C2" s="455"/>
      <c r="D2" s="455"/>
      <c r="E2" s="19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456" t="s">
        <v>107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456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457" t="s">
        <v>96</v>
      </c>
      <c r="E8" s="106"/>
      <c r="F8" s="106"/>
      <c r="G8" s="45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459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172" customFormat="1" ht="30" customHeight="1">
      <c r="A10" s="1166"/>
      <c r="B10" s="1167"/>
      <c r="C10" s="1166"/>
      <c r="D10" s="1168" t="s">
        <v>306</v>
      </c>
      <c r="E10" s="1166"/>
      <c r="F10" s="1169"/>
      <c r="G10" s="1170"/>
      <c r="H10" s="1166"/>
      <c r="I10" s="1166"/>
      <c r="J10" s="1166"/>
      <c r="K10" s="1166"/>
      <c r="L10" s="1166"/>
      <c r="M10" s="1166"/>
      <c r="N10" s="1166"/>
      <c r="O10" s="1166"/>
      <c r="P10" s="1166"/>
      <c r="Q10" s="1166"/>
      <c r="R10" s="1170"/>
      <c r="S10" s="1170"/>
      <c r="T10" s="1170"/>
      <c r="U10" s="1170"/>
      <c r="V10" s="1170"/>
      <c r="W10" s="1170"/>
      <c r="X10" s="1170"/>
      <c r="Y10" s="1170"/>
      <c r="Z10" s="1170"/>
      <c r="AA10" s="1170"/>
      <c r="AB10" s="1171"/>
    </row>
    <row r="11" spans="1:28" s="1177" customFormat="1" ht="9.75" customHeight="1">
      <c r="A11" s="1173"/>
      <c r="B11" s="1174"/>
      <c r="C11" s="1173"/>
      <c r="E11" s="1175"/>
      <c r="F11" s="1175"/>
      <c r="G11" s="1175"/>
      <c r="H11" s="1173"/>
      <c r="I11" s="1173"/>
      <c r="J11" s="1173"/>
      <c r="K11" s="1173"/>
      <c r="L11" s="1173"/>
      <c r="M11" s="1173"/>
      <c r="N11" s="1173"/>
      <c r="O11" s="1173"/>
      <c r="P11" s="1173"/>
      <c r="Q11" s="1173"/>
      <c r="R11" s="1175"/>
      <c r="S11" s="1175"/>
      <c r="T11" s="1175"/>
      <c r="U11" s="1175"/>
      <c r="V11" s="1175"/>
      <c r="W11" s="1175"/>
      <c r="X11" s="1175"/>
      <c r="Y11" s="1175"/>
      <c r="Z11" s="1175"/>
      <c r="AA11" s="1175"/>
      <c r="AB11" s="1176"/>
    </row>
    <row r="12" spans="1:28" s="1177" customFormat="1" ht="21" customHeight="1">
      <c r="A12" s="1166"/>
      <c r="B12" s="1167"/>
      <c r="C12" s="1166"/>
      <c r="D12" s="1178" t="s">
        <v>307</v>
      </c>
      <c r="E12" s="1166"/>
      <c r="F12" s="1166"/>
      <c r="G12" s="1166"/>
      <c r="H12" s="1179"/>
      <c r="I12" s="1179"/>
      <c r="J12" s="1179"/>
      <c r="K12" s="1179"/>
      <c r="L12" s="1179"/>
      <c r="M12" s="1173"/>
      <c r="N12" s="1173"/>
      <c r="O12" s="1173"/>
      <c r="P12" s="1173"/>
      <c r="Q12" s="1173"/>
      <c r="R12" s="1175"/>
      <c r="S12" s="1175"/>
      <c r="T12" s="1175"/>
      <c r="U12" s="1175"/>
      <c r="V12" s="1175"/>
      <c r="W12" s="1175"/>
      <c r="X12" s="1175"/>
      <c r="Y12" s="1175"/>
      <c r="Z12" s="1175"/>
      <c r="AA12" s="1175"/>
      <c r="AB12" s="1176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'TOT-1008'!B14</f>
        <v>Desde el 01 al 31 de octubre de 2008</v>
      </c>
      <c r="C14" s="460"/>
      <c r="D14" s="113"/>
      <c r="E14" s="113"/>
      <c r="F14" s="113"/>
      <c r="G14" s="113"/>
      <c r="H14" s="113"/>
      <c r="I14" s="113"/>
      <c r="J14" s="113"/>
      <c r="K14" s="113"/>
      <c r="L14" s="113"/>
      <c r="M14" s="460"/>
      <c r="N14" s="460"/>
      <c r="O14" s="460"/>
      <c r="P14" s="460"/>
      <c r="Q14" s="460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461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462" t="s">
        <v>108</v>
      </c>
      <c r="E16" s="463"/>
      <c r="F16" s="464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27</v>
      </c>
      <c r="E17" s="112"/>
      <c r="F17" s="1146">
        <v>200</v>
      </c>
      <c r="G17"/>
      <c r="H17" s="15"/>
      <c r="I17" s="411"/>
      <c r="J17" s="412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28</v>
      </c>
      <c r="E19" s="119" t="s">
        <v>29</v>
      </c>
      <c r="F19" s="121" t="s">
        <v>30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31</v>
      </c>
      <c r="L19" s="120" t="s">
        <v>32</v>
      </c>
      <c r="M19" s="88" t="s">
        <v>19</v>
      </c>
      <c r="N19" s="88" t="s">
        <v>65</v>
      </c>
      <c r="O19" s="123" t="s">
        <v>33</v>
      </c>
      <c r="P19" s="119" t="s">
        <v>34</v>
      </c>
      <c r="Q19" s="465" t="s">
        <v>38</v>
      </c>
      <c r="R19" s="466" t="s">
        <v>20</v>
      </c>
      <c r="S19" s="467" t="s">
        <v>21</v>
      </c>
      <c r="T19" s="419" t="s">
        <v>109</v>
      </c>
      <c r="U19" s="421"/>
      <c r="V19" s="468" t="s">
        <v>110</v>
      </c>
      <c r="W19" s="469"/>
      <c r="X19" s="470" t="s">
        <v>22</v>
      </c>
      <c r="Y19" s="471" t="s">
        <v>105</v>
      </c>
      <c r="Z19" s="133" t="s">
        <v>106</v>
      </c>
      <c r="AA19" s="122" t="s">
        <v>25</v>
      </c>
      <c r="AB19" s="17"/>
    </row>
    <row r="20" spans="1:28" s="5" customFormat="1" ht="16.5" customHeight="1" thickTop="1">
      <c r="A20" s="90"/>
      <c r="B20" s="95"/>
      <c r="C20" s="472"/>
      <c r="D20" s="472"/>
      <c r="E20" s="472"/>
      <c r="F20" s="472"/>
      <c r="G20" s="473"/>
      <c r="H20" s="474"/>
      <c r="I20" s="472"/>
      <c r="J20" s="472"/>
      <c r="K20" s="472"/>
      <c r="L20" s="472"/>
      <c r="M20" s="472"/>
      <c r="N20" s="382"/>
      <c r="O20" s="475"/>
      <c r="P20" s="472"/>
      <c r="Q20" s="476"/>
      <c r="R20" s="477"/>
      <c r="S20" s="478"/>
      <c r="T20" s="479"/>
      <c r="U20" s="480"/>
      <c r="V20" s="481"/>
      <c r="W20" s="482"/>
      <c r="X20" s="483"/>
      <c r="Y20" s="484"/>
      <c r="Z20" s="475"/>
      <c r="AA20" s="485">
        <f>'TR-10 (1)'!AA43</f>
        <v>38847.18</v>
      </c>
      <c r="AB20" s="17"/>
    </row>
    <row r="21" spans="1:28" s="5" customFormat="1" ht="16.5" customHeight="1">
      <c r="A21" s="90"/>
      <c r="B21" s="95"/>
      <c r="C21" s="486"/>
      <c r="D21" s="486"/>
      <c r="E21" s="486"/>
      <c r="F21" s="486"/>
      <c r="G21" s="487"/>
      <c r="H21" s="488"/>
      <c r="I21" s="486"/>
      <c r="J21" s="486"/>
      <c r="K21" s="486"/>
      <c r="L21" s="486"/>
      <c r="M21" s="486"/>
      <c r="N21" s="385"/>
      <c r="O21" s="489"/>
      <c r="P21" s="486"/>
      <c r="Q21" s="490"/>
      <c r="R21" s="491"/>
      <c r="S21" s="492"/>
      <c r="T21" s="493"/>
      <c r="U21" s="494"/>
      <c r="V21" s="495"/>
      <c r="W21" s="496"/>
      <c r="X21" s="497"/>
      <c r="Y21" s="498"/>
      <c r="Z21" s="489"/>
      <c r="AA21" s="499"/>
      <c r="AB21" s="17"/>
    </row>
    <row r="22" spans="1:28" s="5" customFormat="1" ht="16.5" customHeight="1">
      <c r="A22" s="90"/>
      <c r="B22" s="95"/>
      <c r="C22" s="354">
        <v>37</v>
      </c>
      <c r="D22" s="348" t="s">
        <v>353</v>
      </c>
      <c r="E22" s="500" t="s">
        <v>343</v>
      </c>
      <c r="F22" s="501">
        <v>300</v>
      </c>
      <c r="G22" s="502" t="s">
        <v>339</v>
      </c>
      <c r="H22" s="503">
        <f aca="true" t="shared" si="0" ref="H22:H41">F22*$F$16</f>
        <v>95.7</v>
      </c>
      <c r="I22" s="355">
        <v>39752.36319444444</v>
      </c>
      <c r="J22" s="355">
        <v>39752.50763888889</v>
      </c>
      <c r="K22" s="504">
        <f aca="true" t="shared" si="1" ref="K22:K41">IF(D22="","",(J22-I22)*24)</f>
        <v>3.466666666790843</v>
      </c>
      <c r="L22" s="14">
        <f aca="true" t="shared" si="2" ref="L22:L41">IF(D22="","",ROUND((J22-I22)*24*60,0))</f>
        <v>208</v>
      </c>
      <c r="M22" s="356" t="s">
        <v>292</v>
      </c>
      <c r="N22" s="432" t="str">
        <f aca="true" t="shared" si="3" ref="N22:N41">IF(D22="","","--")</f>
        <v>--</v>
      </c>
      <c r="O22" s="353" t="str">
        <f aca="true" t="shared" si="4" ref="O22:O41">IF(D22="","",IF(OR(M22="P",M22="RP"),"--","NO"))</f>
        <v>--</v>
      </c>
      <c r="P22" s="352" t="str">
        <f aca="true" t="shared" si="5" ref="P22:P41">IF(D22="","","NO")</f>
        <v>NO</v>
      </c>
      <c r="Q22" s="505">
        <f aca="true" t="shared" si="6" ref="Q22:Q41">$F$17*IF(OR(M22="P",M22="RP"),0.1,1)*IF(P22="SI",1,0.1)</f>
        <v>2</v>
      </c>
      <c r="R22" s="506">
        <f aca="true" t="shared" si="7" ref="R22:R41">IF(M22="P",H22*Q22*ROUND(L22/60,2),"--")</f>
        <v>664.158</v>
      </c>
      <c r="S22" s="507" t="str">
        <f aca="true" t="shared" si="8" ref="S22:S41">IF(M22="RP",H22*Q22*N22/100*ROUND(L22/60,2),"--")</f>
        <v>--</v>
      </c>
      <c r="T22" s="508" t="str">
        <f aca="true" t="shared" si="9" ref="T22:T41">IF(AND(M22="F",O22="NO"),H22*Q22,"--")</f>
        <v>--</v>
      </c>
      <c r="U22" s="509" t="str">
        <f aca="true" t="shared" si="10" ref="U22:U41">IF(M22="F",H22*Q22*ROUND(L22/60,2),"--")</f>
        <v>--</v>
      </c>
      <c r="V22" s="510" t="str">
        <f aca="true" t="shared" si="11" ref="V22:V41">IF(AND(M22="R",O22="NO"),H22*Q22*N22/100,"--")</f>
        <v>--</v>
      </c>
      <c r="W22" s="511" t="str">
        <f aca="true" t="shared" si="12" ref="W22:W41">IF(M22="R",H22*Q22*N22/100*ROUND(L22/60,2),"--")</f>
        <v>--</v>
      </c>
      <c r="X22" s="512" t="str">
        <f aca="true" t="shared" si="13" ref="X22:X41">IF(M22="RF",H22*Q22*ROUND(L22/60,2),"--")</f>
        <v>--</v>
      </c>
      <c r="Y22" s="513" t="str">
        <f aca="true" t="shared" si="14" ref="Y22:Y41">IF(M22="RR",H22*Q22*N22/100*ROUND(L22/60,2),"--")</f>
        <v>--</v>
      </c>
      <c r="Z22" s="514" t="s">
        <v>289</v>
      </c>
      <c r="AA22" s="16">
        <f aca="true" t="shared" si="15" ref="AA22:AA41">IF(D22="","",(SUM(R22:Y22)*IF(Z22="SI",1,2)*IF(AND(N22&lt;&gt;"--",M22="RF"),N22/100,1)))</f>
        <v>664.158</v>
      </c>
      <c r="AB22" s="17"/>
    </row>
    <row r="23" spans="1:28" s="5" customFormat="1" ht="16.5" customHeight="1">
      <c r="A23" s="90"/>
      <c r="B23" s="95"/>
      <c r="C23" s="486"/>
      <c r="D23" s="348"/>
      <c r="E23" s="500"/>
      <c r="F23" s="501"/>
      <c r="G23" s="502"/>
      <c r="H23" s="503">
        <f t="shared" si="0"/>
        <v>0</v>
      </c>
      <c r="I23" s="355"/>
      <c r="J23" s="355"/>
      <c r="K23" s="504">
        <f t="shared" si="1"/>
      </c>
      <c r="L23" s="14">
        <f t="shared" si="2"/>
      </c>
      <c r="M23" s="356"/>
      <c r="N23" s="432">
        <f t="shared" si="3"/>
      </c>
      <c r="O23" s="353">
        <f t="shared" si="4"/>
      </c>
      <c r="P23" s="352">
        <f t="shared" si="5"/>
      </c>
      <c r="Q23" s="505">
        <f t="shared" si="6"/>
        <v>20</v>
      </c>
      <c r="R23" s="506" t="str">
        <f t="shared" si="7"/>
        <v>--</v>
      </c>
      <c r="S23" s="507" t="str">
        <f t="shared" si="8"/>
        <v>--</v>
      </c>
      <c r="T23" s="508" t="str">
        <f t="shared" si="9"/>
        <v>--</v>
      </c>
      <c r="U23" s="509" t="str">
        <f t="shared" si="10"/>
        <v>--</v>
      </c>
      <c r="V23" s="510" t="str">
        <f t="shared" si="11"/>
        <v>--</v>
      </c>
      <c r="W23" s="511" t="str">
        <f t="shared" si="12"/>
        <v>--</v>
      </c>
      <c r="X23" s="512" t="str">
        <f t="shared" si="13"/>
        <v>--</v>
      </c>
      <c r="Y23" s="513" t="str">
        <f t="shared" si="14"/>
        <v>--</v>
      </c>
      <c r="Z23" s="514">
        <f aca="true" t="shared" si="16" ref="Z23:Z41">IF(D23="","","SI")</f>
      </c>
      <c r="AA23" s="16">
        <f t="shared" si="15"/>
      </c>
      <c r="AB23" s="17"/>
    </row>
    <row r="24" spans="1:28" s="5" customFormat="1" ht="16.5" customHeight="1">
      <c r="A24" s="90"/>
      <c r="B24" s="95"/>
      <c r="C24" s="354"/>
      <c r="D24" s="348"/>
      <c r="E24" s="500"/>
      <c r="F24" s="501"/>
      <c r="G24" s="502"/>
      <c r="H24" s="503">
        <f t="shared" si="0"/>
        <v>0</v>
      </c>
      <c r="I24" s="355"/>
      <c r="J24" s="355"/>
      <c r="K24" s="504">
        <f t="shared" si="1"/>
      </c>
      <c r="L24" s="14">
        <f t="shared" si="2"/>
      </c>
      <c r="M24" s="356"/>
      <c r="N24" s="432">
        <f t="shared" si="3"/>
      </c>
      <c r="O24" s="353">
        <f t="shared" si="4"/>
      </c>
      <c r="P24" s="352">
        <f t="shared" si="5"/>
      </c>
      <c r="Q24" s="505">
        <f t="shared" si="6"/>
        <v>20</v>
      </c>
      <c r="R24" s="506" t="str">
        <f t="shared" si="7"/>
        <v>--</v>
      </c>
      <c r="S24" s="507" t="str">
        <f t="shared" si="8"/>
        <v>--</v>
      </c>
      <c r="T24" s="508" t="str">
        <f t="shared" si="9"/>
        <v>--</v>
      </c>
      <c r="U24" s="509" t="str">
        <f t="shared" si="10"/>
        <v>--</v>
      </c>
      <c r="V24" s="510" t="str">
        <f t="shared" si="11"/>
        <v>--</v>
      </c>
      <c r="W24" s="511" t="str">
        <f t="shared" si="12"/>
        <v>--</v>
      </c>
      <c r="X24" s="512" t="str">
        <f t="shared" si="13"/>
        <v>--</v>
      </c>
      <c r="Y24" s="513" t="str">
        <f t="shared" si="14"/>
        <v>--</v>
      </c>
      <c r="Z24" s="514">
        <f t="shared" si="16"/>
      </c>
      <c r="AA24" s="16">
        <f t="shared" si="15"/>
      </c>
      <c r="AB24" s="17"/>
    </row>
    <row r="25" spans="1:28" s="5" customFormat="1" ht="16.5" customHeight="1">
      <c r="A25" s="90"/>
      <c r="B25" s="95"/>
      <c r="C25" s="486"/>
      <c r="D25" s="348"/>
      <c r="E25" s="500"/>
      <c r="F25" s="501"/>
      <c r="G25" s="502"/>
      <c r="H25" s="503">
        <f t="shared" si="0"/>
        <v>0</v>
      </c>
      <c r="I25" s="355"/>
      <c r="J25" s="355"/>
      <c r="K25" s="504">
        <f t="shared" si="1"/>
      </c>
      <c r="L25" s="14">
        <f t="shared" si="2"/>
      </c>
      <c r="M25" s="356"/>
      <c r="N25" s="432">
        <f t="shared" si="3"/>
      </c>
      <c r="O25" s="353">
        <f t="shared" si="4"/>
      </c>
      <c r="P25" s="352">
        <f t="shared" si="5"/>
      </c>
      <c r="Q25" s="505">
        <f t="shared" si="6"/>
        <v>20</v>
      </c>
      <c r="R25" s="506" t="str">
        <f t="shared" si="7"/>
        <v>--</v>
      </c>
      <c r="S25" s="507" t="str">
        <f t="shared" si="8"/>
        <v>--</v>
      </c>
      <c r="T25" s="508" t="str">
        <f t="shared" si="9"/>
        <v>--</v>
      </c>
      <c r="U25" s="509" t="str">
        <f t="shared" si="10"/>
        <v>--</v>
      </c>
      <c r="V25" s="510" t="str">
        <f t="shared" si="11"/>
        <v>--</v>
      </c>
      <c r="W25" s="511" t="str">
        <f t="shared" si="12"/>
        <v>--</v>
      </c>
      <c r="X25" s="512" t="str">
        <f t="shared" si="13"/>
        <v>--</v>
      </c>
      <c r="Y25" s="513" t="str">
        <f t="shared" si="14"/>
        <v>--</v>
      </c>
      <c r="Z25" s="514">
        <f t="shared" si="16"/>
      </c>
      <c r="AA25" s="16">
        <f t="shared" si="15"/>
      </c>
      <c r="AB25" s="17"/>
    </row>
    <row r="26" spans="1:28" s="5" customFormat="1" ht="16.5" customHeight="1">
      <c r="A26" s="90"/>
      <c r="B26" s="95"/>
      <c r="C26" s="354"/>
      <c r="D26" s="348"/>
      <c r="E26" s="500"/>
      <c r="F26" s="501"/>
      <c r="G26" s="502"/>
      <c r="H26" s="503">
        <f t="shared" si="0"/>
        <v>0</v>
      </c>
      <c r="I26" s="355"/>
      <c r="J26" s="355"/>
      <c r="K26" s="504">
        <f t="shared" si="1"/>
      </c>
      <c r="L26" s="14">
        <f t="shared" si="2"/>
      </c>
      <c r="M26" s="356"/>
      <c r="N26" s="432">
        <f t="shared" si="3"/>
      </c>
      <c r="O26" s="353">
        <f t="shared" si="4"/>
      </c>
      <c r="P26" s="352">
        <f t="shared" si="5"/>
      </c>
      <c r="Q26" s="505">
        <f t="shared" si="6"/>
        <v>20</v>
      </c>
      <c r="R26" s="506" t="str">
        <f t="shared" si="7"/>
        <v>--</v>
      </c>
      <c r="S26" s="507" t="str">
        <f t="shared" si="8"/>
        <v>--</v>
      </c>
      <c r="T26" s="508" t="str">
        <f t="shared" si="9"/>
        <v>--</v>
      </c>
      <c r="U26" s="509" t="str">
        <f t="shared" si="10"/>
        <v>--</v>
      </c>
      <c r="V26" s="510" t="str">
        <f t="shared" si="11"/>
        <v>--</v>
      </c>
      <c r="W26" s="511" t="str">
        <f t="shared" si="12"/>
        <v>--</v>
      </c>
      <c r="X26" s="512" t="str">
        <f t="shared" si="13"/>
        <v>--</v>
      </c>
      <c r="Y26" s="513" t="str">
        <f t="shared" si="14"/>
        <v>--</v>
      </c>
      <c r="Z26" s="514">
        <f t="shared" si="16"/>
      </c>
      <c r="AA26" s="16">
        <f t="shared" si="15"/>
      </c>
      <c r="AB26" s="17"/>
    </row>
    <row r="27" spans="1:28" s="5" customFormat="1" ht="16.5" customHeight="1">
      <c r="A27" s="90"/>
      <c r="B27" s="95"/>
      <c r="C27" s="486"/>
      <c r="D27" s="348"/>
      <c r="E27" s="500"/>
      <c r="F27" s="501"/>
      <c r="G27" s="502"/>
      <c r="H27" s="503">
        <f t="shared" si="0"/>
        <v>0</v>
      </c>
      <c r="I27" s="355"/>
      <c r="J27" s="355"/>
      <c r="K27" s="504">
        <f t="shared" si="1"/>
      </c>
      <c r="L27" s="14">
        <f t="shared" si="2"/>
      </c>
      <c r="M27" s="356"/>
      <c r="N27" s="432">
        <f t="shared" si="3"/>
      </c>
      <c r="O27" s="353">
        <f t="shared" si="4"/>
      </c>
      <c r="P27" s="352">
        <f t="shared" si="5"/>
      </c>
      <c r="Q27" s="505">
        <f t="shared" si="6"/>
        <v>20</v>
      </c>
      <c r="R27" s="506" t="str">
        <f t="shared" si="7"/>
        <v>--</v>
      </c>
      <c r="S27" s="507" t="str">
        <f t="shared" si="8"/>
        <v>--</v>
      </c>
      <c r="T27" s="508" t="str">
        <f t="shared" si="9"/>
        <v>--</v>
      </c>
      <c r="U27" s="509" t="str">
        <f t="shared" si="10"/>
        <v>--</v>
      </c>
      <c r="V27" s="510" t="str">
        <f t="shared" si="11"/>
        <v>--</v>
      </c>
      <c r="W27" s="511" t="str">
        <f t="shared" si="12"/>
        <v>--</v>
      </c>
      <c r="X27" s="512" t="str">
        <f t="shared" si="13"/>
        <v>--</v>
      </c>
      <c r="Y27" s="513" t="str">
        <f t="shared" si="14"/>
        <v>--</v>
      </c>
      <c r="Z27" s="514">
        <f t="shared" si="16"/>
      </c>
      <c r="AA27" s="16">
        <f t="shared" si="15"/>
      </c>
      <c r="AB27" s="17"/>
    </row>
    <row r="28" spans="1:29" s="5" customFormat="1" ht="16.5" customHeight="1">
      <c r="A28" s="90"/>
      <c r="B28" s="95"/>
      <c r="C28" s="354"/>
      <c r="D28" s="348"/>
      <c r="E28" s="500"/>
      <c r="F28" s="501"/>
      <c r="G28" s="502"/>
      <c r="H28" s="503">
        <f t="shared" si="0"/>
        <v>0</v>
      </c>
      <c r="I28" s="355"/>
      <c r="J28" s="355"/>
      <c r="K28" s="504">
        <f t="shared" si="1"/>
      </c>
      <c r="L28" s="14">
        <f t="shared" si="2"/>
      </c>
      <c r="M28" s="356"/>
      <c r="N28" s="432">
        <f t="shared" si="3"/>
      </c>
      <c r="O28" s="353">
        <f t="shared" si="4"/>
      </c>
      <c r="P28" s="352">
        <f t="shared" si="5"/>
      </c>
      <c r="Q28" s="505">
        <f t="shared" si="6"/>
        <v>20</v>
      </c>
      <c r="R28" s="506" t="str">
        <f t="shared" si="7"/>
        <v>--</v>
      </c>
      <c r="S28" s="507" t="str">
        <f t="shared" si="8"/>
        <v>--</v>
      </c>
      <c r="T28" s="508" t="str">
        <f t="shared" si="9"/>
        <v>--</v>
      </c>
      <c r="U28" s="509" t="str">
        <f t="shared" si="10"/>
        <v>--</v>
      </c>
      <c r="V28" s="510" t="str">
        <f t="shared" si="11"/>
        <v>--</v>
      </c>
      <c r="W28" s="511" t="str">
        <f t="shared" si="12"/>
        <v>--</v>
      </c>
      <c r="X28" s="512" t="str">
        <f t="shared" si="13"/>
        <v>--</v>
      </c>
      <c r="Y28" s="513" t="str">
        <f t="shared" si="14"/>
        <v>--</v>
      </c>
      <c r="Z28" s="514">
        <f t="shared" si="16"/>
      </c>
      <c r="AA28" s="16">
        <f t="shared" si="15"/>
      </c>
      <c r="AB28" s="17"/>
      <c r="AC28" s="15"/>
    </row>
    <row r="29" spans="1:28" s="5" customFormat="1" ht="16.5" customHeight="1">
      <c r="A29" s="90"/>
      <c r="B29" s="95"/>
      <c r="C29" s="486"/>
      <c r="D29" s="348"/>
      <c r="E29" s="500"/>
      <c r="F29" s="501"/>
      <c r="G29" s="502"/>
      <c r="H29" s="503">
        <f t="shared" si="0"/>
        <v>0</v>
      </c>
      <c r="I29" s="355"/>
      <c r="J29" s="355"/>
      <c r="K29" s="504">
        <f t="shared" si="1"/>
      </c>
      <c r="L29" s="14">
        <f t="shared" si="2"/>
      </c>
      <c r="M29" s="356"/>
      <c r="N29" s="432">
        <f t="shared" si="3"/>
      </c>
      <c r="O29" s="353">
        <f t="shared" si="4"/>
      </c>
      <c r="P29" s="352">
        <f t="shared" si="5"/>
      </c>
      <c r="Q29" s="505">
        <f t="shared" si="6"/>
        <v>20</v>
      </c>
      <c r="R29" s="506" t="str">
        <f t="shared" si="7"/>
        <v>--</v>
      </c>
      <c r="S29" s="507" t="str">
        <f t="shared" si="8"/>
        <v>--</v>
      </c>
      <c r="T29" s="508" t="str">
        <f t="shared" si="9"/>
        <v>--</v>
      </c>
      <c r="U29" s="509" t="str">
        <f t="shared" si="10"/>
        <v>--</v>
      </c>
      <c r="V29" s="510" t="str">
        <f t="shared" si="11"/>
        <v>--</v>
      </c>
      <c r="W29" s="511" t="str">
        <f t="shared" si="12"/>
        <v>--</v>
      </c>
      <c r="X29" s="512" t="str">
        <f t="shared" si="13"/>
        <v>--</v>
      </c>
      <c r="Y29" s="513" t="str">
        <f t="shared" si="14"/>
        <v>--</v>
      </c>
      <c r="Z29" s="514">
        <f t="shared" si="16"/>
      </c>
      <c r="AA29" s="16">
        <f t="shared" si="15"/>
      </c>
      <c r="AB29" s="17"/>
    </row>
    <row r="30" spans="1:28" s="5" customFormat="1" ht="16.5" customHeight="1">
      <c r="A30" s="90"/>
      <c r="B30" s="95"/>
      <c r="C30" s="354"/>
      <c r="D30" s="348"/>
      <c r="E30" s="500"/>
      <c r="F30" s="501"/>
      <c r="G30" s="502"/>
      <c r="H30" s="503">
        <f t="shared" si="0"/>
        <v>0</v>
      </c>
      <c r="I30" s="355"/>
      <c r="J30" s="355"/>
      <c r="K30" s="504">
        <f t="shared" si="1"/>
      </c>
      <c r="L30" s="14">
        <f t="shared" si="2"/>
      </c>
      <c r="M30" s="356"/>
      <c r="N30" s="432">
        <f t="shared" si="3"/>
      </c>
      <c r="O30" s="353">
        <f t="shared" si="4"/>
      </c>
      <c r="P30" s="352">
        <f t="shared" si="5"/>
      </c>
      <c r="Q30" s="505">
        <f t="shared" si="6"/>
        <v>20</v>
      </c>
      <c r="R30" s="506" t="str">
        <f t="shared" si="7"/>
        <v>--</v>
      </c>
      <c r="S30" s="507" t="str">
        <f t="shared" si="8"/>
        <v>--</v>
      </c>
      <c r="T30" s="508" t="str">
        <f t="shared" si="9"/>
        <v>--</v>
      </c>
      <c r="U30" s="509" t="str">
        <f t="shared" si="10"/>
        <v>--</v>
      </c>
      <c r="V30" s="510" t="str">
        <f t="shared" si="11"/>
        <v>--</v>
      </c>
      <c r="W30" s="511" t="str">
        <f t="shared" si="12"/>
        <v>--</v>
      </c>
      <c r="X30" s="512" t="str">
        <f t="shared" si="13"/>
        <v>--</v>
      </c>
      <c r="Y30" s="513" t="str">
        <f t="shared" si="14"/>
        <v>--</v>
      </c>
      <c r="Z30" s="514">
        <f t="shared" si="16"/>
      </c>
      <c r="AA30" s="16">
        <f t="shared" si="15"/>
      </c>
      <c r="AB30" s="17"/>
    </row>
    <row r="31" spans="1:28" s="5" customFormat="1" ht="16.5" customHeight="1">
      <c r="A31" s="90"/>
      <c r="B31" s="95"/>
      <c r="C31" s="486"/>
      <c r="D31" s="348"/>
      <c r="E31" s="500"/>
      <c r="F31" s="501"/>
      <c r="G31" s="502"/>
      <c r="H31" s="503">
        <f t="shared" si="0"/>
        <v>0</v>
      </c>
      <c r="I31" s="355"/>
      <c r="J31" s="355"/>
      <c r="K31" s="504">
        <f t="shared" si="1"/>
      </c>
      <c r="L31" s="14">
        <f t="shared" si="2"/>
      </c>
      <c r="M31" s="356"/>
      <c r="N31" s="432">
        <f t="shared" si="3"/>
      </c>
      <c r="O31" s="353">
        <f t="shared" si="4"/>
      </c>
      <c r="P31" s="352">
        <f t="shared" si="5"/>
      </c>
      <c r="Q31" s="505">
        <f t="shared" si="6"/>
        <v>20</v>
      </c>
      <c r="R31" s="506" t="str">
        <f t="shared" si="7"/>
        <v>--</v>
      </c>
      <c r="S31" s="507" t="str">
        <f t="shared" si="8"/>
        <v>--</v>
      </c>
      <c r="T31" s="508" t="str">
        <f t="shared" si="9"/>
        <v>--</v>
      </c>
      <c r="U31" s="509" t="str">
        <f t="shared" si="10"/>
        <v>--</v>
      </c>
      <c r="V31" s="510" t="str">
        <f t="shared" si="11"/>
        <v>--</v>
      </c>
      <c r="W31" s="511" t="str">
        <f t="shared" si="12"/>
        <v>--</v>
      </c>
      <c r="X31" s="512" t="str">
        <f t="shared" si="13"/>
        <v>--</v>
      </c>
      <c r="Y31" s="513" t="str">
        <f t="shared" si="14"/>
        <v>--</v>
      </c>
      <c r="Z31" s="514">
        <f t="shared" si="16"/>
      </c>
      <c r="AA31" s="16">
        <f t="shared" si="15"/>
      </c>
      <c r="AB31" s="17"/>
    </row>
    <row r="32" spans="1:28" s="5" customFormat="1" ht="16.5" customHeight="1">
      <c r="A32" s="90"/>
      <c r="B32" s="95"/>
      <c r="C32" s="354"/>
      <c r="D32" s="348"/>
      <c r="E32" s="516"/>
      <c r="F32" s="501"/>
      <c r="G32" s="502"/>
      <c r="H32" s="503">
        <f t="shared" si="0"/>
        <v>0</v>
      </c>
      <c r="I32" s="355"/>
      <c r="J32" s="355"/>
      <c r="K32" s="504">
        <f t="shared" si="1"/>
      </c>
      <c r="L32" s="14">
        <f t="shared" si="2"/>
      </c>
      <c r="M32" s="356"/>
      <c r="N32" s="432">
        <f t="shared" si="3"/>
      </c>
      <c r="O32" s="353">
        <f t="shared" si="4"/>
      </c>
      <c r="P32" s="352">
        <f t="shared" si="5"/>
      </c>
      <c r="Q32" s="505">
        <f t="shared" si="6"/>
        <v>20</v>
      </c>
      <c r="R32" s="506" t="str">
        <f t="shared" si="7"/>
        <v>--</v>
      </c>
      <c r="S32" s="507" t="str">
        <f t="shared" si="8"/>
        <v>--</v>
      </c>
      <c r="T32" s="508" t="str">
        <f t="shared" si="9"/>
        <v>--</v>
      </c>
      <c r="U32" s="509" t="str">
        <f t="shared" si="10"/>
        <v>--</v>
      </c>
      <c r="V32" s="510" t="str">
        <f t="shared" si="11"/>
        <v>--</v>
      </c>
      <c r="W32" s="511" t="str">
        <f t="shared" si="12"/>
        <v>--</v>
      </c>
      <c r="X32" s="512" t="str">
        <f t="shared" si="13"/>
        <v>--</v>
      </c>
      <c r="Y32" s="513" t="str">
        <f t="shared" si="14"/>
        <v>--</v>
      </c>
      <c r="Z32" s="514">
        <f t="shared" si="16"/>
      </c>
      <c r="AA32" s="16">
        <f t="shared" si="15"/>
      </c>
      <c r="AB32" s="17"/>
    </row>
    <row r="33" spans="1:28" s="5" customFormat="1" ht="16.5" customHeight="1">
      <c r="A33" s="90"/>
      <c r="B33" s="95"/>
      <c r="C33" s="486"/>
      <c r="D33" s="348"/>
      <c r="E33" s="516"/>
      <c r="F33" s="501"/>
      <c r="G33" s="502"/>
      <c r="H33" s="503">
        <f t="shared" si="0"/>
        <v>0</v>
      </c>
      <c r="I33" s="355"/>
      <c r="J33" s="355"/>
      <c r="K33" s="504">
        <f t="shared" si="1"/>
      </c>
      <c r="L33" s="14">
        <f t="shared" si="2"/>
      </c>
      <c r="M33" s="356"/>
      <c r="N33" s="432">
        <f t="shared" si="3"/>
      </c>
      <c r="O33" s="353">
        <f t="shared" si="4"/>
      </c>
      <c r="P33" s="352">
        <f t="shared" si="5"/>
      </c>
      <c r="Q33" s="505">
        <f t="shared" si="6"/>
        <v>20</v>
      </c>
      <c r="R33" s="506" t="str">
        <f t="shared" si="7"/>
        <v>--</v>
      </c>
      <c r="S33" s="507" t="str">
        <f t="shared" si="8"/>
        <v>--</v>
      </c>
      <c r="T33" s="508" t="str">
        <f t="shared" si="9"/>
        <v>--</v>
      </c>
      <c r="U33" s="509" t="str">
        <f t="shared" si="10"/>
        <v>--</v>
      </c>
      <c r="V33" s="510" t="str">
        <f t="shared" si="11"/>
        <v>--</v>
      </c>
      <c r="W33" s="511" t="str">
        <f t="shared" si="12"/>
        <v>--</v>
      </c>
      <c r="X33" s="512" t="str">
        <f t="shared" si="13"/>
        <v>--</v>
      </c>
      <c r="Y33" s="513" t="str">
        <f t="shared" si="14"/>
        <v>--</v>
      </c>
      <c r="Z33" s="514">
        <f t="shared" si="16"/>
      </c>
      <c r="AA33" s="16">
        <f t="shared" si="15"/>
      </c>
      <c r="AB33" s="17"/>
    </row>
    <row r="34" spans="1:28" s="5" customFormat="1" ht="16.5" customHeight="1">
      <c r="A34" s="90"/>
      <c r="B34" s="95"/>
      <c r="C34" s="354"/>
      <c r="D34" s="348"/>
      <c r="E34" s="516"/>
      <c r="F34" s="501"/>
      <c r="G34" s="502"/>
      <c r="H34" s="503">
        <f t="shared" si="0"/>
        <v>0</v>
      </c>
      <c r="I34" s="355"/>
      <c r="J34" s="355"/>
      <c r="K34" s="504">
        <f t="shared" si="1"/>
      </c>
      <c r="L34" s="14">
        <f t="shared" si="2"/>
      </c>
      <c r="M34" s="356"/>
      <c r="N34" s="432">
        <f t="shared" si="3"/>
      </c>
      <c r="O34" s="353">
        <f t="shared" si="4"/>
      </c>
      <c r="P34" s="352">
        <f t="shared" si="5"/>
      </c>
      <c r="Q34" s="505">
        <f t="shared" si="6"/>
        <v>20</v>
      </c>
      <c r="R34" s="506" t="str">
        <f t="shared" si="7"/>
        <v>--</v>
      </c>
      <c r="S34" s="507" t="str">
        <f t="shared" si="8"/>
        <v>--</v>
      </c>
      <c r="T34" s="508" t="str">
        <f t="shared" si="9"/>
        <v>--</v>
      </c>
      <c r="U34" s="509" t="str">
        <f t="shared" si="10"/>
        <v>--</v>
      </c>
      <c r="V34" s="510" t="str">
        <f t="shared" si="11"/>
        <v>--</v>
      </c>
      <c r="W34" s="511" t="str">
        <f t="shared" si="12"/>
        <v>--</v>
      </c>
      <c r="X34" s="512" t="str">
        <f t="shared" si="13"/>
        <v>--</v>
      </c>
      <c r="Y34" s="513" t="str">
        <f t="shared" si="14"/>
        <v>--</v>
      </c>
      <c r="Z34" s="514">
        <f t="shared" si="16"/>
      </c>
      <c r="AA34" s="16">
        <f t="shared" si="15"/>
      </c>
      <c r="AB34" s="17"/>
    </row>
    <row r="35" spans="1:28" s="5" customFormat="1" ht="16.5" customHeight="1">
      <c r="A35" s="90"/>
      <c r="B35" s="95"/>
      <c r="C35" s="486"/>
      <c r="D35" s="348"/>
      <c r="E35" s="516"/>
      <c r="F35" s="501"/>
      <c r="G35" s="502"/>
      <c r="H35" s="503">
        <f t="shared" si="0"/>
        <v>0</v>
      </c>
      <c r="I35" s="355"/>
      <c r="J35" s="355"/>
      <c r="K35" s="504">
        <f t="shared" si="1"/>
      </c>
      <c r="L35" s="14">
        <f t="shared" si="2"/>
      </c>
      <c r="M35" s="356"/>
      <c r="N35" s="432">
        <f t="shared" si="3"/>
      </c>
      <c r="O35" s="353">
        <f t="shared" si="4"/>
      </c>
      <c r="P35" s="352">
        <f t="shared" si="5"/>
      </c>
      <c r="Q35" s="505">
        <f t="shared" si="6"/>
        <v>20</v>
      </c>
      <c r="R35" s="506" t="str">
        <f t="shared" si="7"/>
        <v>--</v>
      </c>
      <c r="S35" s="507" t="str">
        <f t="shared" si="8"/>
        <v>--</v>
      </c>
      <c r="T35" s="508" t="str">
        <f t="shared" si="9"/>
        <v>--</v>
      </c>
      <c r="U35" s="509" t="str">
        <f t="shared" si="10"/>
        <v>--</v>
      </c>
      <c r="V35" s="510" t="str">
        <f t="shared" si="11"/>
        <v>--</v>
      </c>
      <c r="W35" s="511" t="str">
        <f t="shared" si="12"/>
        <v>--</v>
      </c>
      <c r="X35" s="512" t="str">
        <f t="shared" si="13"/>
        <v>--</v>
      </c>
      <c r="Y35" s="513" t="str">
        <f t="shared" si="14"/>
        <v>--</v>
      </c>
      <c r="Z35" s="514">
        <f t="shared" si="16"/>
      </c>
      <c r="AA35" s="16">
        <f t="shared" si="15"/>
      </c>
      <c r="AB35" s="17"/>
    </row>
    <row r="36" spans="1:28" s="5" customFormat="1" ht="16.5" customHeight="1">
      <c r="A36" s="90"/>
      <c r="B36" s="95"/>
      <c r="C36" s="354"/>
      <c r="D36" s="348"/>
      <c r="E36" s="516"/>
      <c r="F36" s="501"/>
      <c r="G36" s="502"/>
      <c r="H36" s="503">
        <f t="shared" si="0"/>
        <v>0</v>
      </c>
      <c r="I36" s="355"/>
      <c r="J36" s="355"/>
      <c r="K36" s="504">
        <f t="shared" si="1"/>
      </c>
      <c r="L36" s="14">
        <f t="shared" si="2"/>
      </c>
      <c r="M36" s="356"/>
      <c r="N36" s="432">
        <f t="shared" si="3"/>
      </c>
      <c r="O36" s="353">
        <f t="shared" si="4"/>
      </c>
      <c r="P36" s="352">
        <f t="shared" si="5"/>
      </c>
      <c r="Q36" s="505">
        <f t="shared" si="6"/>
        <v>20</v>
      </c>
      <c r="R36" s="506" t="str">
        <f t="shared" si="7"/>
        <v>--</v>
      </c>
      <c r="S36" s="507" t="str">
        <f t="shared" si="8"/>
        <v>--</v>
      </c>
      <c r="T36" s="508" t="str">
        <f t="shared" si="9"/>
        <v>--</v>
      </c>
      <c r="U36" s="509" t="str">
        <f t="shared" si="10"/>
        <v>--</v>
      </c>
      <c r="V36" s="510" t="str">
        <f t="shared" si="11"/>
        <v>--</v>
      </c>
      <c r="W36" s="511" t="str">
        <f t="shared" si="12"/>
        <v>--</v>
      </c>
      <c r="X36" s="512" t="str">
        <f t="shared" si="13"/>
        <v>--</v>
      </c>
      <c r="Y36" s="513" t="str">
        <f t="shared" si="14"/>
        <v>--</v>
      </c>
      <c r="Z36" s="514">
        <f t="shared" si="16"/>
      </c>
      <c r="AA36" s="16">
        <f t="shared" si="15"/>
      </c>
      <c r="AB36" s="17"/>
    </row>
    <row r="37" spans="1:28" s="5" customFormat="1" ht="16.5" customHeight="1">
      <c r="A37" s="90"/>
      <c r="B37" s="95"/>
      <c r="C37" s="486"/>
      <c r="D37" s="348"/>
      <c r="E37" s="516"/>
      <c r="F37" s="501"/>
      <c r="G37" s="502"/>
      <c r="H37" s="503">
        <f t="shared" si="0"/>
        <v>0</v>
      </c>
      <c r="I37" s="355"/>
      <c r="J37" s="355"/>
      <c r="K37" s="504">
        <f t="shared" si="1"/>
      </c>
      <c r="L37" s="14">
        <f t="shared" si="2"/>
      </c>
      <c r="M37" s="356"/>
      <c r="N37" s="432">
        <f t="shared" si="3"/>
      </c>
      <c r="O37" s="353">
        <f t="shared" si="4"/>
      </c>
      <c r="P37" s="352">
        <f t="shared" si="5"/>
      </c>
      <c r="Q37" s="505">
        <f t="shared" si="6"/>
        <v>20</v>
      </c>
      <c r="R37" s="506" t="str">
        <f t="shared" si="7"/>
        <v>--</v>
      </c>
      <c r="S37" s="507" t="str">
        <f t="shared" si="8"/>
        <v>--</v>
      </c>
      <c r="T37" s="508" t="str">
        <f t="shared" si="9"/>
        <v>--</v>
      </c>
      <c r="U37" s="509" t="str">
        <f t="shared" si="10"/>
        <v>--</v>
      </c>
      <c r="V37" s="510" t="str">
        <f t="shared" si="11"/>
        <v>--</v>
      </c>
      <c r="W37" s="511" t="str">
        <f t="shared" si="12"/>
        <v>--</v>
      </c>
      <c r="X37" s="512" t="str">
        <f t="shared" si="13"/>
        <v>--</v>
      </c>
      <c r="Y37" s="513" t="str">
        <f t="shared" si="14"/>
        <v>--</v>
      </c>
      <c r="Z37" s="514">
        <f t="shared" si="16"/>
      </c>
      <c r="AA37" s="16">
        <f t="shared" si="15"/>
      </c>
      <c r="AB37" s="17"/>
    </row>
    <row r="38" spans="1:28" s="5" customFormat="1" ht="16.5" customHeight="1">
      <c r="A38" s="90"/>
      <c r="B38" s="95"/>
      <c r="C38" s="354"/>
      <c r="D38" s="348"/>
      <c r="E38" s="516"/>
      <c r="F38" s="501"/>
      <c r="G38" s="502"/>
      <c r="H38" s="503">
        <f t="shared" si="0"/>
        <v>0</v>
      </c>
      <c r="I38" s="355"/>
      <c r="J38" s="355"/>
      <c r="K38" s="504">
        <f t="shared" si="1"/>
      </c>
      <c r="L38" s="14">
        <f t="shared" si="2"/>
      </c>
      <c r="M38" s="356"/>
      <c r="N38" s="432">
        <f t="shared" si="3"/>
      </c>
      <c r="O38" s="353">
        <f t="shared" si="4"/>
      </c>
      <c r="P38" s="352">
        <f t="shared" si="5"/>
      </c>
      <c r="Q38" s="505">
        <f t="shared" si="6"/>
        <v>20</v>
      </c>
      <c r="R38" s="506" t="str">
        <f t="shared" si="7"/>
        <v>--</v>
      </c>
      <c r="S38" s="507" t="str">
        <f t="shared" si="8"/>
        <v>--</v>
      </c>
      <c r="T38" s="508" t="str">
        <f t="shared" si="9"/>
        <v>--</v>
      </c>
      <c r="U38" s="509" t="str">
        <f t="shared" si="10"/>
        <v>--</v>
      </c>
      <c r="V38" s="510" t="str">
        <f t="shared" si="11"/>
        <v>--</v>
      </c>
      <c r="W38" s="511" t="str">
        <f t="shared" si="12"/>
        <v>--</v>
      </c>
      <c r="X38" s="512" t="str">
        <f t="shared" si="13"/>
        <v>--</v>
      </c>
      <c r="Y38" s="513" t="str">
        <f t="shared" si="14"/>
        <v>--</v>
      </c>
      <c r="Z38" s="514">
        <f t="shared" si="16"/>
      </c>
      <c r="AA38" s="16">
        <f t="shared" si="15"/>
      </c>
      <c r="AB38" s="17"/>
    </row>
    <row r="39" spans="1:28" s="5" customFormat="1" ht="16.5" customHeight="1">
      <c r="A39" s="90"/>
      <c r="B39" s="95"/>
      <c r="C39" s="486"/>
      <c r="D39" s="348"/>
      <c r="E39" s="516"/>
      <c r="F39" s="501"/>
      <c r="G39" s="502"/>
      <c r="H39" s="503">
        <f t="shared" si="0"/>
        <v>0</v>
      </c>
      <c r="I39" s="355"/>
      <c r="J39" s="355"/>
      <c r="K39" s="504">
        <f t="shared" si="1"/>
      </c>
      <c r="L39" s="14">
        <f t="shared" si="2"/>
      </c>
      <c r="M39" s="356"/>
      <c r="N39" s="432">
        <f t="shared" si="3"/>
      </c>
      <c r="O39" s="353">
        <f t="shared" si="4"/>
      </c>
      <c r="P39" s="352">
        <f t="shared" si="5"/>
      </c>
      <c r="Q39" s="505">
        <f t="shared" si="6"/>
        <v>20</v>
      </c>
      <c r="R39" s="506" t="str">
        <f t="shared" si="7"/>
        <v>--</v>
      </c>
      <c r="S39" s="507" t="str">
        <f t="shared" si="8"/>
        <v>--</v>
      </c>
      <c r="T39" s="508" t="str">
        <f t="shared" si="9"/>
        <v>--</v>
      </c>
      <c r="U39" s="509" t="str">
        <f t="shared" si="10"/>
        <v>--</v>
      </c>
      <c r="V39" s="510" t="str">
        <f t="shared" si="11"/>
        <v>--</v>
      </c>
      <c r="W39" s="511" t="str">
        <f t="shared" si="12"/>
        <v>--</v>
      </c>
      <c r="X39" s="512" t="str">
        <f t="shared" si="13"/>
        <v>--</v>
      </c>
      <c r="Y39" s="513" t="str">
        <f t="shared" si="14"/>
        <v>--</v>
      </c>
      <c r="Z39" s="514">
        <f t="shared" si="16"/>
      </c>
      <c r="AA39" s="16">
        <f t="shared" si="15"/>
      </c>
      <c r="AB39" s="17"/>
    </row>
    <row r="40" spans="1:28" s="5" customFormat="1" ht="16.5" customHeight="1">
      <c r="A40" s="90"/>
      <c r="B40" s="95"/>
      <c r="C40" s="354"/>
      <c r="D40" s="348"/>
      <c r="E40" s="516"/>
      <c r="F40" s="501"/>
      <c r="G40" s="502"/>
      <c r="H40" s="503">
        <f t="shared" si="0"/>
        <v>0</v>
      </c>
      <c r="I40" s="355"/>
      <c r="J40" s="355"/>
      <c r="K40" s="504">
        <f t="shared" si="1"/>
      </c>
      <c r="L40" s="14">
        <f t="shared" si="2"/>
      </c>
      <c r="M40" s="356"/>
      <c r="N40" s="432">
        <f t="shared" si="3"/>
      </c>
      <c r="O40" s="353">
        <f t="shared" si="4"/>
      </c>
      <c r="P40" s="352">
        <f t="shared" si="5"/>
      </c>
      <c r="Q40" s="505">
        <f t="shared" si="6"/>
        <v>20</v>
      </c>
      <c r="R40" s="506" t="str">
        <f t="shared" si="7"/>
        <v>--</v>
      </c>
      <c r="S40" s="507" t="str">
        <f t="shared" si="8"/>
        <v>--</v>
      </c>
      <c r="T40" s="508" t="str">
        <f t="shared" si="9"/>
        <v>--</v>
      </c>
      <c r="U40" s="509" t="str">
        <f t="shared" si="10"/>
        <v>--</v>
      </c>
      <c r="V40" s="510" t="str">
        <f t="shared" si="11"/>
        <v>--</v>
      </c>
      <c r="W40" s="511" t="str">
        <f t="shared" si="12"/>
        <v>--</v>
      </c>
      <c r="X40" s="512" t="str">
        <f t="shared" si="13"/>
        <v>--</v>
      </c>
      <c r="Y40" s="513" t="str">
        <f t="shared" si="14"/>
        <v>--</v>
      </c>
      <c r="Z40" s="514">
        <f t="shared" si="16"/>
      </c>
      <c r="AA40" s="16">
        <f t="shared" si="15"/>
      </c>
      <c r="AB40" s="17"/>
    </row>
    <row r="41" spans="1:28" s="5" customFormat="1" ht="16.5" customHeight="1">
      <c r="A41" s="90"/>
      <c r="B41" s="95"/>
      <c r="C41" s="486"/>
      <c r="D41" s="348"/>
      <c r="E41" s="516"/>
      <c r="F41" s="501"/>
      <c r="G41" s="502"/>
      <c r="H41" s="503">
        <f t="shared" si="0"/>
        <v>0</v>
      </c>
      <c r="I41" s="355"/>
      <c r="J41" s="355"/>
      <c r="K41" s="504">
        <f t="shared" si="1"/>
      </c>
      <c r="L41" s="14">
        <f t="shared" si="2"/>
      </c>
      <c r="M41" s="356"/>
      <c r="N41" s="432">
        <f t="shared" si="3"/>
      </c>
      <c r="O41" s="353">
        <f t="shared" si="4"/>
      </c>
      <c r="P41" s="352">
        <f t="shared" si="5"/>
      </c>
      <c r="Q41" s="505">
        <f t="shared" si="6"/>
        <v>20</v>
      </c>
      <c r="R41" s="506" t="str">
        <f t="shared" si="7"/>
        <v>--</v>
      </c>
      <c r="S41" s="507" t="str">
        <f t="shared" si="8"/>
        <v>--</v>
      </c>
      <c r="T41" s="508" t="str">
        <f t="shared" si="9"/>
        <v>--</v>
      </c>
      <c r="U41" s="509" t="str">
        <f t="shared" si="10"/>
        <v>--</v>
      </c>
      <c r="V41" s="510" t="str">
        <f t="shared" si="11"/>
        <v>--</v>
      </c>
      <c r="W41" s="511" t="str">
        <f t="shared" si="12"/>
        <v>--</v>
      </c>
      <c r="X41" s="512" t="str">
        <f t="shared" si="13"/>
        <v>--</v>
      </c>
      <c r="Y41" s="513" t="str">
        <f t="shared" si="14"/>
        <v>--</v>
      </c>
      <c r="Z41" s="514">
        <f t="shared" si="16"/>
      </c>
      <c r="AA41" s="16">
        <f t="shared" si="15"/>
      </c>
      <c r="AB41" s="17"/>
    </row>
    <row r="42" spans="1:28" s="5" customFormat="1" ht="16.5" customHeight="1" thickBot="1">
      <c r="A42" s="90"/>
      <c r="B42" s="95"/>
      <c r="C42" s="354"/>
      <c r="D42" s="517"/>
      <c r="E42" s="518"/>
      <c r="F42" s="517"/>
      <c r="G42" s="519"/>
      <c r="H42" s="132"/>
      <c r="I42" s="357"/>
      <c r="J42" s="520"/>
      <c r="K42" s="521"/>
      <c r="L42" s="522"/>
      <c r="M42" s="362"/>
      <c r="N42" s="394"/>
      <c r="O42" s="360"/>
      <c r="P42" s="362"/>
      <c r="Q42" s="523"/>
      <c r="R42" s="524"/>
      <c r="S42" s="525"/>
      <c r="T42" s="526"/>
      <c r="U42" s="527"/>
      <c r="V42" s="528"/>
      <c r="W42" s="529"/>
      <c r="X42" s="530"/>
      <c r="Y42" s="531"/>
      <c r="Z42" s="532"/>
      <c r="AA42" s="533"/>
      <c r="AB42" s="17"/>
    </row>
    <row r="43" spans="1:28" s="5" customFormat="1" ht="16.5" customHeight="1" thickBot="1" thickTop="1">
      <c r="A43" s="90"/>
      <c r="B43" s="95"/>
      <c r="C43" s="128" t="s">
        <v>26</v>
      </c>
      <c r="D43" s="129" t="s">
        <v>407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534">
        <f aca="true" t="shared" si="17" ref="R43:Y43">SUM(R20:R42)</f>
        <v>664.158</v>
      </c>
      <c r="S43" s="535">
        <f t="shared" si="17"/>
        <v>0</v>
      </c>
      <c r="T43" s="536">
        <f t="shared" si="17"/>
        <v>0</v>
      </c>
      <c r="U43" s="537">
        <f t="shared" si="17"/>
        <v>0</v>
      </c>
      <c r="V43" s="538">
        <f t="shared" si="17"/>
        <v>0</v>
      </c>
      <c r="W43" s="539">
        <f t="shared" si="17"/>
        <v>0</v>
      </c>
      <c r="X43" s="540">
        <f t="shared" si="17"/>
        <v>0</v>
      </c>
      <c r="Y43" s="541">
        <f t="shared" si="17"/>
        <v>0</v>
      </c>
      <c r="Z43" s="90"/>
      <c r="AA43" s="542">
        <f>ROUND(SUM(AA20:AA42),2)</f>
        <v>39511.34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</row>
    <row r="46" spans="1:29" ht="16.5" customHeight="1">
      <c r="A46" s="2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</row>
    <row r="47" spans="1:29" ht="16.5" customHeight="1">
      <c r="A47" s="2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</row>
    <row r="48" spans="1:29" ht="16.5" customHeight="1">
      <c r="A48" s="2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</row>
    <row r="49" spans="4:29" ht="16.5" customHeight="1"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</row>
    <row r="50" spans="4:29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</row>
    <row r="51" spans="4:29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</row>
    <row r="52" spans="4:29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</row>
    <row r="53" spans="4:29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</row>
    <row r="54" spans="4:29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</row>
    <row r="55" spans="4:29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</row>
    <row r="56" spans="4:29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</row>
    <row r="57" spans="4:29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</row>
    <row r="58" spans="4:29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</row>
    <row r="59" spans="4:29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</row>
    <row r="60" spans="4:29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</row>
    <row r="61" spans="4:29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</row>
    <row r="62" spans="4:29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</row>
    <row r="63" spans="4:29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</row>
    <row r="64" spans="4:29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</row>
    <row r="65" spans="4:29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</row>
    <row r="66" spans="4:29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</row>
    <row r="67" spans="4:29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</row>
    <row r="68" spans="4:29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</row>
    <row r="69" spans="4:29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</row>
    <row r="70" spans="4:29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</row>
    <row r="71" spans="4:29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</row>
    <row r="72" spans="4:29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</row>
    <row r="73" spans="4:29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</row>
    <row r="74" spans="4:29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</row>
    <row r="75" spans="4:29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</row>
    <row r="76" spans="4:29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</row>
    <row r="77" spans="4:29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</row>
    <row r="78" spans="4:29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</row>
    <row r="79" spans="4:29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</row>
    <row r="80" spans="4:29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</row>
    <row r="81" spans="4:29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</row>
    <row r="82" spans="4:29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</row>
    <row r="83" spans="4:29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</row>
    <row r="84" spans="4:29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</row>
    <row r="85" spans="4:29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</row>
    <row r="86" spans="4:29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</row>
    <row r="87" spans="4:29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</row>
    <row r="88" spans="4:29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</row>
    <row r="89" spans="4:29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</row>
    <row r="90" spans="4:29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</row>
    <row r="91" spans="4:29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</row>
    <row r="92" spans="4:29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</row>
    <row r="93" spans="4:29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</row>
    <row r="94" spans="4:29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</row>
    <row r="95" spans="4:29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</row>
    <row r="96" spans="4:29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</row>
    <row r="97" spans="4:29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</row>
    <row r="98" spans="4:29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</row>
    <row r="99" spans="4:29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</row>
    <row r="100" spans="4:29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</row>
    <row r="101" spans="4:29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</row>
    <row r="102" spans="4:29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</row>
    <row r="103" spans="4:29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</row>
    <row r="104" spans="4:29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</row>
    <row r="105" spans="4:29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</row>
    <row r="106" spans="4:29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</row>
    <row r="107" spans="4:29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</row>
    <row r="108" spans="4:29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</row>
    <row r="109" spans="4:29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</row>
    <row r="110" spans="4:29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</row>
    <row r="111" spans="4:29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</row>
    <row r="112" spans="4:29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</row>
    <row r="113" spans="4:29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</row>
    <row r="114" spans="4:29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</row>
    <row r="115" spans="4:29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</row>
    <row r="116" spans="4:29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</row>
    <row r="117" spans="4:29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</row>
    <row r="118" spans="4:29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</row>
    <row r="119" spans="4:29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</row>
    <row r="120" spans="4:29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</row>
    <row r="121" spans="4:29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</row>
    <row r="122" spans="4:29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</row>
    <row r="123" spans="4:29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</row>
    <row r="124" spans="4:29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</row>
    <row r="125" spans="4:29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</row>
    <row r="126" spans="4:29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</row>
    <row r="127" spans="4:29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</row>
    <row r="128" spans="4:29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</row>
    <row r="129" spans="4:29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</row>
    <row r="130" spans="4:29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</row>
    <row r="131" spans="4:29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</row>
    <row r="132" spans="4:29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</row>
    <row r="133" spans="4:29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</row>
    <row r="134" spans="4:29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</row>
    <row r="135" spans="4:29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</row>
    <row r="136" spans="4:29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</row>
    <row r="137" spans="4:29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</row>
    <row r="138" spans="4:29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</row>
    <row r="139" spans="4:29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</row>
    <row r="140" spans="4:29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</row>
    <row r="141" spans="4:29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</row>
    <row r="142" spans="4:29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</row>
    <row r="143" spans="4:29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</row>
    <row r="144" spans="4:29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</row>
    <row r="145" spans="4:29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</row>
    <row r="146" spans="4:29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</row>
    <row r="147" spans="4:29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</row>
    <row r="148" spans="4:29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</row>
    <row r="149" spans="4:29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</row>
    <row r="150" spans="4:29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</row>
    <row r="151" spans="4:29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</row>
    <row r="152" spans="4:29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</row>
    <row r="153" ht="16.5" customHeight="1">
      <c r="AC153" s="376"/>
    </row>
    <row r="154" ht="16.5" customHeight="1">
      <c r="AC154" s="376"/>
    </row>
    <row r="155" ht="16.5" customHeight="1">
      <c r="AC155" s="376"/>
    </row>
    <row r="156" ht="16.5" customHeight="1">
      <c r="AC156" s="376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6"/>
  <sheetViews>
    <sheetView zoomScale="75" zoomScaleNormal="75" workbookViewId="0" topLeftCell="B1">
      <selection activeCell="D12" sqref="D1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47"/>
    </row>
    <row r="2" spans="1:28" s="18" customFormat="1" ht="26.25">
      <c r="A2" s="91"/>
      <c r="B2" s="455" t="str">
        <f>+'TOT-1008'!B2</f>
        <v>ANEXO V al Memorándum D.T.E.E. N°  366 / 2010        </v>
      </c>
      <c r="C2" s="455"/>
      <c r="D2" s="455"/>
      <c r="E2" s="19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25" customFormat="1" ht="11.25">
      <c r="A4" s="456" t="s">
        <v>107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s="25" customFormat="1" ht="11.25">
      <c r="A5" s="456" t="s">
        <v>3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s="29" customFormat="1" ht="20.25">
      <c r="A8" s="106"/>
      <c r="B8" s="107"/>
      <c r="C8" s="106"/>
      <c r="D8" s="457" t="s">
        <v>96</v>
      </c>
      <c r="E8" s="106"/>
      <c r="F8" s="106"/>
      <c r="G8" s="45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6"/>
      <c r="S8" s="96"/>
      <c r="T8" s="96"/>
      <c r="U8" s="96"/>
      <c r="V8" s="96"/>
      <c r="W8" s="96"/>
      <c r="X8" s="96"/>
      <c r="Y8" s="96"/>
      <c r="Z8" s="96"/>
      <c r="AA8" s="96"/>
      <c r="AB8" s="108"/>
    </row>
    <row r="9" spans="1:28" s="5" customFormat="1" ht="12.75">
      <c r="A9" s="90"/>
      <c r="B9" s="95"/>
      <c r="C9" s="90"/>
      <c r="D9" s="15"/>
      <c r="E9" s="459"/>
      <c r="F9" s="90"/>
      <c r="G9" s="15"/>
      <c r="H9" s="90"/>
      <c r="I9" s="90"/>
      <c r="J9" s="90"/>
      <c r="K9" s="90"/>
      <c r="L9" s="90"/>
      <c r="M9" s="90"/>
      <c r="N9" s="90"/>
      <c r="O9" s="90"/>
      <c r="P9" s="90"/>
      <c r="Q9" s="90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</row>
    <row r="10" spans="1:28" s="1172" customFormat="1" ht="30" customHeight="1">
      <c r="A10" s="1166"/>
      <c r="B10" s="1167"/>
      <c r="C10" s="1166"/>
      <c r="D10" s="1168" t="s">
        <v>306</v>
      </c>
      <c r="E10" s="1166"/>
      <c r="F10" s="1169"/>
      <c r="G10" s="1170"/>
      <c r="H10" s="1166"/>
      <c r="I10" s="1166"/>
      <c r="J10" s="1166"/>
      <c r="K10" s="1166"/>
      <c r="L10" s="1166"/>
      <c r="M10" s="1166"/>
      <c r="N10" s="1166"/>
      <c r="O10" s="1166"/>
      <c r="P10" s="1166"/>
      <c r="Q10" s="1166"/>
      <c r="R10" s="1170"/>
      <c r="S10" s="1170"/>
      <c r="T10" s="1170"/>
      <c r="U10" s="1170"/>
      <c r="V10" s="1170"/>
      <c r="W10" s="1170"/>
      <c r="X10" s="1170"/>
      <c r="Y10" s="1170"/>
      <c r="Z10" s="1170"/>
      <c r="AA10" s="1170"/>
      <c r="AB10" s="1171"/>
    </row>
    <row r="11" spans="1:28" s="1177" customFormat="1" ht="9.75" customHeight="1">
      <c r="A11" s="1173"/>
      <c r="B11" s="1174"/>
      <c r="C11" s="1173"/>
      <c r="E11" s="1175"/>
      <c r="F11" s="1175"/>
      <c r="G11" s="1175"/>
      <c r="H11" s="1173"/>
      <c r="I11" s="1173"/>
      <c r="J11" s="1173"/>
      <c r="K11" s="1173"/>
      <c r="L11" s="1173"/>
      <c r="M11" s="1173"/>
      <c r="N11" s="1173"/>
      <c r="O11" s="1173"/>
      <c r="P11" s="1173"/>
      <c r="Q11" s="1173"/>
      <c r="R11" s="1175"/>
      <c r="S11" s="1175"/>
      <c r="T11" s="1175"/>
      <c r="U11" s="1175"/>
      <c r="V11" s="1175"/>
      <c r="W11" s="1175"/>
      <c r="X11" s="1175"/>
      <c r="Y11" s="1175"/>
      <c r="Z11" s="1175"/>
      <c r="AA11" s="1175"/>
      <c r="AB11" s="1176"/>
    </row>
    <row r="12" spans="1:28" s="1177" customFormat="1" ht="21" customHeight="1">
      <c r="A12" s="1166"/>
      <c r="B12" s="1167"/>
      <c r="C12" s="1166"/>
      <c r="D12" s="1168" t="s">
        <v>445</v>
      </c>
      <c r="E12" s="1166"/>
      <c r="F12" s="1166"/>
      <c r="G12" s="1166"/>
      <c r="H12" s="1179"/>
      <c r="I12" s="1179"/>
      <c r="J12" s="1179"/>
      <c r="K12" s="1179"/>
      <c r="L12" s="1179"/>
      <c r="M12" s="1173"/>
      <c r="N12" s="1173"/>
      <c r="O12" s="1173"/>
      <c r="P12" s="1173"/>
      <c r="Q12" s="1173"/>
      <c r="R12" s="1175"/>
      <c r="S12" s="1175"/>
      <c r="T12" s="1175"/>
      <c r="U12" s="1175"/>
      <c r="V12" s="1175"/>
      <c r="W12" s="1175"/>
      <c r="X12" s="1175"/>
      <c r="Y12" s="1175"/>
      <c r="Z12" s="1175"/>
      <c r="AA12" s="1175"/>
      <c r="AB12" s="1176"/>
    </row>
    <row r="13" spans="1:28" s="5" customFormat="1" ht="12.75">
      <c r="A13" s="90"/>
      <c r="B13" s="95"/>
      <c r="C13" s="90"/>
      <c r="D13" s="15"/>
      <c r="E13" s="15"/>
      <c r="F13" s="15"/>
      <c r="G13" s="98"/>
      <c r="H13" s="15"/>
      <c r="I13" s="15"/>
      <c r="J13" s="15"/>
      <c r="K13" s="15"/>
      <c r="L13" s="15"/>
      <c r="M13" s="90"/>
      <c r="N13" s="90"/>
      <c r="O13" s="90"/>
      <c r="P13" s="90"/>
      <c r="Q13" s="9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</row>
    <row r="14" spans="1:28" s="36" customFormat="1" ht="19.5">
      <c r="A14" s="110"/>
      <c r="B14" s="37" t="str">
        <f>'TOT-1008'!B14</f>
        <v>Desde el 01 al 31 de octubre de 2008</v>
      </c>
      <c r="C14" s="460"/>
      <c r="D14" s="113"/>
      <c r="E14" s="113"/>
      <c r="F14" s="113"/>
      <c r="G14" s="113"/>
      <c r="H14" s="113"/>
      <c r="I14" s="113"/>
      <c r="J14" s="113"/>
      <c r="K14" s="113"/>
      <c r="L14" s="113"/>
      <c r="M14" s="460"/>
      <c r="N14" s="460"/>
      <c r="O14" s="460"/>
      <c r="P14" s="460"/>
      <c r="Q14" s="460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461"/>
    </row>
    <row r="15" spans="1:28" s="5" customFormat="1" ht="13.5" thickBot="1">
      <c r="A15" s="90"/>
      <c r="B15" s="95"/>
      <c r="C15" s="90"/>
      <c r="D15" s="15"/>
      <c r="E15" s="15"/>
      <c r="F15" s="15"/>
      <c r="G15" s="98"/>
      <c r="H15" s="15"/>
      <c r="I15" s="15"/>
      <c r="J15" s="15"/>
      <c r="K15" s="15"/>
      <c r="L15" s="15"/>
      <c r="M15" s="90"/>
      <c r="N15" s="90"/>
      <c r="O15" s="90"/>
      <c r="P15" s="90"/>
      <c r="Q15" s="9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</row>
    <row r="16" spans="1:28" s="5" customFormat="1" ht="16.5" customHeight="1" thickBot="1" thickTop="1">
      <c r="A16" s="90"/>
      <c r="B16" s="95"/>
      <c r="C16" s="90"/>
      <c r="D16" s="462" t="s">
        <v>108</v>
      </c>
      <c r="E16" s="463"/>
      <c r="F16" s="464">
        <v>0.319</v>
      </c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s="5" customFormat="1" ht="16.5" customHeight="1" thickBot="1" thickTop="1">
      <c r="A17" s="90"/>
      <c r="B17" s="95"/>
      <c r="C17" s="90"/>
      <c r="D17" s="111" t="s">
        <v>27</v>
      </c>
      <c r="E17" s="112"/>
      <c r="F17" s="1146">
        <v>200</v>
      </c>
      <c r="G17"/>
      <c r="H17" s="15"/>
      <c r="I17" s="411"/>
      <c r="J17" s="412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9"/>
      <c r="V17" s="99"/>
      <c r="W17" s="99"/>
      <c r="X17" s="99"/>
      <c r="Y17" s="99"/>
      <c r="Z17" s="99"/>
      <c r="AA17" s="90"/>
      <c r="AB17" s="17"/>
    </row>
    <row r="18" spans="1:28" s="5" customFormat="1" ht="16.5" customHeight="1" thickBot="1" thickTop="1">
      <c r="A18" s="90"/>
      <c r="B18" s="95"/>
      <c r="C18" s="90"/>
      <c r="D18" s="15"/>
      <c r="E18" s="15"/>
      <c r="F18" s="15"/>
      <c r="G18" s="10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</row>
    <row r="19" spans="1:28" s="5" customFormat="1" ht="33.75" customHeight="1" thickBot="1" thickTop="1">
      <c r="A19" s="90"/>
      <c r="B19" s="95"/>
      <c r="C19" s="124" t="s">
        <v>13</v>
      </c>
      <c r="D19" s="120" t="s">
        <v>28</v>
      </c>
      <c r="E19" s="119" t="s">
        <v>29</v>
      </c>
      <c r="F19" s="121" t="s">
        <v>30</v>
      </c>
      <c r="G19" s="122" t="s">
        <v>14</v>
      </c>
      <c r="H19" s="130" t="s">
        <v>16</v>
      </c>
      <c r="I19" s="119" t="s">
        <v>17</v>
      </c>
      <c r="J19" s="119" t="s">
        <v>18</v>
      </c>
      <c r="K19" s="120" t="s">
        <v>31</v>
      </c>
      <c r="L19" s="120" t="s">
        <v>32</v>
      </c>
      <c r="M19" s="88" t="s">
        <v>19</v>
      </c>
      <c r="N19" s="88" t="s">
        <v>65</v>
      </c>
      <c r="O19" s="123" t="s">
        <v>33</v>
      </c>
      <c r="P19" s="119" t="s">
        <v>34</v>
      </c>
      <c r="Q19" s="465" t="s">
        <v>38</v>
      </c>
      <c r="R19" s="466" t="s">
        <v>20</v>
      </c>
      <c r="S19" s="467" t="s">
        <v>21</v>
      </c>
      <c r="T19" s="419" t="s">
        <v>109</v>
      </c>
      <c r="U19" s="421"/>
      <c r="V19" s="468" t="s">
        <v>110</v>
      </c>
      <c r="W19" s="469"/>
      <c r="X19" s="470" t="s">
        <v>22</v>
      </c>
      <c r="Y19" s="471" t="s">
        <v>105</v>
      </c>
      <c r="Z19" s="133" t="s">
        <v>106</v>
      </c>
      <c r="AA19" s="122" t="s">
        <v>25</v>
      </c>
      <c r="AB19" s="17"/>
    </row>
    <row r="20" spans="1:28" s="5" customFormat="1" ht="16.5" customHeight="1" thickTop="1">
      <c r="A20" s="90"/>
      <c r="B20" s="95"/>
      <c r="C20" s="472"/>
      <c r="D20" s="472"/>
      <c r="E20" s="472"/>
      <c r="F20" s="472"/>
      <c r="G20" s="473"/>
      <c r="H20" s="474"/>
      <c r="I20" s="472"/>
      <c r="J20" s="472"/>
      <c r="K20" s="472"/>
      <c r="L20" s="472"/>
      <c r="M20" s="472"/>
      <c r="N20" s="382"/>
      <c r="O20" s="475"/>
      <c r="P20" s="472"/>
      <c r="Q20" s="476"/>
      <c r="R20" s="477"/>
      <c r="S20" s="478"/>
      <c r="T20" s="479"/>
      <c r="U20" s="480"/>
      <c r="V20" s="481"/>
      <c r="W20" s="482"/>
      <c r="X20" s="483"/>
      <c r="Y20" s="484"/>
      <c r="Z20" s="475"/>
      <c r="AA20" s="485"/>
      <c r="AB20" s="17"/>
    </row>
    <row r="21" spans="1:28" s="5" customFormat="1" ht="16.5" customHeight="1">
      <c r="A21" s="90"/>
      <c r="B21" s="95"/>
      <c r="C21" s="486"/>
      <c r="D21" s="486"/>
      <c r="E21" s="486"/>
      <c r="F21" s="486"/>
      <c r="G21" s="487"/>
      <c r="H21" s="488"/>
      <c r="I21" s="486"/>
      <c r="J21" s="486"/>
      <c r="K21" s="486"/>
      <c r="L21" s="486"/>
      <c r="M21" s="486"/>
      <c r="N21" s="385"/>
      <c r="O21" s="489"/>
      <c r="P21" s="486"/>
      <c r="Q21" s="490"/>
      <c r="R21" s="491"/>
      <c r="S21" s="492"/>
      <c r="T21" s="493"/>
      <c r="U21" s="494"/>
      <c r="V21" s="495"/>
      <c r="W21" s="496"/>
      <c r="X21" s="497"/>
      <c r="Y21" s="498"/>
      <c r="Z21" s="489"/>
      <c r="AA21" s="499"/>
      <c r="AB21" s="17"/>
    </row>
    <row r="22" spans="1:28" s="5" customFormat="1" ht="16.5" customHeight="1">
      <c r="A22" s="90"/>
      <c r="B22" s="95"/>
      <c r="C22" s="354">
        <v>18</v>
      </c>
      <c r="D22" s="348" t="s">
        <v>337</v>
      </c>
      <c r="E22" s="500" t="s">
        <v>338</v>
      </c>
      <c r="F22" s="501">
        <v>150</v>
      </c>
      <c r="G22" s="502" t="s">
        <v>339</v>
      </c>
      <c r="H22" s="503">
        <f>F22*$F$16</f>
        <v>47.85</v>
      </c>
      <c r="I22" s="355">
        <v>39722.00001157408</v>
      </c>
      <c r="J22" s="355">
        <v>39752.99998842592</v>
      </c>
      <c r="K22" s="504">
        <f>IF(D22="","",(J22-I22)*24)</f>
        <v>743.9994444443146</v>
      </c>
      <c r="L22" s="14">
        <f>IF(D22="","",ROUND((J22-I22)*24*60,0))</f>
        <v>44640</v>
      </c>
      <c r="M22" s="356" t="s">
        <v>434</v>
      </c>
      <c r="N22" s="432" t="str">
        <f>IF(D22="","","--")</f>
        <v>--</v>
      </c>
      <c r="O22" s="353" t="str">
        <f>IF(D22="","",IF(OR(M22="P",M22="RP"),"--","NO"))</f>
        <v>NO</v>
      </c>
      <c r="P22" s="352" t="str">
        <f>IF(D22="","","NO")</f>
        <v>NO</v>
      </c>
      <c r="Q22" s="505">
        <f>$F$17*IF(OR(M22="P",M22="RP"),0.1,1)*IF(P22="SI",1,0.1)</f>
        <v>20</v>
      </c>
      <c r="R22" s="506" t="str">
        <f>IF(M22="P",H22*Q22*ROUND(L22/60,2),"--")</f>
        <v>--</v>
      </c>
      <c r="S22" s="507" t="str">
        <f>IF(M22="RP",H22*Q22*N22/100*ROUND(L22/60,2),"--")</f>
        <v>--</v>
      </c>
      <c r="T22" s="508" t="str">
        <f>IF(AND(M22="F",O22="NO"),H22*Q22,"--")</f>
        <v>--</v>
      </c>
      <c r="U22" s="509" t="str">
        <f>IF(M22="F",H22*Q22*ROUND(L22/60,2),"--")</f>
        <v>--</v>
      </c>
      <c r="V22" s="510" t="str">
        <f>IF(AND(M22="R",O22="NO"),H22*Q22*N22/100,"--")</f>
        <v>--</v>
      </c>
      <c r="W22" s="511" t="str">
        <f>IF(M22="R",H22*Q22*N22/100*ROUND(L22/60,2),"--")</f>
        <v>--</v>
      </c>
      <c r="X22" s="512">
        <f>IF(M22="RF",H22*Q22*ROUND(L22/60,2),"--")</f>
        <v>712008</v>
      </c>
      <c r="Y22" s="513" t="str">
        <f>IF(M22="RR",H22*Q22*N22/100*ROUND(L22/60,2),"--")</f>
        <v>--</v>
      </c>
      <c r="Z22" s="514" t="s">
        <v>289</v>
      </c>
      <c r="AA22" s="16">
        <f>IF(D22="","",(SUM(R22:Y22)*IF(Z22="SI",1,2)*IF(AND(N22&lt;&gt;"--",M22="RF"),N22/100,1)))</f>
        <v>712008</v>
      </c>
      <c r="AB22" s="17"/>
    </row>
    <row r="23" spans="1:28" s="5" customFormat="1" ht="16.5" customHeight="1">
      <c r="A23" s="90"/>
      <c r="B23" s="95"/>
      <c r="C23" s="486"/>
      <c r="D23" s="348"/>
      <c r="E23" s="500"/>
      <c r="F23" s="501"/>
      <c r="G23" s="502"/>
      <c r="H23" s="503"/>
      <c r="I23" s="355"/>
      <c r="J23" s="355"/>
      <c r="K23" s="504"/>
      <c r="L23" s="14"/>
      <c r="M23" s="356"/>
      <c r="N23" s="432"/>
      <c r="O23" s="353"/>
      <c r="P23" s="352"/>
      <c r="Q23" s="505"/>
      <c r="R23" s="506"/>
      <c r="S23" s="507"/>
      <c r="T23" s="508"/>
      <c r="U23" s="509"/>
      <c r="V23" s="510"/>
      <c r="W23" s="511"/>
      <c r="X23" s="512"/>
      <c r="Y23" s="513"/>
      <c r="Z23" s="514"/>
      <c r="AA23" s="16"/>
      <c r="AB23" s="17"/>
    </row>
    <row r="24" spans="1:28" s="5" customFormat="1" ht="16.5" customHeight="1">
      <c r="A24" s="90"/>
      <c r="B24" s="95"/>
      <c r="C24" s="354"/>
      <c r="D24" s="348"/>
      <c r="E24" s="500"/>
      <c r="F24" s="501"/>
      <c r="G24" s="502"/>
      <c r="H24" s="503"/>
      <c r="I24" s="355"/>
      <c r="J24" s="355"/>
      <c r="K24" s="504"/>
      <c r="L24" s="14"/>
      <c r="M24" s="356"/>
      <c r="N24" s="432"/>
      <c r="O24" s="353"/>
      <c r="P24" s="352"/>
      <c r="Q24" s="505"/>
      <c r="R24" s="506"/>
      <c r="S24" s="507"/>
      <c r="T24" s="508"/>
      <c r="U24" s="509"/>
      <c r="V24" s="510"/>
      <c r="W24" s="511"/>
      <c r="X24" s="512"/>
      <c r="Y24" s="513"/>
      <c r="Z24" s="514"/>
      <c r="AA24" s="16"/>
      <c r="AB24" s="17"/>
    </row>
    <row r="25" spans="1:28" s="5" customFormat="1" ht="16.5" customHeight="1">
      <c r="A25" s="90"/>
      <c r="B25" s="95"/>
      <c r="C25" s="486"/>
      <c r="D25" s="348"/>
      <c r="E25" s="500"/>
      <c r="F25" s="501"/>
      <c r="G25" s="502"/>
      <c r="H25" s="503"/>
      <c r="I25" s="355"/>
      <c r="J25" s="355"/>
      <c r="K25" s="504"/>
      <c r="L25" s="14"/>
      <c r="M25" s="356"/>
      <c r="N25" s="432"/>
      <c r="O25" s="353"/>
      <c r="P25" s="352"/>
      <c r="Q25" s="505"/>
      <c r="R25" s="506"/>
      <c r="S25" s="507"/>
      <c r="T25" s="508"/>
      <c r="U25" s="509"/>
      <c r="V25" s="510"/>
      <c r="W25" s="511"/>
      <c r="X25" s="512"/>
      <c r="Y25" s="513"/>
      <c r="Z25" s="514"/>
      <c r="AA25" s="16"/>
      <c r="AB25" s="17"/>
    </row>
    <row r="26" spans="1:28" s="5" customFormat="1" ht="16.5" customHeight="1">
      <c r="A26" s="90"/>
      <c r="B26" s="95"/>
      <c r="C26" s="354"/>
      <c r="D26" s="348"/>
      <c r="E26" s="500"/>
      <c r="F26" s="501"/>
      <c r="G26" s="502"/>
      <c r="H26" s="503"/>
      <c r="I26" s="355"/>
      <c r="J26" s="355"/>
      <c r="K26" s="504"/>
      <c r="L26" s="14"/>
      <c r="M26" s="356"/>
      <c r="N26" s="432"/>
      <c r="O26" s="353"/>
      <c r="P26" s="352"/>
      <c r="Q26" s="505"/>
      <c r="R26" s="506"/>
      <c r="S26" s="507"/>
      <c r="T26" s="508"/>
      <c r="U26" s="509"/>
      <c r="V26" s="510"/>
      <c r="W26" s="511"/>
      <c r="X26" s="512"/>
      <c r="Y26" s="513"/>
      <c r="Z26" s="514"/>
      <c r="AA26" s="16"/>
      <c r="AB26" s="17"/>
    </row>
    <row r="27" spans="1:28" s="5" customFormat="1" ht="16.5" customHeight="1">
      <c r="A27" s="90"/>
      <c r="B27" s="95"/>
      <c r="C27" s="486"/>
      <c r="D27" s="348"/>
      <c r="E27" s="500"/>
      <c r="F27" s="501"/>
      <c r="G27" s="502"/>
      <c r="H27" s="503"/>
      <c r="I27" s="355"/>
      <c r="J27" s="355"/>
      <c r="K27" s="504"/>
      <c r="L27" s="14"/>
      <c r="M27" s="356"/>
      <c r="N27" s="432"/>
      <c r="O27" s="353"/>
      <c r="P27" s="352"/>
      <c r="Q27" s="505"/>
      <c r="R27" s="506"/>
      <c r="S27" s="507"/>
      <c r="T27" s="508"/>
      <c r="U27" s="509"/>
      <c r="V27" s="510"/>
      <c r="W27" s="511"/>
      <c r="X27" s="512"/>
      <c r="Y27" s="513"/>
      <c r="Z27" s="514"/>
      <c r="AA27" s="16"/>
      <c r="AB27" s="17"/>
    </row>
    <row r="28" spans="1:29" s="5" customFormat="1" ht="16.5" customHeight="1">
      <c r="A28" s="90"/>
      <c r="B28" s="95"/>
      <c r="C28" s="354"/>
      <c r="D28" s="348"/>
      <c r="E28" s="500"/>
      <c r="F28" s="501"/>
      <c r="G28" s="502"/>
      <c r="H28" s="503"/>
      <c r="I28" s="355"/>
      <c r="J28" s="355"/>
      <c r="K28" s="504"/>
      <c r="L28" s="14"/>
      <c r="M28" s="356"/>
      <c r="N28" s="432"/>
      <c r="O28" s="353"/>
      <c r="P28" s="352"/>
      <c r="Q28" s="505"/>
      <c r="R28" s="506"/>
      <c r="S28" s="507"/>
      <c r="T28" s="508"/>
      <c r="U28" s="509"/>
      <c r="V28" s="510"/>
      <c r="W28" s="511"/>
      <c r="X28" s="512"/>
      <c r="Y28" s="513"/>
      <c r="Z28" s="514"/>
      <c r="AA28" s="16"/>
      <c r="AB28" s="17"/>
      <c r="AC28" s="15"/>
    </row>
    <row r="29" spans="1:28" s="5" customFormat="1" ht="16.5" customHeight="1">
      <c r="A29" s="90"/>
      <c r="B29" s="95"/>
      <c r="C29" s="486"/>
      <c r="D29" s="348"/>
      <c r="E29" s="500"/>
      <c r="F29" s="501"/>
      <c r="G29" s="502"/>
      <c r="H29" s="503"/>
      <c r="I29" s="355"/>
      <c r="J29" s="355"/>
      <c r="K29" s="504"/>
      <c r="L29" s="14"/>
      <c r="M29" s="356"/>
      <c r="N29" s="432"/>
      <c r="O29" s="353"/>
      <c r="P29" s="352"/>
      <c r="Q29" s="505"/>
      <c r="R29" s="506"/>
      <c r="S29" s="507"/>
      <c r="T29" s="508"/>
      <c r="U29" s="509"/>
      <c r="V29" s="510"/>
      <c r="W29" s="511"/>
      <c r="X29" s="512"/>
      <c r="Y29" s="513"/>
      <c r="Z29" s="514"/>
      <c r="AA29" s="16"/>
      <c r="AB29" s="17"/>
    </row>
    <row r="30" spans="1:28" s="5" customFormat="1" ht="16.5" customHeight="1">
      <c r="A30" s="90"/>
      <c r="B30" s="95"/>
      <c r="C30" s="354"/>
      <c r="D30" s="348"/>
      <c r="E30" s="500"/>
      <c r="F30" s="501"/>
      <c r="G30" s="502"/>
      <c r="H30" s="503"/>
      <c r="I30" s="355"/>
      <c r="J30" s="355"/>
      <c r="K30" s="504"/>
      <c r="L30" s="14"/>
      <c r="M30" s="356"/>
      <c r="N30" s="432"/>
      <c r="O30" s="353"/>
      <c r="P30" s="352"/>
      <c r="Q30" s="505"/>
      <c r="R30" s="506"/>
      <c r="S30" s="507"/>
      <c r="T30" s="508"/>
      <c r="U30" s="509"/>
      <c r="V30" s="510"/>
      <c r="W30" s="511"/>
      <c r="X30" s="512"/>
      <c r="Y30" s="513"/>
      <c r="Z30" s="514"/>
      <c r="AA30" s="16"/>
      <c r="AB30" s="17"/>
    </row>
    <row r="31" spans="1:28" s="5" customFormat="1" ht="16.5" customHeight="1">
      <c r="A31" s="90"/>
      <c r="B31" s="95"/>
      <c r="C31" s="486"/>
      <c r="D31" s="348"/>
      <c r="E31" s="500"/>
      <c r="F31" s="501"/>
      <c r="G31" s="502"/>
      <c r="H31" s="503"/>
      <c r="I31" s="355"/>
      <c r="J31" s="355"/>
      <c r="K31" s="504"/>
      <c r="L31" s="14"/>
      <c r="M31" s="356"/>
      <c r="N31" s="432"/>
      <c r="O31" s="353"/>
      <c r="P31" s="352"/>
      <c r="Q31" s="505"/>
      <c r="R31" s="506"/>
      <c r="S31" s="507"/>
      <c r="T31" s="508"/>
      <c r="U31" s="509"/>
      <c r="V31" s="510"/>
      <c r="W31" s="511"/>
      <c r="X31" s="512"/>
      <c r="Y31" s="513"/>
      <c r="Z31" s="514"/>
      <c r="AA31" s="16"/>
      <c r="AB31" s="17"/>
    </row>
    <row r="32" spans="1:28" s="5" customFormat="1" ht="16.5" customHeight="1">
      <c r="A32" s="90"/>
      <c r="B32" s="95"/>
      <c r="C32" s="354"/>
      <c r="D32" s="348"/>
      <c r="E32" s="516"/>
      <c r="F32" s="501"/>
      <c r="G32" s="502"/>
      <c r="H32" s="503"/>
      <c r="I32" s="355"/>
      <c r="J32" s="355"/>
      <c r="K32" s="504"/>
      <c r="L32" s="14"/>
      <c r="M32" s="356"/>
      <c r="N32" s="432"/>
      <c r="O32" s="353"/>
      <c r="P32" s="352"/>
      <c r="Q32" s="505"/>
      <c r="R32" s="506"/>
      <c r="S32" s="507"/>
      <c r="T32" s="508"/>
      <c r="U32" s="509"/>
      <c r="V32" s="510"/>
      <c r="W32" s="511"/>
      <c r="X32" s="512"/>
      <c r="Y32" s="513"/>
      <c r="Z32" s="514"/>
      <c r="AA32" s="16"/>
      <c r="AB32" s="17"/>
    </row>
    <row r="33" spans="1:28" s="5" customFormat="1" ht="16.5" customHeight="1">
      <c r="A33" s="90"/>
      <c r="B33" s="95"/>
      <c r="C33" s="486"/>
      <c r="D33" s="348"/>
      <c r="E33" s="516"/>
      <c r="F33" s="501"/>
      <c r="G33" s="502"/>
      <c r="H33" s="503"/>
      <c r="I33" s="355"/>
      <c r="J33" s="355"/>
      <c r="K33" s="504"/>
      <c r="L33" s="14"/>
      <c r="M33" s="356"/>
      <c r="N33" s="432"/>
      <c r="O33" s="353"/>
      <c r="P33" s="352"/>
      <c r="Q33" s="505"/>
      <c r="R33" s="506"/>
      <c r="S33" s="507"/>
      <c r="T33" s="508"/>
      <c r="U33" s="509"/>
      <c r="V33" s="510"/>
      <c r="W33" s="511"/>
      <c r="X33" s="512"/>
      <c r="Y33" s="513"/>
      <c r="Z33" s="514"/>
      <c r="AA33" s="16"/>
      <c r="AB33" s="17"/>
    </row>
    <row r="34" spans="1:28" s="5" customFormat="1" ht="16.5" customHeight="1">
      <c r="A34" s="90"/>
      <c r="B34" s="95"/>
      <c r="C34" s="354"/>
      <c r="D34" s="348"/>
      <c r="E34" s="516"/>
      <c r="F34" s="501"/>
      <c r="G34" s="502"/>
      <c r="H34" s="503"/>
      <c r="I34" s="355"/>
      <c r="J34" s="355"/>
      <c r="K34" s="504"/>
      <c r="L34" s="14"/>
      <c r="M34" s="356"/>
      <c r="N34" s="432"/>
      <c r="O34" s="353"/>
      <c r="P34" s="352"/>
      <c r="Q34" s="505"/>
      <c r="R34" s="506"/>
      <c r="S34" s="507"/>
      <c r="T34" s="508"/>
      <c r="U34" s="509"/>
      <c r="V34" s="510"/>
      <c r="W34" s="511"/>
      <c r="X34" s="512"/>
      <c r="Y34" s="513"/>
      <c r="Z34" s="514"/>
      <c r="AA34" s="16"/>
      <c r="AB34" s="17"/>
    </row>
    <row r="35" spans="1:28" s="5" customFormat="1" ht="16.5" customHeight="1">
      <c r="A35" s="90"/>
      <c r="B35" s="95"/>
      <c r="C35" s="486"/>
      <c r="D35" s="348"/>
      <c r="E35" s="516"/>
      <c r="F35" s="501"/>
      <c r="G35" s="502"/>
      <c r="H35" s="503"/>
      <c r="I35" s="355"/>
      <c r="J35" s="355"/>
      <c r="K35" s="504"/>
      <c r="L35" s="14"/>
      <c r="M35" s="356"/>
      <c r="N35" s="432"/>
      <c r="O35" s="353"/>
      <c r="P35" s="352"/>
      <c r="Q35" s="505"/>
      <c r="R35" s="506"/>
      <c r="S35" s="507"/>
      <c r="T35" s="508"/>
      <c r="U35" s="509"/>
      <c r="V35" s="510"/>
      <c r="W35" s="511"/>
      <c r="X35" s="512"/>
      <c r="Y35" s="513"/>
      <c r="Z35" s="514"/>
      <c r="AA35" s="16"/>
      <c r="AB35" s="17"/>
    </row>
    <row r="36" spans="1:28" s="5" customFormat="1" ht="16.5" customHeight="1">
      <c r="A36" s="90"/>
      <c r="B36" s="95"/>
      <c r="C36" s="354"/>
      <c r="D36" s="348"/>
      <c r="E36" s="516"/>
      <c r="F36" s="501"/>
      <c r="G36" s="502"/>
      <c r="H36" s="503"/>
      <c r="I36" s="355"/>
      <c r="J36" s="355"/>
      <c r="K36" s="504"/>
      <c r="L36" s="14"/>
      <c r="M36" s="356"/>
      <c r="N36" s="432"/>
      <c r="O36" s="353"/>
      <c r="P36" s="352"/>
      <c r="Q36" s="505"/>
      <c r="R36" s="506"/>
      <c r="S36" s="507"/>
      <c r="T36" s="508"/>
      <c r="U36" s="509"/>
      <c r="V36" s="510"/>
      <c r="W36" s="511"/>
      <c r="X36" s="512"/>
      <c r="Y36" s="513"/>
      <c r="Z36" s="514"/>
      <c r="AA36" s="16"/>
      <c r="AB36" s="17"/>
    </row>
    <row r="37" spans="1:28" s="5" customFormat="1" ht="16.5" customHeight="1">
      <c r="A37" s="90"/>
      <c r="B37" s="95"/>
      <c r="C37" s="486"/>
      <c r="D37" s="348"/>
      <c r="E37" s="516"/>
      <c r="F37" s="501"/>
      <c r="G37" s="502"/>
      <c r="H37" s="503"/>
      <c r="I37" s="355"/>
      <c r="J37" s="355"/>
      <c r="K37" s="504"/>
      <c r="L37" s="14"/>
      <c r="M37" s="356"/>
      <c r="N37" s="432"/>
      <c r="O37" s="353"/>
      <c r="P37" s="352"/>
      <c r="Q37" s="505"/>
      <c r="R37" s="506"/>
      <c r="S37" s="507"/>
      <c r="T37" s="508"/>
      <c r="U37" s="509"/>
      <c r="V37" s="510"/>
      <c r="W37" s="511"/>
      <c r="X37" s="512"/>
      <c r="Y37" s="513"/>
      <c r="Z37" s="514"/>
      <c r="AA37" s="16"/>
      <c r="AB37" s="17"/>
    </row>
    <row r="38" spans="1:28" s="5" customFormat="1" ht="16.5" customHeight="1">
      <c r="A38" s="90"/>
      <c r="B38" s="95"/>
      <c r="C38" s="354"/>
      <c r="D38" s="348"/>
      <c r="E38" s="516"/>
      <c r="F38" s="501"/>
      <c r="G38" s="502"/>
      <c r="H38" s="503"/>
      <c r="I38" s="355"/>
      <c r="J38" s="355"/>
      <c r="K38" s="504"/>
      <c r="L38" s="14"/>
      <c r="M38" s="356"/>
      <c r="N38" s="432"/>
      <c r="O38" s="353"/>
      <c r="P38" s="352"/>
      <c r="Q38" s="505"/>
      <c r="R38" s="506"/>
      <c r="S38" s="507"/>
      <c r="T38" s="508"/>
      <c r="U38" s="509"/>
      <c r="V38" s="510"/>
      <c r="W38" s="511"/>
      <c r="X38" s="512"/>
      <c r="Y38" s="513"/>
      <c r="Z38" s="514"/>
      <c r="AA38" s="16"/>
      <c r="AB38" s="17"/>
    </row>
    <row r="39" spans="1:28" s="5" customFormat="1" ht="16.5" customHeight="1">
      <c r="A39" s="90"/>
      <c r="B39" s="95"/>
      <c r="C39" s="486"/>
      <c r="D39" s="348"/>
      <c r="E39" s="516"/>
      <c r="F39" s="501"/>
      <c r="G39" s="502"/>
      <c r="H39" s="503"/>
      <c r="I39" s="355"/>
      <c r="J39" s="355"/>
      <c r="K39" s="504"/>
      <c r="L39" s="14"/>
      <c r="M39" s="356"/>
      <c r="N39" s="432"/>
      <c r="O39" s="353"/>
      <c r="P39" s="352"/>
      <c r="Q39" s="505"/>
      <c r="R39" s="506"/>
      <c r="S39" s="507"/>
      <c r="T39" s="508"/>
      <c r="U39" s="509"/>
      <c r="V39" s="510"/>
      <c r="W39" s="511"/>
      <c r="X39" s="512"/>
      <c r="Y39" s="513"/>
      <c r="Z39" s="514"/>
      <c r="AA39" s="16"/>
      <c r="AB39" s="17"/>
    </row>
    <row r="40" spans="1:28" s="5" customFormat="1" ht="16.5" customHeight="1">
      <c r="A40" s="90"/>
      <c r="B40" s="95"/>
      <c r="C40" s="354"/>
      <c r="D40" s="348"/>
      <c r="E40" s="516"/>
      <c r="F40" s="501"/>
      <c r="G40" s="502"/>
      <c r="H40" s="503"/>
      <c r="I40" s="355"/>
      <c r="J40" s="355"/>
      <c r="K40" s="504"/>
      <c r="L40" s="14"/>
      <c r="M40" s="356"/>
      <c r="N40" s="432"/>
      <c r="O40" s="353"/>
      <c r="P40" s="352"/>
      <c r="Q40" s="505"/>
      <c r="R40" s="506"/>
      <c r="S40" s="507"/>
      <c r="T40" s="508"/>
      <c r="U40" s="509"/>
      <c r="V40" s="510"/>
      <c r="W40" s="511"/>
      <c r="X40" s="512"/>
      <c r="Y40" s="513"/>
      <c r="Z40" s="514"/>
      <c r="AA40" s="16"/>
      <c r="AB40" s="17"/>
    </row>
    <row r="41" spans="1:28" s="5" customFormat="1" ht="16.5" customHeight="1">
      <c r="A41" s="90"/>
      <c r="B41" s="95"/>
      <c r="C41" s="486"/>
      <c r="D41" s="348"/>
      <c r="E41" s="516"/>
      <c r="F41" s="501"/>
      <c r="G41" s="502"/>
      <c r="H41" s="503">
        <f>F41*$F$16</f>
        <v>0</v>
      </c>
      <c r="I41" s="355"/>
      <c r="J41" s="355"/>
      <c r="K41" s="504">
        <f>IF(D41="","",(J41-I41)*24)</f>
      </c>
      <c r="L41" s="14">
        <f>IF(D41="","",ROUND((J41-I41)*24*60,0))</f>
      </c>
      <c r="M41" s="356"/>
      <c r="N41" s="432">
        <f>IF(D41="","","--")</f>
      </c>
      <c r="O41" s="353">
        <f>IF(D41="","",IF(OR(M41="P",M41="RP"),"--","NO"))</f>
      </c>
      <c r="P41" s="352">
        <f>IF(D41="","","NO")</f>
      </c>
      <c r="Q41" s="505">
        <f>$F$17*IF(OR(M41="P",M41="RP"),0.1,1)*IF(P41="SI",1,0.1)</f>
        <v>20</v>
      </c>
      <c r="R41" s="506" t="str">
        <f>IF(M41="P",H41*Q41*ROUND(L41/60,2),"--")</f>
        <v>--</v>
      </c>
      <c r="S41" s="507" t="str">
        <f>IF(M41="RP",H41*Q41*N41/100*ROUND(L41/60,2),"--")</f>
        <v>--</v>
      </c>
      <c r="T41" s="508" t="str">
        <f>IF(AND(M41="F",O41="NO"),H41*Q41,"--")</f>
        <v>--</v>
      </c>
      <c r="U41" s="509" t="str">
        <f>IF(M41="F",H41*Q41*ROUND(L41/60,2),"--")</f>
        <v>--</v>
      </c>
      <c r="V41" s="510" t="str">
        <f>IF(AND(M41="R",O41="NO"),H41*Q41*N41/100,"--")</f>
        <v>--</v>
      </c>
      <c r="W41" s="511" t="str">
        <f>IF(M41="R",H41*Q41*N41/100*ROUND(L41/60,2),"--")</f>
        <v>--</v>
      </c>
      <c r="X41" s="512" t="str">
        <f>IF(M41="RF",H41*Q41*ROUND(L41/60,2),"--")</f>
        <v>--</v>
      </c>
      <c r="Y41" s="513" t="str">
        <f>IF(M41="RR",H41*Q41*N41/100*ROUND(L41/60,2),"--")</f>
        <v>--</v>
      </c>
      <c r="Z41" s="514">
        <f>IF(D41="","","SI")</f>
      </c>
      <c r="AA41" s="16">
        <f>IF(D41="","",(SUM(R41:Y41)*IF(Z41="SI",1,2)*IF(AND(N41&lt;&gt;"--",M41="RF"),N41/100,1)))</f>
      </c>
      <c r="AB41" s="17"/>
    </row>
    <row r="42" spans="1:28" s="5" customFormat="1" ht="16.5" customHeight="1" thickBot="1">
      <c r="A42" s="90"/>
      <c r="B42" s="95"/>
      <c r="C42" s="354"/>
      <c r="D42" s="517"/>
      <c r="E42" s="518"/>
      <c r="F42" s="517"/>
      <c r="G42" s="519"/>
      <c r="H42" s="132"/>
      <c r="I42" s="357"/>
      <c r="J42" s="520"/>
      <c r="K42" s="521"/>
      <c r="L42" s="522"/>
      <c r="M42" s="362"/>
      <c r="N42" s="394"/>
      <c r="O42" s="360"/>
      <c r="P42" s="362"/>
      <c r="Q42" s="523"/>
      <c r="R42" s="524"/>
      <c r="S42" s="525"/>
      <c r="T42" s="526"/>
      <c r="U42" s="527"/>
      <c r="V42" s="528"/>
      <c r="W42" s="529"/>
      <c r="X42" s="530"/>
      <c r="Y42" s="531"/>
      <c r="Z42" s="532"/>
      <c r="AA42" s="533"/>
      <c r="AB42" s="17"/>
    </row>
    <row r="43" spans="1:28" s="5" customFormat="1" ht="16.5" customHeight="1" thickBot="1" thickTop="1">
      <c r="A43" s="90"/>
      <c r="B43" s="95"/>
      <c r="C43" s="128" t="s">
        <v>26</v>
      </c>
      <c r="D43" s="129" t="s">
        <v>406</v>
      </c>
      <c r="E43" s="15"/>
      <c r="F43" s="15"/>
      <c r="G43" s="15"/>
      <c r="H43" s="15"/>
      <c r="I43" s="15"/>
      <c r="J43" s="99"/>
      <c r="K43" s="15"/>
      <c r="L43" s="15"/>
      <c r="M43" s="15"/>
      <c r="N43" s="15"/>
      <c r="O43" s="15"/>
      <c r="P43" s="15"/>
      <c r="Q43" s="15"/>
      <c r="R43" s="534">
        <f aca="true" t="shared" si="0" ref="R43:Y43">SUM(R20:R42)</f>
        <v>0</v>
      </c>
      <c r="S43" s="535">
        <f t="shared" si="0"/>
        <v>0</v>
      </c>
      <c r="T43" s="536">
        <f t="shared" si="0"/>
        <v>0</v>
      </c>
      <c r="U43" s="537">
        <f t="shared" si="0"/>
        <v>0</v>
      </c>
      <c r="V43" s="538">
        <f t="shared" si="0"/>
        <v>0</v>
      </c>
      <c r="W43" s="539">
        <f t="shared" si="0"/>
        <v>0</v>
      </c>
      <c r="X43" s="540">
        <f t="shared" si="0"/>
        <v>712008</v>
      </c>
      <c r="Y43" s="541">
        <f t="shared" si="0"/>
        <v>0</v>
      </c>
      <c r="Z43" s="90"/>
      <c r="AA43" s="542">
        <f>ROUND(SUM(AA20:AA42),2)</f>
        <v>712008</v>
      </c>
      <c r="AB43" s="17"/>
    </row>
    <row r="44" spans="1:28" s="5" customFormat="1" ht="16.5" customHeight="1" thickBot="1" thickTop="1">
      <c r="A44" s="90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</row>
    <row r="45" spans="1:29" ht="16.5" customHeight="1" thickTop="1">
      <c r="A45" s="2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</row>
    <row r="46" spans="1:29" ht="16.5" customHeight="1">
      <c r="A46" s="2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</row>
    <row r="47" spans="1:29" ht="16.5" customHeight="1">
      <c r="A47" s="2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</row>
    <row r="48" spans="1:29" ht="16.5" customHeight="1">
      <c r="A48" s="2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</row>
    <row r="49" spans="4:29" ht="16.5" customHeight="1"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</row>
    <row r="50" spans="4:29" ht="16.5" customHeight="1"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</row>
    <row r="51" spans="4:29" ht="16.5" customHeight="1"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</row>
    <row r="52" spans="4:29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</row>
    <row r="53" spans="4:29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</row>
    <row r="54" spans="4:29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</row>
    <row r="55" spans="4:29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</row>
    <row r="56" spans="4:29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</row>
    <row r="57" spans="4:29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</row>
    <row r="58" spans="4:29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</row>
    <row r="59" spans="4:29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</row>
    <row r="60" spans="4:29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</row>
    <row r="61" spans="4:29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</row>
    <row r="62" spans="4:29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</row>
    <row r="63" spans="4:29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</row>
    <row r="64" spans="4:29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</row>
    <row r="65" spans="4:29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</row>
    <row r="66" spans="4:29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</row>
    <row r="67" spans="4:29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</row>
    <row r="68" spans="4:29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</row>
    <row r="69" spans="4:29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</row>
    <row r="70" spans="4:29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</row>
    <row r="71" spans="4:29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</row>
    <row r="72" spans="4:29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</row>
    <row r="73" spans="4:29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</row>
    <row r="74" spans="4:29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</row>
    <row r="75" spans="4:29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</row>
    <row r="76" spans="4:29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</row>
    <row r="77" spans="4:29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</row>
    <row r="78" spans="4:29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</row>
    <row r="79" spans="4:29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</row>
    <row r="80" spans="4:29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</row>
    <row r="81" spans="4:29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</row>
    <row r="82" spans="4:29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</row>
    <row r="83" spans="4:29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</row>
    <row r="84" spans="4:29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</row>
    <row r="85" spans="4:29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</row>
    <row r="86" spans="4:29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</row>
    <row r="87" spans="4:29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</row>
    <row r="88" spans="4:29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</row>
    <row r="89" spans="4:29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</row>
    <row r="90" spans="4:29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</row>
    <row r="91" spans="4:29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</row>
    <row r="92" spans="4:29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</row>
    <row r="93" spans="4:29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</row>
    <row r="94" spans="4:29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</row>
    <row r="95" spans="4:29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</row>
    <row r="96" spans="4:29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</row>
    <row r="97" spans="4:29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</row>
    <row r="98" spans="4:29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</row>
    <row r="99" spans="4:29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</row>
    <row r="100" spans="4:29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</row>
    <row r="101" spans="4:29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</row>
    <row r="102" spans="4:29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</row>
    <row r="103" spans="4:29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</row>
    <row r="104" spans="4:29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</row>
    <row r="105" spans="4:29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</row>
    <row r="106" spans="4:29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</row>
    <row r="107" spans="4:29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</row>
    <row r="108" spans="4:29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</row>
    <row r="109" spans="4:29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</row>
    <row r="110" spans="4:29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</row>
    <row r="111" spans="4:29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</row>
    <row r="112" spans="4:29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</row>
    <row r="113" spans="4:29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</row>
    <row r="114" spans="4:29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</row>
    <row r="115" spans="4:29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</row>
    <row r="116" spans="4:29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</row>
    <row r="117" spans="4:29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</row>
    <row r="118" spans="4:29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</row>
    <row r="119" spans="4:29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</row>
    <row r="120" spans="4:29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</row>
    <row r="121" spans="4:29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</row>
    <row r="122" spans="4:29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</row>
    <row r="123" spans="4:29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</row>
    <row r="124" spans="4:29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</row>
    <row r="125" spans="4:29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</row>
    <row r="126" spans="4:29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</row>
    <row r="127" spans="4:29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</row>
    <row r="128" spans="4:29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</row>
    <row r="129" spans="4:29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</row>
    <row r="130" spans="4:29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</row>
    <row r="131" spans="4:29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</row>
    <row r="132" spans="4:29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</row>
    <row r="133" spans="4:29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</row>
    <row r="134" spans="4:29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</row>
    <row r="135" spans="4:29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</row>
    <row r="136" spans="4:29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</row>
    <row r="137" spans="4:29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</row>
    <row r="138" spans="4:29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</row>
    <row r="139" spans="4:29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</row>
    <row r="140" spans="4:29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</row>
    <row r="141" spans="4:29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</row>
    <row r="142" spans="4:29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</row>
    <row r="143" spans="4:29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</row>
    <row r="144" spans="4:29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</row>
    <row r="145" spans="4:29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</row>
    <row r="146" spans="4:29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</row>
    <row r="147" spans="4:29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</row>
    <row r="148" spans="4:29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</row>
    <row r="149" spans="4:29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</row>
    <row r="150" spans="4:29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</row>
    <row r="151" spans="4:29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</row>
    <row r="152" spans="4:29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</row>
    <row r="153" ht="16.5" customHeight="1">
      <c r="AC153" s="376"/>
    </row>
    <row r="154" ht="16.5" customHeight="1">
      <c r="AC154" s="376"/>
    </row>
    <row r="155" ht="16.5" customHeight="1">
      <c r="AC155" s="376"/>
    </row>
    <row r="156" ht="16.5" customHeight="1">
      <c r="AC156" s="376"/>
    </row>
    <row r="157" ht="16.5" customHeight="1"/>
    <row r="158" ht="16.5" customHeight="1"/>
    <row r="159" ht="16.5" customHeight="1"/>
  </sheetData>
  <printOptions/>
  <pageMargins left="0.75" right="0.75" top="1" bottom="1" header="0" footer="0"/>
  <pageSetup fitToHeight="1" fitToWidth="1" horizontalDpi="600" verticalDpi="600" orientation="landscape" paperSize="9" scale="5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159"/>
  <sheetViews>
    <sheetView zoomScale="75" zoomScaleNormal="75" workbookViewId="0" topLeftCell="C1">
      <selection activeCell="T41" sqref="T4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+'TOT-1008'!B2</f>
        <v>ANEXO V al Memorándum D.T.E.E. N°  366 / 2010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96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305</v>
      </c>
      <c r="E10" s="566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567"/>
      <c r="E11" s="567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112</v>
      </c>
      <c r="E12" s="566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567"/>
      <c r="E13" s="567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'TOT-1008'!B14</f>
        <v>Desde el 01 al 31 de octubre de 2008</v>
      </c>
      <c r="C14" s="40"/>
      <c r="D14" s="40"/>
      <c r="E14" s="40"/>
      <c r="F14" s="40"/>
      <c r="G14" s="568"/>
      <c r="H14" s="568"/>
      <c r="I14" s="568"/>
      <c r="J14" s="568"/>
      <c r="K14" s="568"/>
      <c r="L14" s="568"/>
      <c r="M14" s="568"/>
      <c r="N14" s="568"/>
      <c r="O14" s="40"/>
      <c r="P14" s="40"/>
      <c r="Q14" s="40"/>
      <c r="R14" s="40"/>
      <c r="S14" s="40"/>
      <c r="T14" s="40"/>
      <c r="U14" s="569"/>
    </row>
    <row r="15" spans="2:21" s="5" customFormat="1" ht="14.25" thickBot="1">
      <c r="B15" s="570"/>
      <c r="C15" s="571"/>
      <c r="D15" s="571"/>
      <c r="E15" s="571"/>
      <c r="F15" s="571"/>
      <c r="G15" s="572"/>
      <c r="H15" s="572"/>
      <c r="I15" s="572"/>
      <c r="J15" s="572"/>
      <c r="K15" s="572"/>
      <c r="L15" s="572"/>
      <c r="M15" s="572"/>
      <c r="N15" s="572"/>
      <c r="O15" s="571"/>
      <c r="P15" s="571"/>
      <c r="Q15" s="571"/>
      <c r="R15" s="571"/>
      <c r="S15" s="571"/>
      <c r="T15" s="571"/>
      <c r="U15" s="573"/>
    </row>
    <row r="16" spans="2:21" s="5" customFormat="1" ht="15" thickBot="1" thickTop="1">
      <c r="B16" s="50"/>
      <c r="C16" s="4"/>
      <c r="D16" s="574"/>
      <c r="E16" s="574"/>
      <c r="F16" s="118" t="s">
        <v>113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575" t="s">
        <v>114</v>
      </c>
      <c r="E17" s="576">
        <v>63.904</v>
      </c>
      <c r="F17" s="577">
        <v>200</v>
      </c>
      <c r="T17" s="116"/>
      <c r="U17" s="6"/>
    </row>
    <row r="18" spans="2:21" s="5" customFormat="1" ht="16.5" customHeight="1" thickBot="1" thickTop="1">
      <c r="B18" s="50"/>
      <c r="C18" s="4"/>
      <c r="D18" s="578" t="s">
        <v>115</v>
      </c>
      <c r="E18" s="579">
        <v>57.511</v>
      </c>
      <c r="F18" s="577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580" t="s">
        <v>116</v>
      </c>
      <c r="E19" s="579">
        <v>51.126</v>
      </c>
      <c r="F19" s="577">
        <v>40</v>
      </c>
      <c r="I19" s="411"/>
      <c r="J19" s="412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581"/>
      <c r="D20" s="582"/>
      <c r="E20" s="582"/>
      <c r="F20" s="583"/>
      <c r="G20" s="584"/>
      <c r="H20" s="584"/>
      <c r="I20" s="584"/>
      <c r="J20" s="584"/>
      <c r="K20" s="584"/>
      <c r="L20" s="584"/>
      <c r="M20" s="584"/>
      <c r="N20" s="585"/>
      <c r="O20" s="586"/>
      <c r="P20" s="587"/>
      <c r="Q20" s="587"/>
      <c r="R20" s="587"/>
      <c r="S20" s="588"/>
      <c r="T20" s="589"/>
      <c r="U20" s="6"/>
    </row>
    <row r="21" spans="2:21" s="5" customFormat="1" ht="33.75" customHeight="1" thickBot="1" thickTop="1">
      <c r="B21" s="50"/>
      <c r="C21" s="84" t="s">
        <v>13</v>
      </c>
      <c r="D21" s="86" t="s">
        <v>28</v>
      </c>
      <c r="E21" s="590" t="s">
        <v>29</v>
      </c>
      <c r="F21" s="591" t="s">
        <v>14</v>
      </c>
      <c r="G21" s="130" t="s">
        <v>16</v>
      </c>
      <c r="H21" s="85" t="s">
        <v>17</v>
      </c>
      <c r="I21" s="590" t="s">
        <v>18</v>
      </c>
      <c r="J21" s="592" t="s">
        <v>37</v>
      </c>
      <c r="K21" s="592" t="s">
        <v>32</v>
      </c>
      <c r="L21" s="88" t="s">
        <v>19</v>
      </c>
      <c r="M21" s="380" t="s">
        <v>33</v>
      </c>
      <c r="N21" s="136" t="s">
        <v>38</v>
      </c>
      <c r="O21" s="593" t="s">
        <v>97</v>
      </c>
      <c r="P21" s="381" t="s">
        <v>36</v>
      </c>
      <c r="Q21" s="594"/>
      <c r="R21" s="135" t="s">
        <v>22</v>
      </c>
      <c r="S21" s="133" t="s">
        <v>106</v>
      </c>
      <c r="T21" s="122" t="s">
        <v>25</v>
      </c>
      <c r="U21" s="6"/>
    </row>
    <row r="22" spans="2:21" s="5" customFormat="1" ht="16.5" customHeight="1" thickTop="1">
      <c r="B22" s="50"/>
      <c r="C22" s="7"/>
      <c r="D22" s="595"/>
      <c r="E22" s="595"/>
      <c r="F22" s="595"/>
      <c r="G22" s="429"/>
      <c r="H22" s="595"/>
      <c r="I22" s="595"/>
      <c r="J22" s="595"/>
      <c r="K22" s="595"/>
      <c r="L22" s="595"/>
      <c r="M22" s="595"/>
      <c r="N22" s="596"/>
      <c r="O22" s="597"/>
      <c r="P22" s="598"/>
      <c r="Q22" s="599"/>
      <c r="R22" s="600"/>
      <c r="S22" s="595"/>
      <c r="T22" s="601"/>
      <c r="U22" s="6"/>
    </row>
    <row r="23" spans="2:21" s="5" customFormat="1" ht="16.5" customHeight="1">
      <c r="B23" s="50"/>
      <c r="C23" s="486"/>
      <c r="D23" s="602"/>
      <c r="E23" s="602"/>
      <c r="F23" s="602"/>
      <c r="G23" s="603"/>
      <c r="H23" s="602"/>
      <c r="I23" s="602"/>
      <c r="J23" s="602"/>
      <c r="K23" s="602"/>
      <c r="L23" s="602"/>
      <c r="M23" s="602"/>
      <c r="N23" s="604"/>
      <c r="O23" s="605"/>
      <c r="P23" s="393"/>
      <c r="Q23" s="606"/>
      <c r="R23" s="607"/>
      <c r="S23" s="602"/>
      <c r="T23" s="608"/>
      <c r="U23" s="6"/>
    </row>
    <row r="24" spans="2:21" s="5" customFormat="1" ht="16.5" customHeight="1">
      <c r="B24" s="50"/>
      <c r="C24" s="354">
        <v>38</v>
      </c>
      <c r="D24" s="609" t="s">
        <v>345</v>
      </c>
      <c r="E24" s="609" t="s">
        <v>354</v>
      </c>
      <c r="F24" s="610">
        <v>132</v>
      </c>
      <c r="G24" s="131">
        <f aca="true" t="shared" si="0" ref="G24:G43">IF(F24=500,$E$17,IF(F24=220,$E$18,$E$19))</f>
        <v>51.126</v>
      </c>
      <c r="H24" s="611">
        <v>39722.34166666667</v>
      </c>
      <c r="I24" s="350">
        <v>39722.54791666667</v>
      </c>
      <c r="J24" s="612">
        <f aca="true" t="shared" si="1" ref="J24:J43">IF(D24="","",(I24-H24)*24)</f>
        <v>4.950000000069849</v>
      </c>
      <c r="K24" s="613">
        <f aca="true" t="shared" si="2" ref="K24:K43">IF(D24="","",ROUND((I24-H24)*24*60,0))</f>
        <v>297</v>
      </c>
      <c r="L24" s="431" t="s">
        <v>292</v>
      </c>
      <c r="M24" s="352" t="str">
        <f aca="true" t="shared" si="3" ref="M24:M43">IF(D24="","",IF(L24="P","--","NO"))</f>
        <v>--</v>
      </c>
      <c r="N24" s="614">
        <f aca="true" t="shared" si="4" ref="N24:N43">IF(F24=500,$F$17,IF(F24=220,$F$18,$F$19))</f>
        <v>40</v>
      </c>
      <c r="O24" s="615">
        <f aca="true" t="shared" si="5" ref="O24:O43">IF(L24="P",G24*N24*ROUND(K24/60,2)*0.1,"--")</f>
        <v>1012.2948000000001</v>
      </c>
      <c r="P24" s="616" t="str">
        <f aca="true" t="shared" si="6" ref="P24:P43">IF(AND(L24="F",M24="NO"),G24*N24,"--")</f>
        <v>--</v>
      </c>
      <c r="Q24" s="617" t="str">
        <f aca="true" t="shared" si="7" ref="Q24:Q43">IF(L24="F",G24*N24*ROUND(K24/60,2),"--")</f>
        <v>--</v>
      </c>
      <c r="R24" s="359" t="str">
        <f aca="true" t="shared" si="8" ref="R24:R43">IF(L24="RF",G24*N24*ROUND(K24/60,2),"--")</f>
        <v>--</v>
      </c>
      <c r="S24" s="352" t="str">
        <f aca="true" t="shared" si="9" ref="S24:S43">IF(D24="","","SI")</f>
        <v>SI</v>
      </c>
      <c r="T24" s="618">
        <f aca="true" t="shared" si="10" ref="T24:T43">IF(D24="","",SUM(O24:R24)*IF(S24="SI",1,2))</f>
        <v>1012.2948000000001</v>
      </c>
      <c r="U24" s="6"/>
    </row>
    <row r="25" spans="2:21" s="5" customFormat="1" ht="16.5" customHeight="1">
      <c r="B25" s="50"/>
      <c r="C25" s="486">
        <v>39</v>
      </c>
      <c r="D25" s="609" t="s">
        <v>345</v>
      </c>
      <c r="E25" s="609" t="s">
        <v>355</v>
      </c>
      <c r="F25" s="610">
        <v>132</v>
      </c>
      <c r="G25" s="131">
        <f t="shared" si="0"/>
        <v>51.126</v>
      </c>
      <c r="H25" s="611">
        <v>39723.302777777775</v>
      </c>
      <c r="I25" s="350">
        <v>39723.65555555555</v>
      </c>
      <c r="J25" s="612">
        <f t="shared" si="1"/>
        <v>8.466666666674428</v>
      </c>
      <c r="K25" s="613">
        <f t="shared" si="2"/>
        <v>508</v>
      </c>
      <c r="L25" s="431" t="s">
        <v>292</v>
      </c>
      <c r="M25" s="352" t="str">
        <f t="shared" si="3"/>
        <v>--</v>
      </c>
      <c r="N25" s="614">
        <f t="shared" si="4"/>
        <v>40</v>
      </c>
      <c r="O25" s="615">
        <f t="shared" si="5"/>
        <v>1732.1488800000004</v>
      </c>
      <c r="P25" s="616" t="str">
        <f t="shared" si="6"/>
        <v>--</v>
      </c>
      <c r="Q25" s="617" t="str">
        <f t="shared" si="7"/>
        <v>--</v>
      </c>
      <c r="R25" s="359" t="str">
        <f t="shared" si="8"/>
        <v>--</v>
      </c>
      <c r="S25" s="352" t="str">
        <f t="shared" si="9"/>
        <v>SI</v>
      </c>
      <c r="T25" s="618">
        <f t="shared" si="10"/>
        <v>1732.1488800000004</v>
      </c>
      <c r="U25" s="6"/>
    </row>
    <row r="26" spans="2:21" s="5" customFormat="1" ht="16.5" customHeight="1">
      <c r="B26" s="50"/>
      <c r="C26" s="354">
        <v>40</v>
      </c>
      <c r="D26" s="609" t="s">
        <v>345</v>
      </c>
      <c r="E26" s="609" t="s">
        <v>356</v>
      </c>
      <c r="F26" s="610">
        <v>132</v>
      </c>
      <c r="G26" s="131">
        <f t="shared" si="0"/>
        <v>51.126</v>
      </c>
      <c r="H26" s="611">
        <v>39724.26944444444</v>
      </c>
      <c r="I26" s="350">
        <v>39724.29791666667</v>
      </c>
      <c r="J26" s="612">
        <f t="shared" si="1"/>
        <v>0.6833333334652707</v>
      </c>
      <c r="K26" s="613">
        <f t="shared" si="2"/>
        <v>41</v>
      </c>
      <c r="L26" s="431" t="s">
        <v>292</v>
      </c>
      <c r="M26" s="352" t="str">
        <f t="shared" si="3"/>
        <v>--</v>
      </c>
      <c r="N26" s="614">
        <f t="shared" si="4"/>
        <v>40</v>
      </c>
      <c r="O26" s="615">
        <f t="shared" si="5"/>
        <v>139.06272</v>
      </c>
      <c r="P26" s="616" t="str">
        <f t="shared" si="6"/>
        <v>--</v>
      </c>
      <c r="Q26" s="617" t="str">
        <f t="shared" si="7"/>
        <v>--</v>
      </c>
      <c r="R26" s="359" t="str">
        <f t="shared" si="8"/>
        <v>--</v>
      </c>
      <c r="S26" s="352" t="str">
        <f t="shared" si="9"/>
        <v>SI</v>
      </c>
      <c r="T26" s="618">
        <v>0</v>
      </c>
      <c r="U26" s="6"/>
    </row>
    <row r="27" spans="2:21" s="5" customFormat="1" ht="16.5" customHeight="1">
      <c r="B27" s="50"/>
      <c r="C27" s="486">
        <v>41</v>
      </c>
      <c r="D27" s="609" t="s">
        <v>345</v>
      </c>
      <c r="E27" s="609" t="s">
        <v>355</v>
      </c>
      <c r="F27" s="610">
        <v>132</v>
      </c>
      <c r="G27" s="131">
        <f t="shared" si="0"/>
        <v>51.126</v>
      </c>
      <c r="H27" s="611">
        <v>39724.31597222222</v>
      </c>
      <c r="I27" s="350">
        <v>39724.638194444444</v>
      </c>
      <c r="J27" s="612">
        <f t="shared" si="1"/>
        <v>7.7333333333954215</v>
      </c>
      <c r="K27" s="613">
        <f t="shared" si="2"/>
        <v>464</v>
      </c>
      <c r="L27" s="431" t="s">
        <v>292</v>
      </c>
      <c r="M27" s="352" t="str">
        <f t="shared" si="3"/>
        <v>--</v>
      </c>
      <c r="N27" s="614">
        <f t="shared" si="4"/>
        <v>40</v>
      </c>
      <c r="O27" s="615">
        <f t="shared" si="5"/>
        <v>1580.81592</v>
      </c>
      <c r="P27" s="616" t="str">
        <f t="shared" si="6"/>
        <v>--</v>
      </c>
      <c r="Q27" s="617" t="str">
        <f t="shared" si="7"/>
        <v>--</v>
      </c>
      <c r="R27" s="359" t="str">
        <f t="shared" si="8"/>
        <v>--</v>
      </c>
      <c r="S27" s="352" t="str">
        <f t="shared" si="9"/>
        <v>SI</v>
      </c>
      <c r="T27" s="618">
        <f t="shared" si="10"/>
        <v>1580.81592</v>
      </c>
      <c r="U27" s="6"/>
    </row>
    <row r="28" spans="2:21" s="5" customFormat="1" ht="16.5" customHeight="1">
      <c r="B28" s="50"/>
      <c r="C28" s="354">
        <v>42</v>
      </c>
      <c r="D28" s="609" t="s">
        <v>345</v>
      </c>
      <c r="E28" s="609" t="s">
        <v>357</v>
      </c>
      <c r="F28" s="610">
        <v>132</v>
      </c>
      <c r="G28" s="131">
        <f t="shared" si="0"/>
        <v>51.126</v>
      </c>
      <c r="H28" s="611">
        <v>39724.44027777778</v>
      </c>
      <c r="I28" s="350">
        <v>39724.57152777778</v>
      </c>
      <c r="J28" s="612">
        <f t="shared" si="1"/>
        <v>3.1499999999650754</v>
      </c>
      <c r="K28" s="613">
        <f t="shared" si="2"/>
        <v>189</v>
      </c>
      <c r="L28" s="431" t="s">
        <v>292</v>
      </c>
      <c r="M28" s="352" t="str">
        <f t="shared" si="3"/>
        <v>--</v>
      </c>
      <c r="N28" s="614">
        <f t="shared" si="4"/>
        <v>40</v>
      </c>
      <c r="O28" s="615">
        <f t="shared" si="5"/>
        <v>644.1876</v>
      </c>
      <c r="P28" s="616" t="str">
        <f t="shared" si="6"/>
        <v>--</v>
      </c>
      <c r="Q28" s="617" t="str">
        <f t="shared" si="7"/>
        <v>--</v>
      </c>
      <c r="R28" s="359" t="str">
        <f t="shared" si="8"/>
        <v>--</v>
      </c>
      <c r="S28" s="352" t="str">
        <f t="shared" si="9"/>
        <v>SI</v>
      </c>
      <c r="T28" s="618">
        <v>0</v>
      </c>
      <c r="U28" s="6"/>
    </row>
    <row r="29" spans="2:21" s="5" customFormat="1" ht="16.5" customHeight="1">
      <c r="B29" s="50"/>
      <c r="C29" s="486">
        <v>43</v>
      </c>
      <c r="D29" s="609" t="s">
        <v>345</v>
      </c>
      <c r="E29" s="609" t="s">
        <v>358</v>
      </c>
      <c r="F29" s="610">
        <v>132</v>
      </c>
      <c r="G29" s="131">
        <f t="shared" si="0"/>
        <v>51.126</v>
      </c>
      <c r="H29" s="611">
        <v>39724.44027777778</v>
      </c>
      <c r="I29" s="350">
        <v>39724.57013888889</v>
      </c>
      <c r="J29" s="612">
        <f t="shared" si="1"/>
        <v>3.1166666666977108</v>
      </c>
      <c r="K29" s="613">
        <f t="shared" si="2"/>
        <v>187</v>
      </c>
      <c r="L29" s="431" t="s">
        <v>292</v>
      </c>
      <c r="M29" s="352" t="str">
        <f t="shared" si="3"/>
        <v>--</v>
      </c>
      <c r="N29" s="614">
        <f t="shared" si="4"/>
        <v>40</v>
      </c>
      <c r="O29" s="615">
        <f t="shared" si="5"/>
        <v>638.0524800000001</v>
      </c>
      <c r="P29" s="616" t="str">
        <f t="shared" si="6"/>
        <v>--</v>
      </c>
      <c r="Q29" s="617" t="str">
        <f t="shared" si="7"/>
        <v>--</v>
      </c>
      <c r="R29" s="359" t="str">
        <f t="shared" si="8"/>
        <v>--</v>
      </c>
      <c r="S29" s="352" t="str">
        <f t="shared" si="9"/>
        <v>SI</v>
      </c>
      <c r="T29" s="618">
        <v>0</v>
      </c>
      <c r="U29" s="6"/>
    </row>
    <row r="30" spans="2:21" s="5" customFormat="1" ht="16.5" customHeight="1">
      <c r="B30" s="50"/>
      <c r="C30" s="354">
        <v>44</v>
      </c>
      <c r="D30" s="609" t="s">
        <v>359</v>
      </c>
      <c r="E30" s="609" t="s">
        <v>360</v>
      </c>
      <c r="F30" s="610">
        <v>132</v>
      </c>
      <c r="G30" s="131">
        <f t="shared" si="0"/>
        <v>51.126</v>
      </c>
      <c r="H30" s="611">
        <v>39729.31736111111</v>
      </c>
      <c r="I30" s="350">
        <v>39730.79375</v>
      </c>
      <c r="J30" s="612">
        <f t="shared" si="1"/>
        <v>35.43333333323244</v>
      </c>
      <c r="K30" s="613">
        <f t="shared" si="2"/>
        <v>2126</v>
      </c>
      <c r="L30" s="431" t="s">
        <v>292</v>
      </c>
      <c r="M30" s="352" t="str">
        <f t="shared" si="3"/>
        <v>--</v>
      </c>
      <c r="N30" s="614">
        <f t="shared" si="4"/>
        <v>40</v>
      </c>
      <c r="O30" s="615">
        <f t="shared" si="5"/>
        <v>7245.576720000001</v>
      </c>
      <c r="P30" s="616" t="str">
        <f t="shared" si="6"/>
        <v>--</v>
      </c>
      <c r="Q30" s="617" t="str">
        <f t="shared" si="7"/>
        <v>--</v>
      </c>
      <c r="R30" s="359" t="str">
        <f t="shared" si="8"/>
        <v>--</v>
      </c>
      <c r="S30" s="352" t="str">
        <f t="shared" si="9"/>
        <v>SI</v>
      </c>
      <c r="T30" s="618">
        <v>0</v>
      </c>
      <c r="U30" s="6"/>
    </row>
    <row r="31" spans="2:21" s="5" customFormat="1" ht="16.5" customHeight="1">
      <c r="B31" s="50"/>
      <c r="C31" s="486">
        <v>45</v>
      </c>
      <c r="D31" s="609" t="s">
        <v>361</v>
      </c>
      <c r="E31" s="609" t="s">
        <v>362</v>
      </c>
      <c r="F31" s="610">
        <v>500</v>
      </c>
      <c r="G31" s="131">
        <f t="shared" si="0"/>
        <v>63.904</v>
      </c>
      <c r="H31" s="611">
        <v>39729.3875</v>
      </c>
      <c r="I31" s="350">
        <v>39730.72986111111</v>
      </c>
      <c r="J31" s="612">
        <f t="shared" si="1"/>
        <v>32.216666666732635</v>
      </c>
      <c r="K31" s="613">
        <f t="shared" si="2"/>
        <v>1933</v>
      </c>
      <c r="L31" s="431" t="s">
        <v>292</v>
      </c>
      <c r="M31" s="352" t="str">
        <f t="shared" si="3"/>
        <v>--</v>
      </c>
      <c r="N31" s="614">
        <f t="shared" si="4"/>
        <v>200</v>
      </c>
      <c r="O31" s="615">
        <f t="shared" si="5"/>
        <v>41179.73760000001</v>
      </c>
      <c r="P31" s="616" t="str">
        <f t="shared" si="6"/>
        <v>--</v>
      </c>
      <c r="Q31" s="617" t="str">
        <f t="shared" si="7"/>
        <v>--</v>
      </c>
      <c r="R31" s="359" t="str">
        <f t="shared" si="8"/>
        <v>--</v>
      </c>
      <c r="S31" s="352" t="str">
        <f t="shared" si="9"/>
        <v>SI</v>
      </c>
      <c r="T31" s="618">
        <f t="shared" si="10"/>
        <v>41179.73760000001</v>
      </c>
      <c r="U31" s="6"/>
    </row>
    <row r="32" spans="2:21" s="5" customFormat="1" ht="16.5" customHeight="1">
      <c r="B32" s="50"/>
      <c r="C32" s="354">
        <v>46</v>
      </c>
      <c r="D32" s="609" t="s">
        <v>340</v>
      </c>
      <c r="E32" s="609" t="s">
        <v>363</v>
      </c>
      <c r="F32" s="610">
        <v>132</v>
      </c>
      <c r="G32" s="131">
        <f t="shared" si="0"/>
        <v>51.126</v>
      </c>
      <c r="H32" s="611">
        <v>39730.373611111114</v>
      </c>
      <c r="I32" s="350">
        <v>39730.62777777778</v>
      </c>
      <c r="J32" s="612">
        <f t="shared" si="1"/>
        <v>6.099999999976717</v>
      </c>
      <c r="K32" s="613">
        <f t="shared" si="2"/>
        <v>366</v>
      </c>
      <c r="L32" s="431" t="s">
        <v>292</v>
      </c>
      <c r="M32" s="352" t="str">
        <f t="shared" si="3"/>
        <v>--</v>
      </c>
      <c r="N32" s="614">
        <f t="shared" si="4"/>
        <v>40</v>
      </c>
      <c r="O32" s="615">
        <f t="shared" si="5"/>
        <v>1247.4744</v>
      </c>
      <c r="P32" s="616" t="str">
        <f t="shared" si="6"/>
        <v>--</v>
      </c>
      <c r="Q32" s="617" t="str">
        <f t="shared" si="7"/>
        <v>--</v>
      </c>
      <c r="R32" s="359" t="str">
        <f t="shared" si="8"/>
        <v>--</v>
      </c>
      <c r="S32" s="352" t="str">
        <f t="shared" si="9"/>
        <v>SI</v>
      </c>
      <c r="T32" s="618">
        <f t="shared" si="10"/>
        <v>1247.4744</v>
      </c>
      <c r="U32" s="6"/>
    </row>
    <row r="33" spans="2:21" s="5" customFormat="1" ht="16.5" customHeight="1">
      <c r="B33" s="50"/>
      <c r="C33" s="486">
        <v>47</v>
      </c>
      <c r="D33" s="609" t="s">
        <v>361</v>
      </c>
      <c r="E33" s="609" t="s">
        <v>364</v>
      </c>
      <c r="F33" s="610">
        <v>500</v>
      </c>
      <c r="G33" s="131">
        <f t="shared" si="0"/>
        <v>63.904</v>
      </c>
      <c r="H33" s="611">
        <v>39732.34097222222</v>
      </c>
      <c r="I33" s="350">
        <v>39733.71944444445</v>
      </c>
      <c r="J33" s="612">
        <f t="shared" si="1"/>
        <v>33.083333333430346</v>
      </c>
      <c r="K33" s="613">
        <f t="shared" si="2"/>
        <v>1985</v>
      </c>
      <c r="L33" s="431" t="s">
        <v>292</v>
      </c>
      <c r="M33" s="352" t="str">
        <f t="shared" si="3"/>
        <v>--</v>
      </c>
      <c r="N33" s="614">
        <f t="shared" si="4"/>
        <v>200</v>
      </c>
      <c r="O33" s="615">
        <f t="shared" si="5"/>
        <v>42278.8864</v>
      </c>
      <c r="P33" s="616" t="str">
        <f t="shared" si="6"/>
        <v>--</v>
      </c>
      <c r="Q33" s="617" t="str">
        <f t="shared" si="7"/>
        <v>--</v>
      </c>
      <c r="R33" s="359" t="str">
        <f t="shared" si="8"/>
        <v>--</v>
      </c>
      <c r="S33" s="352" t="str">
        <f t="shared" si="9"/>
        <v>SI</v>
      </c>
      <c r="T33" s="618">
        <f t="shared" si="10"/>
        <v>42278.8864</v>
      </c>
      <c r="U33" s="6"/>
    </row>
    <row r="34" spans="2:21" s="5" customFormat="1" ht="16.5" customHeight="1">
      <c r="B34" s="50"/>
      <c r="C34" s="354">
        <v>48</v>
      </c>
      <c r="D34" s="609" t="s">
        <v>365</v>
      </c>
      <c r="E34" s="609" t="s">
        <v>366</v>
      </c>
      <c r="F34" s="610">
        <v>132</v>
      </c>
      <c r="G34" s="131">
        <f t="shared" si="0"/>
        <v>51.126</v>
      </c>
      <c r="H34" s="611">
        <v>39733.28402777778</v>
      </c>
      <c r="I34" s="350">
        <v>39733.59305555555</v>
      </c>
      <c r="J34" s="612">
        <f t="shared" si="1"/>
        <v>7.416666666569654</v>
      </c>
      <c r="K34" s="613">
        <f t="shared" si="2"/>
        <v>445</v>
      </c>
      <c r="L34" s="431" t="s">
        <v>292</v>
      </c>
      <c r="M34" s="352" t="str">
        <f t="shared" si="3"/>
        <v>--</v>
      </c>
      <c r="N34" s="614">
        <f t="shared" si="4"/>
        <v>40</v>
      </c>
      <c r="O34" s="615">
        <f t="shared" si="5"/>
        <v>1517.41968</v>
      </c>
      <c r="P34" s="616" t="str">
        <f t="shared" si="6"/>
        <v>--</v>
      </c>
      <c r="Q34" s="617" t="str">
        <f t="shared" si="7"/>
        <v>--</v>
      </c>
      <c r="R34" s="359" t="str">
        <f t="shared" si="8"/>
        <v>--</v>
      </c>
      <c r="S34" s="352" t="str">
        <f t="shared" si="9"/>
        <v>SI</v>
      </c>
      <c r="T34" s="618">
        <v>0</v>
      </c>
      <c r="U34" s="6"/>
    </row>
    <row r="35" spans="2:21" s="5" customFormat="1" ht="16.5" customHeight="1">
      <c r="B35" s="50"/>
      <c r="C35" s="486">
        <v>49</v>
      </c>
      <c r="D35" s="609" t="s">
        <v>349</v>
      </c>
      <c r="E35" s="609" t="s">
        <v>367</v>
      </c>
      <c r="F35" s="610">
        <v>132</v>
      </c>
      <c r="G35" s="131">
        <f t="shared" si="0"/>
        <v>51.126</v>
      </c>
      <c r="H35" s="611">
        <v>39738.37777777778</v>
      </c>
      <c r="I35" s="350">
        <v>39738.74375</v>
      </c>
      <c r="J35" s="612">
        <f t="shared" si="1"/>
        <v>8.783333333325572</v>
      </c>
      <c r="K35" s="613">
        <f t="shared" si="2"/>
        <v>527</v>
      </c>
      <c r="L35" s="431" t="s">
        <v>292</v>
      </c>
      <c r="M35" s="352" t="str">
        <f t="shared" si="3"/>
        <v>--</v>
      </c>
      <c r="N35" s="614">
        <f t="shared" si="4"/>
        <v>40</v>
      </c>
      <c r="O35" s="615">
        <f t="shared" si="5"/>
        <v>1795.54512</v>
      </c>
      <c r="P35" s="616" t="str">
        <f t="shared" si="6"/>
        <v>--</v>
      </c>
      <c r="Q35" s="617" t="str">
        <f t="shared" si="7"/>
        <v>--</v>
      </c>
      <c r="R35" s="359" t="str">
        <f t="shared" si="8"/>
        <v>--</v>
      </c>
      <c r="S35" s="352" t="str">
        <f t="shared" si="9"/>
        <v>SI</v>
      </c>
      <c r="T35" s="618">
        <v>0</v>
      </c>
      <c r="U35" s="6"/>
    </row>
    <row r="36" spans="2:21" s="5" customFormat="1" ht="16.5" customHeight="1">
      <c r="B36" s="50"/>
      <c r="C36" s="354">
        <v>50</v>
      </c>
      <c r="D36" s="609" t="s">
        <v>368</v>
      </c>
      <c r="E36" s="609" t="s">
        <v>369</v>
      </c>
      <c r="F36" s="610">
        <v>500</v>
      </c>
      <c r="G36" s="131">
        <f t="shared" si="0"/>
        <v>63.904</v>
      </c>
      <c r="H36" s="611">
        <v>39738.44861111111</v>
      </c>
      <c r="I36" s="350">
        <v>39738.52013888889</v>
      </c>
      <c r="J36" s="612">
        <f t="shared" si="1"/>
        <v>1.7166666666744277</v>
      </c>
      <c r="K36" s="613">
        <f t="shared" si="2"/>
        <v>103</v>
      </c>
      <c r="L36" s="431" t="s">
        <v>292</v>
      </c>
      <c r="M36" s="352" t="str">
        <f t="shared" si="3"/>
        <v>--</v>
      </c>
      <c r="N36" s="614">
        <f t="shared" si="4"/>
        <v>200</v>
      </c>
      <c r="O36" s="615">
        <f t="shared" si="5"/>
        <v>2198.2976000000003</v>
      </c>
      <c r="P36" s="616" t="str">
        <f t="shared" si="6"/>
        <v>--</v>
      </c>
      <c r="Q36" s="617" t="str">
        <f t="shared" si="7"/>
        <v>--</v>
      </c>
      <c r="R36" s="359" t="str">
        <f t="shared" si="8"/>
        <v>--</v>
      </c>
      <c r="S36" s="352" t="str">
        <f t="shared" si="9"/>
        <v>SI</v>
      </c>
      <c r="T36" s="618">
        <f t="shared" si="10"/>
        <v>2198.2976000000003</v>
      </c>
      <c r="U36" s="6"/>
    </row>
    <row r="37" spans="2:21" s="5" customFormat="1" ht="16.5" customHeight="1">
      <c r="B37" s="50"/>
      <c r="C37" s="486">
        <v>51</v>
      </c>
      <c r="D37" s="609" t="s">
        <v>349</v>
      </c>
      <c r="E37" s="609" t="s">
        <v>370</v>
      </c>
      <c r="F37" s="610">
        <v>132</v>
      </c>
      <c r="G37" s="131">
        <f t="shared" si="0"/>
        <v>51.126</v>
      </c>
      <c r="H37" s="611">
        <v>39739.33263888889</v>
      </c>
      <c r="I37" s="350">
        <v>39739.56319444445</v>
      </c>
      <c r="J37" s="612">
        <f t="shared" si="1"/>
        <v>5.53333333338378</v>
      </c>
      <c r="K37" s="613">
        <f t="shared" si="2"/>
        <v>332</v>
      </c>
      <c r="L37" s="431" t="s">
        <v>292</v>
      </c>
      <c r="M37" s="352" t="str">
        <f t="shared" si="3"/>
        <v>--</v>
      </c>
      <c r="N37" s="614">
        <f t="shared" si="4"/>
        <v>40</v>
      </c>
      <c r="O37" s="615">
        <f t="shared" si="5"/>
        <v>1130.90712</v>
      </c>
      <c r="P37" s="616" t="str">
        <f t="shared" si="6"/>
        <v>--</v>
      </c>
      <c r="Q37" s="617" t="str">
        <f t="shared" si="7"/>
        <v>--</v>
      </c>
      <c r="R37" s="359" t="str">
        <f t="shared" si="8"/>
        <v>--</v>
      </c>
      <c r="S37" s="352" t="str">
        <f t="shared" si="9"/>
        <v>SI</v>
      </c>
      <c r="T37" s="618">
        <v>0</v>
      </c>
      <c r="U37" s="6"/>
    </row>
    <row r="38" spans="2:21" s="5" customFormat="1" ht="16.5" customHeight="1">
      <c r="B38" s="50"/>
      <c r="C38" s="354">
        <v>52</v>
      </c>
      <c r="D38" s="609" t="s">
        <v>349</v>
      </c>
      <c r="E38" s="609" t="s">
        <v>371</v>
      </c>
      <c r="F38" s="610">
        <v>132</v>
      </c>
      <c r="G38" s="131">
        <f t="shared" si="0"/>
        <v>51.126</v>
      </c>
      <c r="H38" s="611">
        <v>39741.40625</v>
      </c>
      <c r="I38" s="350">
        <v>39741.760416666664</v>
      </c>
      <c r="J38" s="612">
        <f t="shared" si="1"/>
        <v>8.499999999941792</v>
      </c>
      <c r="K38" s="613">
        <f t="shared" si="2"/>
        <v>510</v>
      </c>
      <c r="L38" s="431" t="s">
        <v>292</v>
      </c>
      <c r="M38" s="352" t="str">
        <f t="shared" si="3"/>
        <v>--</v>
      </c>
      <c r="N38" s="614">
        <f t="shared" si="4"/>
        <v>40</v>
      </c>
      <c r="O38" s="615">
        <f t="shared" si="5"/>
        <v>1738.284</v>
      </c>
      <c r="P38" s="616" t="str">
        <f t="shared" si="6"/>
        <v>--</v>
      </c>
      <c r="Q38" s="617" t="str">
        <f t="shared" si="7"/>
        <v>--</v>
      </c>
      <c r="R38" s="359" t="str">
        <f t="shared" si="8"/>
        <v>--</v>
      </c>
      <c r="S38" s="352" t="str">
        <f t="shared" si="9"/>
        <v>SI</v>
      </c>
      <c r="T38" s="618">
        <v>0</v>
      </c>
      <c r="U38" s="6"/>
    </row>
    <row r="39" spans="2:21" s="5" customFormat="1" ht="16.5" customHeight="1">
      <c r="B39" s="50"/>
      <c r="C39" s="486">
        <v>53</v>
      </c>
      <c r="D39" s="609" t="s">
        <v>349</v>
      </c>
      <c r="E39" s="609" t="s">
        <v>372</v>
      </c>
      <c r="F39" s="610">
        <v>132</v>
      </c>
      <c r="G39" s="131">
        <f t="shared" si="0"/>
        <v>51.126</v>
      </c>
      <c r="H39" s="611">
        <v>39744.37013888889</v>
      </c>
      <c r="I39" s="350">
        <v>39744.76388888889</v>
      </c>
      <c r="J39" s="612">
        <f t="shared" si="1"/>
        <v>9.45000000006985</v>
      </c>
      <c r="K39" s="613">
        <f t="shared" si="2"/>
        <v>567</v>
      </c>
      <c r="L39" s="431" t="s">
        <v>292</v>
      </c>
      <c r="M39" s="352" t="str">
        <f t="shared" si="3"/>
        <v>--</v>
      </c>
      <c r="N39" s="614">
        <f t="shared" si="4"/>
        <v>40</v>
      </c>
      <c r="O39" s="615">
        <f t="shared" si="5"/>
        <v>1932.5627999999997</v>
      </c>
      <c r="P39" s="616" t="str">
        <f t="shared" si="6"/>
        <v>--</v>
      </c>
      <c r="Q39" s="617" t="str">
        <f t="shared" si="7"/>
        <v>--</v>
      </c>
      <c r="R39" s="359" t="str">
        <f t="shared" si="8"/>
        <v>--</v>
      </c>
      <c r="S39" s="352" t="str">
        <f t="shared" si="9"/>
        <v>SI</v>
      </c>
      <c r="T39" s="618">
        <v>0</v>
      </c>
      <c r="U39" s="6"/>
    </row>
    <row r="40" spans="2:21" s="5" customFormat="1" ht="16.5" customHeight="1">
      <c r="B40" s="50"/>
      <c r="C40" s="354">
        <v>54</v>
      </c>
      <c r="D40" s="609" t="s">
        <v>373</v>
      </c>
      <c r="E40" s="609" t="s">
        <v>374</v>
      </c>
      <c r="F40" s="610">
        <v>220</v>
      </c>
      <c r="G40" s="131">
        <f t="shared" si="0"/>
        <v>57.511</v>
      </c>
      <c r="H40" s="611">
        <v>39745.61111111111</v>
      </c>
      <c r="I40" s="350">
        <v>39745.67847222222</v>
      </c>
      <c r="J40" s="612">
        <f t="shared" si="1"/>
        <v>1.6166666666977108</v>
      </c>
      <c r="K40" s="613">
        <f t="shared" si="2"/>
        <v>97</v>
      </c>
      <c r="L40" s="431" t="s">
        <v>325</v>
      </c>
      <c r="M40" s="352" t="str">
        <f t="shared" si="3"/>
        <v>NO</v>
      </c>
      <c r="N40" s="614">
        <f t="shared" si="4"/>
        <v>100</v>
      </c>
      <c r="O40" s="615" t="str">
        <f t="shared" si="5"/>
        <v>--</v>
      </c>
      <c r="P40" s="616">
        <f t="shared" si="6"/>
        <v>5751.1</v>
      </c>
      <c r="Q40" s="617">
        <f t="shared" si="7"/>
        <v>9316.782000000001</v>
      </c>
      <c r="R40" s="359" t="str">
        <f t="shared" si="8"/>
        <v>--</v>
      </c>
      <c r="S40" s="352" t="str">
        <f t="shared" si="9"/>
        <v>SI</v>
      </c>
      <c r="T40" s="618">
        <f t="shared" si="10"/>
        <v>15067.882000000001</v>
      </c>
      <c r="U40" s="6"/>
    </row>
    <row r="41" spans="2:21" s="5" customFormat="1" ht="16.5" customHeight="1">
      <c r="B41" s="50"/>
      <c r="C41" s="486">
        <v>55</v>
      </c>
      <c r="D41" s="609" t="s">
        <v>375</v>
      </c>
      <c r="E41" s="609" t="s">
        <v>376</v>
      </c>
      <c r="F41" s="610">
        <v>132</v>
      </c>
      <c r="G41" s="131">
        <f t="shared" si="0"/>
        <v>51.126</v>
      </c>
      <c r="H41" s="611">
        <v>39746.33819444444</v>
      </c>
      <c r="I41" s="350">
        <v>39746.64166666667</v>
      </c>
      <c r="J41" s="612">
        <f t="shared" si="1"/>
        <v>7.283333333500195</v>
      </c>
      <c r="K41" s="613">
        <f t="shared" si="2"/>
        <v>437</v>
      </c>
      <c r="L41" s="431" t="s">
        <v>292</v>
      </c>
      <c r="M41" s="352" t="str">
        <f t="shared" si="3"/>
        <v>--</v>
      </c>
      <c r="N41" s="614">
        <f t="shared" si="4"/>
        <v>40</v>
      </c>
      <c r="O41" s="615">
        <f t="shared" si="5"/>
        <v>1488.7891200000001</v>
      </c>
      <c r="P41" s="616" t="str">
        <f t="shared" si="6"/>
        <v>--</v>
      </c>
      <c r="Q41" s="617" t="str">
        <f t="shared" si="7"/>
        <v>--</v>
      </c>
      <c r="R41" s="359" t="str">
        <f t="shared" si="8"/>
        <v>--</v>
      </c>
      <c r="S41" s="352" t="str">
        <f t="shared" si="9"/>
        <v>SI</v>
      </c>
      <c r="T41" s="618">
        <f t="shared" si="10"/>
        <v>1488.7891200000001</v>
      </c>
      <c r="U41" s="6"/>
    </row>
    <row r="42" spans="2:21" s="5" customFormat="1" ht="16.5" customHeight="1">
      <c r="B42" s="50"/>
      <c r="C42" s="354">
        <v>56</v>
      </c>
      <c r="D42" s="609" t="s">
        <v>349</v>
      </c>
      <c r="E42" s="609" t="s">
        <v>377</v>
      </c>
      <c r="F42" s="610">
        <v>220</v>
      </c>
      <c r="G42" s="131">
        <f t="shared" si="0"/>
        <v>57.511</v>
      </c>
      <c r="H42" s="611">
        <v>39746.410416666666</v>
      </c>
      <c r="I42" s="350">
        <v>39746.623611111114</v>
      </c>
      <c r="J42" s="612">
        <f t="shared" si="1"/>
        <v>5.116666666755918</v>
      </c>
      <c r="K42" s="613">
        <f t="shared" si="2"/>
        <v>307</v>
      </c>
      <c r="L42" s="431" t="s">
        <v>292</v>
      </c>
      <c r="M42" s="352" t="str">
        <f t="shared" si="3"/>
        <v>--</v>
      </c>
      <c r="N42" s="614">
        <f t="shared" si="4"/>
        <v>100</v>
      </c>
      <c r="O42" s="615">
        <f t="shared" si="5"/>
        <v>2944.5632000000005</v>
      </c>
      <c r="P42" s="616" t="str">
        <f t="shared" si="6"/>
        <v>--</v>
      </c>
      <c r="Q42" s="617" t="str">
        <f t="shared" si="7"/>
        <v>--</v>
      </c>
      <c r="R42" s="359" t="str">
        <f t="shared" si="8"/>
        <v>--</v>
      </c>
      <c r="S42" s="352" t="str">
        <f t="shared" si="9"/>
        <v>SI</v>
      </c>
      <c r="T42" s="618">
        <v>0</v>
      </c>
      <c r="U42" s="6"/>
    </row>
    <row r="43" spans="2:21" s="5" customFormat="1" ht="16.5" customHeight="1">
      <c r="B43" s="50"/>
      <c r="C43" s="486"/>
      <c r="D43" s="609"/>
      <c r="E43" s="609"/>
      <c r="F43" s="610"/>
      <c r="G43" s="131">
        <f t="shared" si="0"/>
        <v>51.126</v>
      </c>
      <c r="H43" s="611"/>
      <c r="I43" s="350"/>
      <c r="J43" s="612">
        <f t="shared" si="1"/>
      </c>
      <c r="K43" s="613">
        <f t="shared" si="2"/>
      </c>
      <c r="L43" s="431"/>
      <c r="M43" s="352">
        <f t="shared" si="3"/>
      </c>
      <c r="N43" s="614">
        <f t="shared" si="4"/>
        <v>40</v>
      </c>
      <c r="O43" s="615" t="str">
        <f t="shared" si="5"/>
        <v>--</v>
      </c>
      <c r="P43" s="616" t="str">
        <f t="shared" si="6"/>
        <v>--</v>
      </c>
      <c r="Q43" s="617" t="str">
        <f t="shared" si="7"/>
        <v>--</v>
      </c>
      <c r="R43" s="359" t="str">
        <f t="shared" si="8"/>
        <v>--</v>
      </c>
      <c r="S43" s="352">
        <f t="shared" si="9"/>
      </c>
      <c r="T43" s="618">
        <f t="shared" si="10"/>
      </c>
      <c r="U43" s="6"/>
    </row>
    <row r="44" spans="2:21" s="5" customFormat="1" ht="16.5" customHeight="1" thickBot="1">
      <c r="B44" s="50"/>
      <c r="C44" s="354"/>
      <c r="D44" s="346"/>
      <c r="E44" s="346"/>
      <c r="F44" s="440"/>
      <c r="G44" s="132"/>
      <c r="H44" s="619"/>
      <c r="I44" s="619"/>
      <c r="J44" s="620"/>
      <c r="K44" s="620"/>
      <c r="L44" s="619"/>
      <c r="M44" s="351"/>
      <c r="N44" s="621"/>
      <c r="O44" s="622"/>
      <c r="P44" s="623"/>
      <c r="Q44" s="624"/>
      <c r="R44" s="361"/>
      <c r="S44" s="351"/>
      <c r="T44" s="625"/>
      <c r="U44" s="6"/>
    </row>
    <row r="45" spans="2:21" s="5" customFormat="1" ht="16.5" customHeight="1" thickBot="1" thickTop="1">
      <c r="B45" s="50"/>
      <c r="C45" s="128" t="s">
        <v>26</v>
      </c>
      <c r="D45" s="129" t="s">
        <v>406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626">
        <f>SUM(O22:O44)</f>
        <v>112444.60616000002</v>
      </c>
      <c r="P45" s="627">
        <f>SUM(P22:P44)</f>
        <v>5751.1</v>
      </c>
      <c r="Q45" s="628">
        <f>SUM(Q22:Q44)</f>
        <v>9316.782000000001</v>
      </c>
      <c r="R45" s="629">
        <f>SUM(R22:R44)</f>
        <v>0</v>
      </c>
      <c r="S45" s="630"/>
      <c r="T45" s="101">
        <f>ROUND(SUM(T22:T44),2)</f>
        <v>107786.33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376"/>
      <c r="V47" s="376"/>
      <c r="W47" s="376"/>
    </row>
    <row r="48" spans="21:23" ht="16.5" customHeight="1">
      <c r="U48" s="376"/>
      <c r="V48" s="376"/>
      <c r="W48" s="376"/>
    </row>
    <row r="49" spans="21:23" ht="16.5" customHeight="1">
      <c r="U49" s="376"/>
      <c r="V49" s="376"/>
      <c r="W49" s="376"/>
    </row>
    <row r="50" spans="21:23" ht="16.5" customHeight="1">
      <c r="U50" s="376"/>
      <c r="V50" s="376"/>
      <c r="W50" s="376"/>
    </row>
    <row r="51" spans="21:23" ht="16.5" customHeight="1">
      <c r="U51" s="376"/>
      <c r="V51" s="376"/>
      <c r="W51" s="376"/>
    </row>
    <row r="52" spans="4:23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</row>
    <row r="53" spans="4:23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</row>
    <row r="54" spans="4:23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</row>
    <row r="55" spans="4:23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</row>
    <row r="56" spans="4:23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</row>
    <row r="57" spans="4:23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</row>
    <row r="58" spans="4:23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</row>
    <row r="59" spans="4:23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</row>
    <row r="60" spans="4:23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</row>
    <row r="61" spans="4:23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</row>
    <row r="62" spans="4:23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</row>
    <row r="63" spans="4:23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</row>
    <row r="64" spans="4:23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</row>
    <row r="65" spans="4:23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</row>
    <row r="66" spans="4:23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</row>
    <row r="67" spans="4:23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</row>
    <row r="68" spans="4:23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</row>
    <row r="69" spans="4:23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</row>
    <row r="70" spans="4:23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</row>
    <row r="71" spans="4:23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</row>
    <row r="72" spans="4:23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</row>
    <row r="73" spans="4:23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</row>
    <row r="74" spans="4:23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</row>
    <row r="75" spans="4:23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</row>
    <row r="76" spans="4:23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</row>
    <row r="77" spans="4:23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</row>
    <row r="78" spans="4:23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</row>
    <row r="79" spans="4:23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</row>
    <row r="80" spans="4:23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</row>
    <row r="81" spans="4:23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</row>
    <row r="82" spans="4:23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</row>
    <row r="83" spans="4:23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</row>
    <row r="84" spans="4:23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</row>
    <row r="85" spans="4:23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</row>
    <row r="86" spans="4:23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</row>
    <row r="87" spans="4:23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</row>
    <row r="88" spans="4:23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</row>
    <row r="89" spans="4:23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</row>
    <row r="90" spans="4:23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</row>
    <row r="91" spans="4:23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</row>
    <row r="92" spans="4:23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</row>
    <row r="93" spans="4:23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</row>
    <row r="94" spans="4:23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</row>
    <row r="95" spans="4:23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</row>
    <row r="96" spans="4:23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</row>
    <row r="97" spans="4:23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</row>
    <row r="98" spans="4:23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</row>
    <row r="99" spans="4:23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</row>
    <row r="100" spans="4:23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</row>
    <row r="101" spans="4:23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</row>
    <row r="102" spans="4:23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</row>
    <row r="103" spans="4:23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</row>
    <row r="104" spans="4:23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</row>
    <row r="105" spans="4:23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</row>
    <row r="106" spans="4:23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</row>
    <row r="107" spans="4:23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</row>
    <row r="108" spans="4:23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</row>
    <row r="109" spans="4:23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</row>
    <row r="110" spans="4:23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</row>
    <row r="111" spans="4:23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</row>
    <row r="112" spans="4:23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</row>
    <row r="113" spans="4:23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</row>
    <row r="114" spans="4:23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</row>
    <row r="115" spans="4:23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</row>
    <row r="116" spans="4:23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</row>
    <row r="117" spans="4:23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</row>
    <row r="118" spans="4:23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</row>
    <row r="119" spans="4:23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</row>
    <row r="120" spans="4:23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</row>
    <row r="121" spans="4:23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</row>
    <row r="122" spans="4:23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</row>
    <row r="123" spans="4:23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</row>
    <row r="124" spans="4:23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</row>
    <row r="125" spans="4:23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</row>
    <row r="126" spans="4:23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</row>
    <row r="127" spans="4:23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</row>
    <row r="128" spans="4:23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</row>
    <row r="129" spans="4:23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</row>
    <row r="130" spans="4:23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</row>
    <row r="131" spans="4:23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</row>
    <row r="132" spans="4:23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</row>
    <row r="133" spans="4:23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</row>
    <row r="134" spans="4:23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</row>
    <row r="135" spans="4:23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</row>
    <row r="136" spans="4:23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</row>
    <row r="137" spans="4:23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</row>
    <row r="138" spans="4:23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</row>
    <row r="139" spans="4:23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</row>
    <row r="140" spans="4:23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</row>
    <row r="141" spans="4:23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</row>
    <row r="142" spans="4:23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</row>
    <row r="143" spans="4:23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</row>
    <row r="144" spans="4:23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</row>
    <row r="145" spans="4:23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</row>
    <row r="146" spans="4:23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</row>
    <row r="147" spans="4:23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</row>
    <row r="148" spans="4:23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</row>
    <row r="149" spans="4:23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</row>
    <row r="150" spans="4:23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</row>
    <row r="151" spans="4:23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</row>
    <row r="152" spans="4:23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</row>
    <row r="153" spans="4:23" ht="16.5" customHeight="1"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</row>
    <row r="154" spans="4:23" ht="16.5" customHeight="1"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</row>
    <row r="155" spans="4:23" ht="16.5" customHeight="1"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</row>
    <row r="156" spans="4:23" ht="16.5" customHeight="1"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</row>
    <row r="157" spans="4:23" ht="16.5" customHeight="1"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</row>
    <row r="158" spans="4:23" ht="16.5" customHeight="1"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</row>
    <row r="159" spans="4:23" ht="16.5" customHeight="1"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9"/>
  <sheetViews>
    <sheetView zoomScale="75" zoomScaleNormal="75" workbookViewId="0" topLeftCell="E1">
      <selection activeCell="U27" sqref="U2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8" customFormat="1" ht="26.25">
      <c r="U1" s="146"/>
    </row>
    <row r="2" spans="1:21" s="18" customFormat="1" ht="26.25">
      <c r="A2" s="91"/>
      <c r="B2" s="19" t="str">
        <f>+'TOT-1008'!B2</f>
        <v>ANEXO V al Memorándum D.T.E.E. N°  366 / 2010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="5" customFormat="1" ht="12.75">
      <c r="A3" s="90"/>
    </row>
    <row r="4" spans="1:2" s="25" customFormat="1" ht="11.25">
      <c r="A4" s="23" t="s">
        <v>2</v>
      </c>
      <c r="B4" s="125"/>
    </row>
    <row r="5" spans="1:2" s="25" customFormat="1" ht="11.25">
      <c r="A5" s="23" t="s">
        <v>3</v>
      </c>
      <c r="B5" s="125"/>
    </row>
    <row r="6" s="5" customFormat="1" ht="13.5" thickBot="1"/>
    <row r="7" spans="2:21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2:21" s="29" customFormat="1" ht="20.25">
      <c r="B8" s="79"/>
      <c r="C8" s="30"/>
      <c r="D8" s="12" t="s">
        <v>96</v>
      </c>
      <c r="L8" s="106"/>
      <c r="M8" s="106"/>
      <c r="N8" s="96"/>
      <c r="O8" s="30"/>
      <c r="P8" s="30"/>
      <c r="Q8" s="30"/>
      <c r="R8" s="30"/>
      <c r="S8" s="30"/>
      <c r="T8" s="30"/>
      <c r="U8" s="80"/>
    </row>
    <row r="9" spans="2:21" s="5" customFormat="1" ht="12.75">
      <c r="B9" s="50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6"/>
    </row>
    <row r="10" spans="2:21" s="29" customFormat="1" ht="20.25">
      <c r="B10" s="79"/>
      <c r="C10" s="30"/>
      <c r="D10" s="114" t="s">
        <v>305</v>
      </c>
      <c r="E10" s="566"/>
      <c r="F10" s="106"/>
      <c r="G10" s="109"/>
      <c r="I10" s="109"/>
      <c r="J10" s="109"/>
      <c r="K10" s="109"/>
      <c r="L10" s="109"/>
      <c r="M10" s="109"/>
      <c r="N10" s="109"/>
      <c r="O10" s="30"/>
      <c r="P10" s="30"/>
      <c r="Q10" s="30"/>
      <c r="R10" s="30"/>
      <c r="S10" s="30"/>
      <c r="T10" s="30"/>
      <c r="U10" s="80"/>
    </row>
    <row r="11" spans="2:21" s="5" customFormat="1" ht="13.5">
      <c r="B11" s="50"/>
      <c r="C11" s="4"/>
      <c r="D11" s="567"/>
      <c r="E11" s="567"/>
      <c r="F11" s="90"/>
      <c r="G11" s="97"/>
      <c r="H11" s="52"/>
      <c r="I11" s="97"/>
      <c r="J11" s="97"/>
      <c r="K11" s="97"/>
      <c r="L11" s="97"/>
      <c r="M11" s="97"/>
      <c r="N11" s="97"/>
      <c r="O11" s="4"/>
      <c r="P11" s="4"/>
      <c r="Q11" s="4"/>
      <c r="R11" s="4"/>
      <c r="S11" s="4"/>
      <c r="T11" s="4"/>
      <c r="U11" s="6"/>
    </row>
    <row r="12" spans="2:21" s="29" customFormat="1" ht="20.25">
      <c r="B12" s="79"/>
      <c r="C12" s="30"/>
      <c r="D12" s="114" t="s">
        <v>112</v>
      </c>
      <c r="E12" s="566"/>
      <c r="F12" s="106"/>
      <c r="G12" s="109"/>
      <c r="I12" s="109"/>
      <c r="J12" s="109"/>
      <c r="K12" s="109"/>
      <c r="L12" s="109"/>
      <c r="M12" s="109"/>
      <c r="N12" s="109"/>
      <c r="O12" s="30"/>
      <c r="P12" s="30"/>
      <c r="Q12" s="30"/>
      <c r="R12" s="30"/>
      <c r="S12" s="30"/>
      <c r="T12" s="30"/>
      <c r="U12" s="80"/>
    </row>
    <row r="13" spans="2:21" s="5" customFormat="1" ht="13.5">
      <c r="B13" s="50"/>
      <c r="C13" s="4"/>
      <c r="D13" s="567"/>
      <c r="E13" s="567"/>
      <c r="F13" s="90"/>
      <c r="G13" s="97"/>
      <c r="H13" s="52"/>
      <c r="I13" s="97"/>
      <c r="J13" s="97"/>
      <c r="K13" s="97"/>
      <c r="L13" s="97"/>
      <c r="M13" s="97"/>
      <c r="N13" s="97"/>
      <c r="O13" s="4"/>
      <c r="P13" s="4"/>
      <c r="Q13" s="4"/>
      <c r="R13" s="4"/>
      <c r="S13" s="4"/>
      <c r="T13" s="4"/>
      <c r="U13" s="6"/>
    </row>
    <row r="14" spans="2:21" s="5" customFormat="1" ht="19.5">
      <c r="B14" s="37" t="str">
        <f>'TOT-1008'!B14</f>
        <v>Desde el 01 al 31 de octubre de 2008</v>
      </c>
      <c r="C14" s="40"/>
      <c r="D14" s="40"/>
      <c r="E14" s="40"/>
      <c r="F14" s="40"/>
      <c r="G14" s="568"/>
      <c r="H14" s="568"/>
      <c r="I14" s="568"/>
      <c r="J14" s="568"/>
      <c r="K14" s="568"/>
      <c r="L14" s="568"/>
      <c r="M14" s="568"/>
      <c r="N14" s="568"/>
      <c r="O14" s="40"/>
      <c r="P14" s="40"/>
      <c r="Q14" s="40"/>
      <c r="R14" s="40"/>
      <c r="S14" s="40"/>
      <c r="T14" s="40"/>
      <c r="U14" s="569"/>
    </row>
    <row r="15" spans="2:21" s="5" customFormat="1" ht="14.25" thickBot="1">
      <c r="B15" s="570"/>
      <c r="C15" s="571"/>
      <c r="D15" s="571"/>
      <c r="E15" s="571"/>
      <c r="F15" s="571"/>
      <c r="G15" s="572"/>
      <c r="H15" s="572"/>
      <c r="I15" s="572"/>
      <c r="J15" s="572"/>
      <c r="K15" s="572"/>
      <c r="L15" s="572"/>
      <c r="M15" s="572"/>
      <c r="N15" s="572"/>
      <c r="O15" s="571"/>
      <c r="P15" s="571"/>
      <c r="Q15" s="571"/>
      <c r="R15" s="571"/>
      <c r="S15" s="571"/>
      <c r="T15" s="571"/>
      <c r="U15" s="573"/>
    </row>
    <row r="16" spans="2:21" s="5" customFormat="1" ht="15" thickBot="1" thickTop="1">
      <c r="B16" s="50"/>
      <c r="C16" s="4"/>
      <c r="D16" s="574"/>
      <c r="E16" s="574"/>
      <c r="F16" s="118" t="s">
        <v>113</v>
      </c>
      <c r="G16" s="4"/>
      <c r="H16" s="5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50"/>
      <c r="C17" s="4"/>
      <c r="D17" s="575" t="s">
        <v>114</v>
      </c>
      <c r="E17" s="576">
        <v>63.904</v>
      </c>
      <c r="F17" s="577">
        <v>200</v>
      </c>
      <c r="T17" s="116"/>
      <c r="U17" s="6"/>
    </row>
    <row r="18" spans="2:21" s="5" customFormat="1" ht="16.5" customHeight="1" thickBot="1" thickTop="1">
      <c r="B18" s="50"/>
      <c r="C18" s="4"/>
      <c r="D18" s="578" t="s">
        <v>115</v>
      </c>
      <c r="E18" s="579">
        <v>57.511</v>
      </c>
      <c r="F18" s="577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50"/>
      <c r="C19" s="4"/>
      <c r="D19" s="580" t="s">
        <v>116</v>
      </c>
      <c r="E19" s="579">
        <v>51.126</v>
      </c>
      <c r="F19" s="577">
        <v>40</v>
      </c>
      <c r="I19" s="411"/>
      <c r="J19" s="412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50"/>
      <c r="C20" s="581"/>
      <c r="D20" s="582"/>
      <c r="E20" s="582"/>
      <c r="F20" s="583"/>
      <c r="G20" s="584"/>
      <c r="H20" s="584"/>
      <c r="I20" s="584"/>
      <c r="J20" s="584"/>
      <c r="K20" s="584"/>
      <c r="L20" s="584"/>
      <c r="M20" s="584"/>
      <c r="N20" s="585"/>
      <c r="O20" s="586"/>
      <c r="P20" s="587"/>
      <c r="Q20" s="587"/>
      <c r="R20" s="587"/>
      <c r="S20" s="588"/>
      <c r="T20" s="589"/>
      <c r="U20" s="6"/>
    </row>
    <row r="21" spans="2:21" s="5" customFormat="1" ht="33.75" customHeight="1" thickBot="1" thickTop="1">
      <c r="B21" s="50"/>
      <c r="C21" s="84" t="s">
        <v>13</v>
      </c>
      <c r="D21" s="86" t="s">
        <v>28</v>
      </c>
      <c r="E21" s="590" t="s">
        <v>29</v>
      </c>
      <c r="F21" s="591" t="s">
        <v>14</v>
      </c>
      <c r="G21" s="130" t="s">
        <v>16</v>
      </c>
      <c r="H21" s="85" t="s">
        <v>17</v>
      </c>
      <c r="I21" s="590" t="s">
        <v>18</v>
      </c>
      <c r="J21" s="592" t="s">
        <v>37</v>
      </c>
      <c r="K21" s="592" t="s">
        <v>32</v>
      </c>
      <c r="L21" s="88" t="s">
        <v>19</v>
      </c>
      <c r="M21" s="380" t="s">
        <v>33</v>
      </c>
      <c r="N21" s="136" t="s">
        <v>38</v>
      </c>
      <c r="O21" s="593" t="s">
        <v>97</v>
      </c>
      <c r="P21" s="381" t="s">
        <v>36</v>
      </c>
      <c r="Q21" s="594"/>
      <c r="R21" s="135" t="s">
        <v>22</v>
      </c>
      <c r="S21" s="133" t="s">
        <v>106</v>
      </c>
      <c r="T21" s="122" t="s">
        <v>25</v>
      </c>
      <c r="U21" s="6"/>
    </row>
    <row r="22" spans="2:21" s="5" customFormat="1" ht="16.5" customHeight="1" thickTop="1">
      <c r="B22" s="50"/>
      <c r="C22" s="7"/>
      <c r="D22" s="595"/>
      <c r="E22" s="595"/>
      <c r="F22" s="595"/>
      <c r="G22" s="429"/>
      <c r="H22" s="595"/>
      <c r="I22" s="595"/>
      <c r="J22" s="595"/>
      <c r="K22" s="595"/>
      <c r="L22" s="595"/>
      <c r="M22" s="595"/>
      <c r="N22" s="596"/>
      <c r="O22" s="597"/>
      <c r="P22" s="598"/>
      <c r="Q22" s="599"/>
      <c r="R22" s="600"/>
      <c r="S22" s="595"/>
      <c r="T22" s="601">
        <f>'SA-10 (1)'!T45</f>
        <v>107786.33</v>
      </c>
      <c r="U22" s="6"/>
    </row>
    <row r="23" spans="2:21" s="5" customFormat="1" ht="16.5" customHeight="1">
      <c r="B23" s="50"/>
      <c r="C23" s="486"/>
      <c r="D23" s="602"/>
      <c r="E23" s="602"/>
      <c r="F23" s="602"/>
      <c r="G23" s="603"/>
      <c r="H23" s="602"/>
      <c r="I23" s="602"/>
      <c r="J23" s="602"/>
      <c r="K23" s="602"/>
      <c r="L23" s="602"/>
      <c r="M23" s="602"/>
      <c r="N23" s="604"/>
      <c r="O23" s="605"/>
      <c r="P23" s="393"/>
      <c r="Q23" s="606"/>
      <c r="R23" s="607"/>
      <c r="S23" s="602"/>
      <c r="T23" s="608"/>
      <c r="U23" s="6"/>
    </row>
    <row r="24" spans="2:21" s="5" customFormat="1" ht="16.5" customHeight="1">
      <c r="B24" s="50"/>
      <c r="C24" s="354">
        <v>57</v>
      </c>
      <c r="D24" s="609" t="s">
        <v>353</v>
      </c>
      <c r="E24" s="609" t="s">
        <v>378</v>
      </c>
      <c r="F24" s="610">
        <v>132</v>
      </c>
      <c r="G24" s="131">
        <f aca="true" t="shared" si="0" ref="G24:G43">IF(F24=500,$E$17,IF(F24=220,$E$18,$E$19))</f>
        <v>51.126</v>
      </c>
      <c r="H24" s="611">
        <v>39749.35208333333</v>
      </c>
      <c r="I24" s="350">
        <v>39749.76875</v>
      </c>
      <c r="J24" s="612">
        <f aca="true" t="shared" si="1" ref="J24:J43">IF(D24="","",(I24-H24)*24)</f>
        <v>10.000000000116415</v>
      </c>
      <c r="K24" s="613">
        <f aca="true" t="shared" si="2" ref="K24:K43">IF(D24="","",ROUND((I24-H24)*24*60,0))</f>
        <v>600</v>
      </c>
      <c r="L24" s="431" t="s">
        <v>292</v>
      </c>
      <c r="M24" s="352" t="str">
        <f aca="true" t="shared" si="3" ref="M24:M43">IF(D24="","",IF(L24="P","--","NO"))</f>
        <v>--</v>
      </c>
      <c r="N24" s="614">
        <f aca="true" t="shared" si="4" ref="N24:N43">IF(F24=500,$F$17,IF(F24=220,$F$18,$F$19))</f>
        <v>40</v>
      </c>
      <c r="O24" s="615">
        <f aca="true" t="shared" si="5" ref="O24:O43">IF(L24="P",G24*N24*ROUND(K24/60,2)*0.1,"--")</f>
        <v>2045.0400000000002</v>
      </c>
      <c r="P24" s="616" t="str">
        <f aca="true" t="shared" si="6" ref="P24:P43">IF(AND(L24="F",M24="NO"),G24*N24,"--")</f>
        <v>--</v>
      </c>
      <c r="Q24" s="617" t="str">
        <f aca="true" t="shared" si="7" ref="Q24:Q43">IF(L24="F",G24*N24*ROUND(K24/60,2),"--")</f>
        <v>--</v>
      </c>
      <c r="R24" s="359" t="str">
        <f aca="true" t="shared" si="8" ref="R24:R43">IF(L24="RF",G24*N24*ROUND(K24/60,2),"--")</f>
        <v>--</v>
      </c>
      <c r="S24" s="352" t="str">
        <f aca="true" t="shared" si="9" ref="S24:S43">IF(D24="","","SI")</f>
        <v>SI</v>
      </c>
      <c r="T24" s="618">
        <v>0</v>
      </c>
      <c r="U24" s="6"/>
    </row>
    <row r="25" spans="2:21" s="5" customFormat="1" ht="16.5" customHeight="1">
      <c r="B25" s="50"/>
      <c r="C25" s="486">
        <v>58</v>
      </c>
      <c r="D25" s="609" t="s">
        <v>359</v>
      </c>
      <c r="E25" s="609" t="s">
        <v>379</v>
      </c>
      <c r="F25" s="610">
        <v>132</v>
      </c>
      <c r="G25" s="131">
        <f t="shared" si="0"/>
        <v>51.126</v>
      </c>
      <c r="H25" s="611">
        <v>39750.33472222222</v>
      </c>
      <c r="I25" s="350">
        <v>39750.70625</v>
      </c>
      <c r="J25" s="612">
        <f t="shared" si="1"/>
        <v>8.916666666744277</v>
      </c>
      <c r="K25" s="613">
        <f t="shared" si="2"/>
        <v>535</v>
      </c>
      <c r="L25" s="431" t="s">
        <v>292</v>
      </c>
      <c r="M25" s="352" t="str">
        <f t="shared" si="3"/>
        <v>--</v>
      </c>
      <c r="N25" s="614">
        <f t="shared" si="4"/>
        <v>40</v>
      </c>
      <c r="O25" s="615">
        <f t="shared" si="5"/>
        <v>1824.17568</v>
      </c>
      <c r="P25" s="616" t="str">
        <f t="shared" si="6"/>
        <v>--</v>
      </c>
      <c r="Q25" s="617" t="str">
        <f t="shared" si="7"/>
        <v>--</v>
      </c>
      <c r="R25" s="359" t="str">
        <f t="shared" si="8"/>
        <v>--</v>
      </c>
      <c r="S25" s="352" t="str">
        <f t="shared" si="9"/>
        <v>SI</v>
      </c>
      <c r="T25" s="618">
        <v>0</v>
      </c>
      <c r="U25" s="6"/>
    </row>
    <row r="26" spans="2:21" s="5" customFormat="1" ht="16.5" customHeight="1">
      <c r="B26" s="50"/>
      <c r="C26" s="354">
        <v>59</v>
      </c>
      <c r="D26" s="609" t="s">
        <v>373</v>
      </c>
      <c r="E26" s="609" t="s">
        <v>374</v>
      </c>
      <c r="F26" s="610">
        <v>220</v>
      </c>
      <c r="G26" s="131">
        <f t="shared" si="0"/>
        <v>57.511</v>
      </c>
      <c r="H26" s="611">
        <v>39750.45972222222</v>
      </c>
      <c r="I26" s="350">
        <v>39750.51944444444</v>
      </c>
      <c r="J26" s="612">
        <f t="shared" si="1"/>
        <v>1.4333333332906477</v>
      </c>
      <c r="K26" s="613">
        <f t="shared" si="2"/>
        <v>86</v>
      </c>
      <c r="L26" s="431" t="s">
        <v>292</v>
      </c>
      <c r="M26" s="352" t="str">
        <f t="shared" si="3"/>
        <v>--</v>
      </c>
      <c r="N26" s="614">
        <f t="shared" si="4"/>
        <v>100</v>
      </c>
      <c r="O26" s="615">
        <f t="shared" si="5"/>
        <v>822.4073000000001</v>
      </c>
      <c r="P26" s="616" t="str">
        <f t="shared" si="6"/>
        <v>--</v>
      </c>
      <c r="Q26" s="617" t="str">
        <f t="shared" si="7"/>
        <v>--</v>
      </c>
      <c r="R26" s="359" t="str">
        <f t="shared" si="8"/>
        <v>--</v>
      </c>
      <c r="S26" s="352" t="str">
        <f t="shared" si="9"/>
        <v>SI</v>
      </c>
      <c r="T26" s="618">
        <v>0</v>
      </c>
      <c r="U26" s="6"/>
    </row>
    <row r="27" spans="2:21" s="5" customFormat="1" ht="16.5" customHeight="1">
      <c r="B27" s="50"/>
      <c r="C27" s="486">
        <v>60</v>
      </c>
      <c r="D27" s="609" t="s">
        <v>340</v>
      </c>
      <c r="E27" s="609" t="s">
        <v>380</v>
      </c>
      <c r="F27" s="610">
        <v>132</v>
      </c>
      <c r="G27" s="131">
        <f t="shared" si="0"/>
        <v>51.126</v>
      </c>
      <c r="H27" s="611">
        <v>39751.27361111111</v>
      </c>
      <c r="I27" s="350">
        <v>39751.299305555556</v>
      </c>
      <c r="J27" s="612">
        <f t="shared" si="1"/>
        <v>0.6166666667559184</v>
      </c>
      <c r="K27" s="613">
        <f t="shared" si="2"/>
        <v>37</v>
      </c>
      <c r="L27" s="431" t="s">
        <v>325</v>
      </c>
      <c r="M27" s="352" t="s">
        <v>289</v>
      </c>
      <c r="N27" s="614">
        <f t="shared" si="4"/>
        <v>40</v>
      </c>
      <c r="O27" s="615" t="str">
        <f t="shared" si="5"/>
        <v>--</v>
      </c>
      <c r="P27" s="616" t="str">
        <f t="shared" si="6"/>
        <v>--</v>
      </c>
      <c r="Q27" s="617">
        <f t="shared" si="7"/>
        <v>1267.9248</v>
      </c>
      <c r="R27" s="359" t="str">
        <f t="shared" si="8"/>
        <v>--</v>
      </c>
      <c r="S27" s="352" t="str">
        <f t="shared" si="9"/>
        <v>SI</v>
      </c>
      <c r="T27" s="618">
        <f aca="true" t="shared" si="10" ref="T27:T43">IF(D27="","",SUM(O27:R27)*IF(S27="SI",1,2))</f>
        <v>1267.9248</v>
      </c>
      <c r="U27" s="6"/>
    </row>
    <row r="28" spans="2:21" s="5" customFormat="1" ht="16.5" customHeight="1">
      <c r="B28" s="50"/>
      <c r="C28" s="354">
        <v>61</v>
      </c>
      <c r="D28" s="609" t="s">
        <v>349</v>
      </c>
      <c r="E28" s="609" t="s">
        <v>372</v>
      </c>
      <c r="F28" s="610">
        <v>132</v>
      </c>
      <c r="G28" s="131">
        <f t="shared" si="0"/>
        <v>51.126</v>
      </c>
      <c r="H28" s="611">
        <v>39752.3875</v>
      </c>
      <c r="I28" s="350">
        <v>39752.80138888889</v>
      </c>
      <c r="J28" s="612">
        <f t="shared" si="1"/>
        <v>9.933333333407063</v>
      </c>
      <c r="K28" s="613">
        <f t="shared" si="2"/>
        <v>596</v>
      </c>
      <c r="L28" s="431" t="s">
        <v>292</v>
      </c>
      <c r="M28" s="352" t="str">
        <f t="shared" si="3"/>
        <v>--</v>
      </c>
      <c r="N28" s="614">
        <f t="shared" si="4"/>
        <v>40</v>
      </c>
      <c r="O28" s="615">
        <f t="shared" si="5"/>
        <v>2030.72472</v>
      </c>
      <c r="P28" s="616" t="str">
        <f t="shared" si="6"/>
        <v>--</v>
      </c>
      <c r="Q28" s="617" t="str">
        <f t="shared" si="7"/>
        <v>--</v>
      </c>
      <c r="R28" s="359" t="str">
        <f t="shared" si="8"/>
        <v>--</v>
      </c>
      <c r="S28" s="352" t="str">
        <f t="shared" si="9"/>
        <v>SI</v>
      </c>
      <c r="T28" s="618">
        <v>0</v>
      </c>
      <c r="U28" s="6"/>
    </row>
    <row r="29" spans="2:21" s="5" customFormat="1" ht="16.5" customHeight="1">
      <c r="B29" s="50"/>
      <c r="C29" s="486"/>
      <c r="D29" s="609"/>
      <c r="E29" s="609"/>
      <c r="F29" s="610"/>
      <c r="G29" s="131">
        <f t="shared" si="0"/>
        <v>51.126</v>
      </c>
      <c r="H29" s="611"/>
      <c r="I29" s="350"/>
      <c r="J29" s="612">
        <f t="shared" si="1"/>
      </c>
      <c r="K29" s="613">
        <f t="shared" si="2"/>
      </c>
      <c r="L29" s="431"/>
      <c r="M29" s="352">
        <f t="shared" si="3"/>
      </c>
      <c r="N29" s="614">
        <f t="shared" si="4"/>
        <v>40</v>
      </c>
      <c r="O29" s="615" t="str">
        <f t="shared" si="5"/>
        <v>--</v>
      </c>
      <c r="P29" s="616" t="str">
        <f t="shared" si="6"/>
        <v>--</v>
      </c>
      <c r="Q29" s="617" t="str">
        <f t="shared" si="7"/>
        <v>--</v>
      </c>
      <c r="R29" s="359" t="str">
        <f t="shared" si="8"/>
        <v>--</v>
      </c>
      <c r="S29" s="352">
        <f t="shared" si="9"/>
      </c>
      <c r="T29" s="618">
        <f t="shared" si="10"/>
      </c>
      <c r="U29" s="6"/>
    </row>
    <row r="30" spans="2:21" s="5" customFormat="1" ht="16.5" customHeight="1">
      <c r="B30" s="50"/>
      <c r="C30" s="354"/>
      <c r="D30" s="609"/>
      <c r="E30" s="609"/>
      <c r="F30" s="610"/>
      <c r="G30" s="131">
        <f t="shared" si="0"/>
        <v>51.126</v>
      </c>
      <c r="H30" s="611"/>
      <c r="I30" s="350"/>
      <c r="J30" s="612">
        <f t="shared" si="1"/>
      </c>
      <c r="K30" s="613">
        <f t="shared" si="2"/>
      </c>
      <c r="L30" s="431"/>
      <c r="M30" s="352">
        <f t="shared" si="3"/>
      </c>
      <c r="N30" s="614">
        <f t="shared" si="4"/>
        <v>40</v>
      </c>
      <c r="O30" s="615" t="str">
        <f t="shared" si="5"/>
        <v>--</v>
      </c>
      <c r="P30" s="616" t="str">
        <f t="shared" si="6"/>
        <v>--</v>
      </c>
      <c r="Q30" s="617" t="str">
        <f t="shared" si="7"/>
        <v>--</v>
      </c>
      <c r="R30" s="359" t="str">
        <f t="shared" si="8"/>
        <v>--</v>
      </c>
      <c r="S30" s="352">
        <f t="shared" si="9"/>
      </c>
      <c r="T30" s="618">
        <f t="shared" si="10"/>
      </c>
      <c r="U30" s="6"/>
    </row>
    <row r="31" spans="2:21" s="5" customFormat="1" ht="16.5" customHeight="1">
      <c r="B31" s="50"/>
      <c r="C31" s="486"/>
      <c r="D31" s="609"/>
      <c r="E31" s="609"/>
      <c r="F31" s="610"/>
      <c r="G31" s="131">
        <f t="shared" si="0"/>
        <v>51.126</v>
      </c>
      <c r="H31" s="611"/>
      <c r="I31" s="350"/>
      <c r="J31" s="612">
        <f t="shared" si="1"/>
      </c>
      <c r="K31" s="613">
        <f t="shared" si="2"/>
      </c>
      <c r="L31" s="431"/>
      <c r="M31" s="352">
        <f t="shared" si="3"/>
      </c>
      <c r="N31" s="614">
        <f t="shared" si="4"/>
        <v>40</v>
      </c>
      <c r="O31" s="615" t="str">
        <f t="shared" si="5"/>
        <v>--</v>
      </c>
      <c r="P31" s="616" t="str">
        <f t="shared" si="6"/>
        <v>--</v>
      </c>
      <c r="Q31" s="617" t="str">
        <f t="shared" si="7"/>
        <v>--</v>
      </c>
      <c r="R31" s="359" t="str">
        <f t="shared" si="8"/>
        <v>--</v>
      </c>
      <c r="S31" s="352">
        <f t="shared" si="9"/>
      </c>
      <c r="T31" s="618">
        <f t="shared" si="10"/>
      </c>
      <c r="U31" s="6"/>
    </row>
    <row r="32" spans="2:21" s="5" customFormat="1" ht="16.5" customHeight="1">
      <c r="B32" s="50"/>
      <c r="C32" s="354"/>
      <c r="D32" s="609"/>
      <c r="E32" s="609"/>
      <c r="F32" s="610"/>
      <c r="G32" s="131">
        <f t="shared" si="0"/>
        <v>51.126</v>
      </c>
      <c r="H32" s="611"/>
      <c r="I32" s="350"/>
      <c r="J32" s="612">
        <f t="shared" si="1"/>
      </c>
      <c r="K32" s="613">
        <f t="shared" si="2"/>
      </c>
      <c r="L32" s="431"/>
      <c r="M32" s="352">
        <f t="shared" si="3"/>
      </c>
      <c r="N32" s="614">
        <f t="shared" si="4"/>
        <v>40</v>
      </c>
      <c r="O32" s="615" t="str">
        <f t="shared" si="5"/>
        <v>--</v>
      </c>
      <c r="P32" s="616" t="str">
        <f t="shared" si="6"/>
        <v>--</v>
      </c>
      <c r="Q32" s="617" t="str">
        <f t="shared" si="7"/>
        <v>--</v>
      </c>
      <c r="R32" s="359" t="str">
        <f t="shared" si="8"/>
        <v>--</v>
      </c>
      <c r="S32" s="352">
        <f t="shared" si="9"/>
      </c>
      <c r="T32" s="618">
        <f t="shared" si="10"/>
      </c>
      <c r="U32" s="6"/>
    </row>
    <row r="33" spans="2:21" s="5" customFormat="1" ht="16.5" customHeight="1">
      <c r="B33" s="50"/>
      <c r="C33" s="486"/>
      <c r="D33" s="609"/>
      <c r="E33" s="609"/>
      <c r="F33" s="610"/>
      <c r="G33" s="131">
        <f t="shared" si="0"/>
        <v>51.126</v>
      </c>
      <c r="H33" s="611"/>
      <c r="I33" s="350"/>
      <c r="J33" s="612">
        <f t="shared" si="1"/>
      </c>
      <c r="K33" s="613">
        <f t="shared" si="2"/>
      </c>
      <c r="L33" s="431"/>
      <c r="M33" s="352">
        <f t="shared" si="3"/>
      </c>
      <c r="N33" s="614">
        <f t="shared" si="4"/>
        <v>40</v>
      </c>
      <c r="O33" s="615" t="str">
        <f t="shared" si="5"/>
        <v>--</v>
      </c>
      <c r="P33" s="616" t="str">
        <f t="shared" si="6"/>
        <v>--</v>
      </c>
      <c r="Q33" s="617" t="str">
        <f t="shared" si="7"/>
        <v>--</v>
      </c>
      <c r="R33" s="359" t="str">
        <f t="shared" si="8"/>
        <v>--</v>
      </c>
      <c r="S33" s="352">
        <f t="shared" si="9"/>
      </c>
      <c r="T33" s="618">
        <f t="shared" si="10"/>
      </c>
      <c r="U33" s="6"/>
    </row>
    <row r="34" spans="2:21" s="5" customFormat="1" ht="16.5" customHeight="1">
      <c r="B34" s="50"/>
      <c r="C34" s="354"/>
      <c r="D34" s="609"/>
      <c r="E34" s="609"/>
      <c r="F34" s="610"/>
      <c r="G34" s="131">
        <f t="shared" si="0"/>
        <v>51.126</v>
      </c>
      <c r="H34" s="611"/>
      <c r="I34" s="350"/>
      <c r="J34" s="612">
        <f t="shared" si="1"/>
      </c>
      <c r="K34" s="613">
        <f t="shared" si="2"/>
      </c>
      <c r="L34" s="431"/>
      <c r="M34" s="352">
        <f t="shared" si="3"/>
      </c>
      <c r="N34" s="614">
        <f t="shared" si="4"/>
        <v>40</v>
      </c>
      <c r="O34" s="615" t="str">
        <f t="shared" si="5"/>
        <v>--</v>
      </c>
      <c r="P34" s="616" t="str">
        <f t="shared" si="6"/>
        <v>--</v>
      </c>
      <c r="Q34" s="617" t="str">
        <f t="shared" si="7"/>
        <v>--</v>
      </c>
      <c r="R34" s="359" t="str">
        <f t="shared" si="8"/>
        <v>--</v>
      </c>
      <c r="S34" s="352">
        <f t="shared" si="9"/>
      </c>
      <c r="T34" s="618">
        <f t="shared" si="10"/>
      </c>
      <c r="U34" s="6"/>
    </row>
    <row r="35" spans="2:21" s="5" customFormat="1" ht="16.5" customHeight="1">
      <c r="B35" s="50"/>
      <c r="C35" s="486"/>
      <c r="D35" s="609"/>
      <c r="E35" s="609"/>
      <c r="F35" s="610"/>
      <c r="G35" s="131">
        <f t="shared" si="0"/>
        <v>51.126</v>
      </c>
      <c r="H35" s="611"/>
      <c r="I35" s="350"/>
      <c r="J35" s="612">
        <f t="shared" si="1"/>
      </c>
      <c r="K35" s="613">
        <f t="shared" si="2"/>
      </c>
      <c r="L35" s="431"/>
      <c r="M35" s="352">
        <f t="shared" si="3"/>
      </c>
      <c r="N35" s="614">
        <f t="shared" si="4"/>
        <v>40</v>
      </c>
      <c r="O35" s="615" t="str">
        <f t="shared" si="5"/>
        <v>--</v>
      </c>
      <c r="P35" s="616" t="str">
        <f t="shared" si="6"/>
        <v>--</v>
      </c>
      <c r="Q35" s="617" t="str">
        <f t="shared" si="7"/>
        <v>--</v>
      </c>
      <c r="R35" s="359" t="str">
        <f t="shared" si="8"/>
        <v>--</v>
      </c>
      <c r="S35" s="352">
        <f t="shared" si="9"/>
      </c>
      <c r="T35" s="618">
        <f t="shared" si="10"/>
      </c>
      <c r="U35" s="6"/>
    </row>
    <row r="36" spans="2:21" s="5" customFormat="1" ht="16.5" customHeight="1">
      <c r="B36" s="50"/>
      <c r="C36" s="354"/>
      <c r="D36" s="609"/>
      <c r="E36" s="609"/>
      <c r="F36" s="610"/>
      <c r="G36" s="131">
        <f t="shared" si="0"/>
        <v>51.126</v>
      </c>
      <c r="H36" s="611"/>
      <c r="I36" s="350"/>
      <c r="J36" s="612">
        <f t="shared" si="1"/>
      </c>
      <c r="K36" s="613">
        <f t="shared" si="2"/>
      </c>
      <c r="L36" s="431"/>
      <c r="M36" s="352">
        <f t="shared" si="3"/>
      </c>
      <c r="N36" s="614">
        <f t="shared" si="4"/>
        <v>40</v>
      </c>
      <c r="O36" s="615" t="str">
        <f t="shared" si="5"/>
        <v>--</v>
      </c>
      <c r="P36" s="616" t="str">
        <f t="shared" si="6"/>
        <v>--</v>
      </c>
      <c r="Q36" s="617" t="str">
        <f t="shared" si="7"/>
        <v>--</v>
      </c>
      <c r="R36" s="359" t="str">
        <f t="shared" si="8"/>
        <v>--</v>
      </c>
      <c r="S36" s="352">
        <f t="shared" si="9"/>
      </c>
      <c r="T36" s="618">
        <f t="shared" si="10"/>
      </c>
      <c r="U36" s="6"/>
    </row>
    <row r="37" spans="2:21" s="5" customFormat="1" ht="16.5" customHeight="1">
      <c r="B37" s="50"/>
      <c r="C37" s="486"/>
      <c r="D37" s="609"/>
      <c r="E37" s="609"/>
      <c r="F37" s="610"/>
      <c r="G37" s="131">
        <f t="shared" si="0"/>
        <v>51.126</v>
      </c>
      <c r="H37" s="611"/>
      <c r="I37" s="350"/>
      <c r="J37" s="612">
        <f t="shared" si="1"/>
      </c>
      <c r="K37" s="613">
        <f t="shared" si="2"/>
      </c>
      <c r="L37" s="431"/>
      <c r="M37" s="352">
        <f t="shared" si="3"/>
      </c>
      <c r="N37" s="614">
        <f t="shared" si="4"/>
        <v>40</v>
      </c>
      <c r="O37" s="615" t="str">
        <f t="shared" si="5"/>
        <v>--</v>
      </c>
      <c r="P37" s="616" t="str">
        <f t="shared" si="6"/>
        <v>--</v>
      </c>
      <c r="Q37" s="617" t="str">
        <f t="shared" si="7"/>
        <v>--</v>
      </c>
      <c r="R37" s="359" t="str">
        <f t="shared" si="8"/>
        <v>--</v>
      </c>
      <c r="S37" s="352">
        <f t="shared" si="9"/>
      </c>
      <c r="T37" s="618">
        <f t="shared" si="10"/>
      </c>
      <c r="U37" s="6"/>
    </row>
    <row r="38" spans="2:21" s="5" customFormat="1" ht="16.5" customHeight="1">
      <c r="B38" s="50"/>
      <c r="C38" s="354"/>
      <c r="D38" s="609"/>
      <c r="E38" s="609"/>
      <c r="F38" s="610"/>
      <c r="G38" s="131">
        <f t="shared" si="0"/>
        <v>51.126</v>
      </c>
      <c r="H38" s="611"/>
      <c r="I38" s="350"/>
      <c r="J38" s="612">
        <f t="shared" si="1"/>
      </c>
      <c r="K38" s="613">
        <f t="shared" si="2"/>
      </c>
      <c r="L38" s="431"/>
      <c r="M38" s="352">
        <f t="shared" si="3"/>
      </c>
      <c r="N38" s="614">
        <f t="shared" si="4"/>
        <v>40</v>
      </c>
      <c r="O38" s="615" t="str">
        <f t="shared" si="5"/>
        <v>--</v>
      </c>
      <c r="P38" s="616" t="str">
        <f t="shared" si="6"/>
        <v>--</v>
      </c>
      <c r="Q38" s="617" t="str">
        <f t="shared" si="7"/>
        <v>--</v>
      </c>
      <c r="R38" s="359" t="str">
        <f t="shared" si="8"/>
        <v>--</v>
      </c>
      <c r="S38" s="352">
        <f t="shared" si="9"/>
      </c>
      <c r="T38" s="618">
        <f t="shared" si="10"/>
      </c>
      <c r="U38" s="6"/>
    </row>
    <row r="39" spans="2:21" s="5" customFormat="1" ht="16.5" customHeight="1">
      <c r="B39" s="50"/>
      <c r="C39" s="486"/>
      <c r="D39" s="609"/>
      <c r="E39" s="609"/>
      <c r="F39" s="610"/>
      <c r="G39" s="131">
        <f t="shared" si="0"/>
        <v>51.126</v>
      </c>
      <c r="H39" s="611"/>
      <c r="I39" s="350"/>
      <c r="J39" s="612">
        <f t="shared" si="1"/>
      </c>
      <c r="K39" s="613">
        <f t="shared" si="2"/>
      </c>
      <c r="L39" s="431"/>
      <c r="M39" s="352">
        <f t="shared" si="3"/>
      </c>
      <c r="N39" s="614">
        <f t="shared" si="4"/>
        <v>40</v>
      </c>
      <c r="O39" s="615" t="str">
        <f t="shared" si="5"/>
        <v>--</v>
      </c>
      <c r="P39" s="616" t="str">
        <f t="shared" si="6"/>
        <v>--</v>
      </c>
      <c r="Q39" s="617" t="str">
        <f t="shared" si="7"/>
        <v>--</v>
      </c>
      <c r="R39" s="359" t="str">
        <f t="shared" si="8"/>
        <v>--</v>
      </c>
      <c r="S39" s="352">
        <f t="shared" si="9"/>
      </c>
      <c r="T39" s="618">
        <f t="shared" si="10"/>
      </c>
      <c r="U39" s="6"/>
    </row>
    <row r="40" spans="2:21" s="5" customFormat="1" ht="16.5" customHeight="1">
      <c r="B40" s="50"/>
      <c r="C40" s="354"/>
      <c r="D40" s="609"/>
      <c r="E40" s="609"/>
      <c r="F40" s="610"/>
      <c r="G40" s="131">
        <f t="shared" si="0"/>
        <v>51.126</v>
      </c>
      <c r="H40" s="611"/>
      <c r="I40" s="350"/>
      <c r="J40" s="612">
        <f t="shared" si="1"/>
      </c>
      <c r="K40" s="613">
        <f t="shared" si="2"/>
      </c>
      <c r="L40" s="431"/>
      <c r="M40" s="352">
        <f t="shared" si="3"/>
      </c>
      <c r="N40" s="614">
        <f t="shared" si="4"/>
        <v>40</v>
      </c>
      <c r="O40" s="615" t="str">
        <f t="shared" si="5"/>
        <v>--</v>
      </c>
      <c r="P40" s="616" t="str">
        <f t="shared" si="6"/>
        <v>--</v>
      </c>
      <c r="Q40" s="617" t="str">
        <f t="shared" si="7"/>
        <v>--</v>
      </c>
      <c r="R40" s="359" t="str">
        <f t="shared" si="8"/>
        <v>--</v>
      </c>
      <c r="S40" s="352">
        <f t="shared" si="9"/>
      </c>
      <c r="T40" s="618">
        <f t="shared" si="10"/>
      </c>
      <c r="U40" s="6"/>
    </row>
    <row r="41" spans="2:21" s="5" customFormat="1" ht="16.5" customHeight="1">
      <c r="B41" s="50"/>
      <c r="C41" s="486"/>
      <c r="D41" s="609"/>
      <c r="E41" s="609"/>
      <c r="F41" s="610"/>
      <c r="G41" s="131">
        <f t="shared" si="0"/>
        <v>51.126</v>
      </c>
      <c r="H41" s="611"/>
      <c r="I41" s="350"/>
      <c r="J41" s="612">
        <f t="shared" si="1"/>
      </c>
      <c r="K41" s="613">
        <f t="shared" si="2"/>
      </c>
      <c r="L41" s="431"/>
      <c r="M41" s="352">
        <f t="shared" si="3"/>
      </c>
      <c r="N41" s="614">
        <f t="shared" si="4"/>
        <v>40</v>
      </c>
      <c r="O41" s="615" t="str">
        <f t="shared" si="5"/>
        <v>--</v>
      </c>
      <c r="P41" s="616" t="str">
        <f t="shared" si="6"/>
        <v>--</v>
      </c>
      <c r="Q41" s="617" t="str">
        <f t="shared" si="7"/>
        <v>--</v>
      </c>
      <c r="R41" s="359" t="str">
        <f t="shared" si="8"/>
        <v>--</v>
      </c>
      <c r="S41" s="352">
        <f t="shared" si="9"/>
      </c>
      <c r="T41" s="618">
        <f t="shared" si="10"/>
      </c>
      <c r="U41" s="6"/>
    </row>
    <row r="42" spans="2:21" s="5" customFormat="1" ht="16.5" customHeight="1">
      <c r="B42" s="50"/>
      <c r="C42" s="354"/>
      <c r="D42" s="609"/>
      <c r="E42" s="609"/>
      <c r="F42" s="610"/>
      <c r="G42" s="131">
        <f t="shared" si="0"/>
        <v>51.126</v>
      </c>
      <c r="H42" s="611"/>
      <c r="I42" s="350"/>
      <c r="J42" s="612">
        <f t="shared" si="1"/>
      </c>
      <c r="K42" s="613">
        <f t="shared" si="2"/>
      </c>
      <c r="L42" s="431"/>
      <c r="M42" s="352">
        <f t="shared" si="3"/>
      </c>
      <c r="N42" s="614">
        <f t="shared" si="4"/>
        <v>40</v>
      </c>
      <c r="O42" s="615" t="str">
        <f t="shared" si="5"/>
        <v>--</v>
      </c>
      <c r="P42" s="616" t="str">
        <f t="shared" si="6"/>
        <v>--</v>
      </c>
      <c r="Q42" s="617" t="str">
        <f t="shared" si="7"/>
        <v>--</v>
      </c>
      <c r="R42" s="359" t="str">
        <f t="shared" si="8"/>
        <v>--</v>
      </c>
      <c r="S42" s="352">
        <f t="shared" si="9"/>
      </c>
      <c r="T42" s="618">
        <f t="shared" si="10"/>
      </c>
      <c r="U42" s="6"/>
    </row>
    <row r="43" spans="2:21" s="5" customFormat="1" ht="16.5" customHeight="1">
      <c r="B43" s="50"/>
      <c r="C43" s="486"/>
      <c r="D43" s="609"/>
      <c r="E43" s="609"/>
      <c r="F43" s="610"/>
      <c r="G43" s="131">
        <f t="shared" si="0"/>
        <v>51.126</v>
      </c>
      <c r="H43" s="611"/>
      <c r="I43" s="350"/>
      <c r="J43" s="612">
        <f t="shared" si="1"/>
      </c>
      <c r="K43" s="613">
        <f t="shared" si="2"/>
      </c>
      <c r="L43" s="431"/>
      <c r="M43" s="352">
        <f t="shared" si="3"/>
      </c>
      <c r="N43" s="614">
        <f t="shared" si="4"/>
        <v>40</v>
      </c>
      <c r="O43" s="615" t="str">
        <f t="shared" si="5"/>
        <v>--</v>
      </c>
      <c r="P43" s="616" t="str">
        <f t="shared" si="6"/>
        <v>--</v>
      </c>
      <c r="Q43" s="617" t="str">
        <f t="shared" si="7"/>
        <v>--</v>
      </c>
      <c r="R43" s="359" t="str">
        <f t="shared" si="8"/>
        <v>--</v>
      </c>
      <c r="S43" s="352">
        <f t="shared" si="9"/>
      </c>
      <c r="T43" s="618">
        <f t="shared" si="10"/>
      </c>
      <c r="U43" s="6"/>
    </row>
    <row r="44" spans="2:21" s="5" customFormat="1" ht="16.5" customHeight="1" thickBot="1">
      <c r="B44" s="50"/>
      <c r="C44" s="354"/>
      <c r="D44" s="346"/>
      <c r="E44" s="346"/>
      <c r="F44" s="440"/>
      <c r="G44" s="132"/>
      <c r="H44" s="619"/>
      <c r="I44" s="619"/>
      <c r="J44" s="620"/>
      <c r="K44" s="620"/>
      <c r="L44" s="619"/>
      <c r="M44" s="351"/>
      <c r="N44" s="621"/>
      <c r="O44" s="622"/>
      <c r="P44" s="623"/>
      <c r="Q44" s="624"/>
      <c r="R44" s="361"/>
      <c r="S44" s="351"/>
      <c r="T44" s="625"/>
      <c r="U44" s="6"/>
    </row>
    <row r="45" spans="2:21" s="5" customFormat="1" ht="16.5" customHeight="1" thickBot="1" thickTop="1">
      <c r="B45" s="50"/>
      <c r="C45" s="128" t="s">
        <v>26</v>
      </c>
      <c r="D45" s="129" t="s">
        <v>406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626">
        <f>SUM(O22:O44)</f>
        <v>6722.3477</v>
      </c>
      <c r="P45" s="627">
        <f>SUM(P22:P44)</f>
        <v>0</v>
      </c>
      <c r="Q45" s="628">
        <f>SUM(Q22:Q44)</f>
        <v>1267.9248</v>
      </c>
      <c r="R45" s="629">
        <f>SUM(R22:R44)</f>
        <v>0</v>
      </c>
      <c r="S45" s="630"/>
      <c r="T45" s="101">
        <f>ROUND(SUM(T22:T44),2)</f>
        <v>109054.25</v>
      </c>
      <c r="U45" s="6"/>
    </row>
    <row r="46" spans="2:21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</row>
    <row r="47" spans="21:23" ht="16.5" customHeight="1" thickTop="1">
      <c r="U47" s="376"/>
      <c r="V47" s="376"/>
      <c r="W47" s="376"/>
    </row>
    <row r="48" spans="21:23" ht="16.5" customHeight="1">
      <c r="U48" s="376"/>
      <c r="V48" s="376"/>
      <c r="W48" s="376"/>
    </row>
    <row r="49" spans="21:23" ht="16.5" customHeight="1">
      <c r="U49" s="376"/>
      <c r="V49" s="376"/>
      <c r="W49" s="376"/>
    </row>
    <row r="50" spans="21:23" ht="16.5" customHeight="1">
      <c r="U50" s="376"/>
      <c r="V50" s="376"/>
      <c r="W50" s="376"/>
    </row>
    <row r="51" spans="21:23" ht="16.5" customHeight="1">
      <c r="U51" s="376"/>
      <c r="V51" s="376"/>
      <c r="W51" s="376"/>
    </row>
    <row r="52" spans="4:23" ht="16.5" customHeight="1"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</row>
    <row r="53" spans="4:23" ht="16.5" customHeight="1"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</row>
    <row r="54" spans="4:23" ht="16.5" customHeight="1"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</row>
    <row r="55" spans="4:23" ht="16.5" customHeight="1"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</row>
    <row r="56" spans="4:23" ht="16.5" customHeight="1"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</row>
    <row r="57" spans="4:23" ht="16.5" customHeight="1"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</row>
    <row r="58" spans="4:23" ht="16.5" customHeight="1"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</row>
    <row r="59" spans="4:23" ht="16.5" customHeight="1"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</row>
    <row r="60" spans="4:23" ht="16.5" customHeight="1"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</row>
    <row r="61" spans="4:23" ht="16.5" customHeight="1"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</row>
    <row r="62" spans="4:23" ht="16.5" customHeight="1"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</row>
    <row r="63" spans="4:23" ht="16.5" customHeight="1"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</row>
    <row r="64" spans="4:23" ht="16.5" customHeight="1"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</row>
    <row r="65" spans="4:23" ht="16.5" customHeight="1"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</row>
    <row r="66" spans="4:23" ht="16.5" customHeight="1"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</row>
    <row r="67" spans="4:23" ht="16.5" customHeight="1"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</row>
    <row r="68" spans="4:23" ht="16.5" customHeight="1"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</row>
    <row r="69" spans="4:23" ht="16.5" customHeight="1"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</row>
    <row r="70" spans="4:23" ht="16.5" customHeight="1"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</row>
    <row r="71" spans="4:23" ht="16.5" customHeight="1"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</row>
    <row r="72" spans="4:23" ht="16.5" customHeight="1"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</row>
    <row r="73" spans="4:23" ht="16.5" customHeight="1"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</row>
    <row r="74" spans="4:23" ht="16.5" customHeight="1"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</row>
    <row r="75" spans="4:23" ht="16.5" customHeight="1"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</row>
    <row r="76" spans="4:23" ht="16.5" customHeight="1"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</row>
    <row r="77" spans="4:23" ht="16.5" customHeight="1"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</row>
    <row r="78" spans="4:23" ht="16.5" customHeight="1"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</row>
    <row r="79" spans="4:23" ht="16.5" customHeight="1"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</row>
    <row r="80" spans="4:23" ht="16.5" customHeight="1"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</row>
    <row r="81" spans="4:23" ht="16.5" customHeight="1"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</row>
    <row r="82" spans="4:23" ht="16.5" customHeight="1"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</row>
    <row r="83" spans="4:23" ht="16.5" customHeight="1"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</row>
    <row r="84" spans="4:23" ht="16.5" customHeight="1"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</row>
    <row r="85" spans="4:23" ht="16.5" customHeight="1"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</row>
    <row r="86" spans="4:23" ht="16.5" customHeight="1"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</row>
    <row r="87" spans="4:23" ht="16.5" customHeight="1"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</row>
    <row r="88" spans="4:23" ht="16.5" customHeight="1"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</row>
    <row r="89" spans="4:23" ht="16.5" customHeight="1"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</row>
    <row r="90" spans="4:23" ht="16.5" customHeight="1"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</row>
    <row r="91" spans="4:23" ht="16.5" customHeight="1"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</row>
    <row r="92" spans="4:23" ht="16.5" customHeight="1"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</row>
    <row r="93" spans="4:23" ht="16.5" customHeight="1"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</row>
    <row r="94" spans="4:23" ht="16.5" customHeight="1"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</row>
    <row r="95" spans="4:23" ht="16.5" customHeight="1"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</row>
    <row r="96" spans="4:23" ht="16.5" customHeight="1"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</row>
    <row r="97" spans="4:23" ht="16.5" customHeight="1"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</row>
    <row r="98" spans="4:23" ht="16.5" customHeight="1"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</row>
    <row r="99" spans="4:23" ht="16.5" customHeight="1"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</row>
    <row r="100" spans="4:23" ht="16.5" customHeight="1"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</row>
    <row r="101" spans="4:23" ht="16.5" customHeight="1"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</row>
    <row r="102" spans="4:23" ht="16.5" customHeight="1"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</row>
    <row r="103" spans="4:23" ht="16.5" customHeight="1"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</row>
    <row r="104" spans="4:23" ht="16.5" customHeight="1"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</row>
    <row r="105" spans="4:23" ht="16.5" customHeight="1"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</row>
    <row r="106" spans="4:23" ht="16.5" customHeight="1"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</row>
    <row r="107" spans="4:23" ht="16.5" customHeight="1"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</row>
    <row r="108" spans="4:23" ht="16.5" customHeight="1"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</row>
    <row r="109" spans="4:23" ht="16.5" customHeight="1"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</row>
    <row r="110" spans="4:23" ht="16.5" customHeight="1"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</row>
    <row r="111" spans="4:23" ht="16.5" customHeight="1"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</row>
    <row r="112" spans="4:23" ht="16.5" customHeight="1"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</row>
    <row r="113" spans="4:23" ht="16.5" customHeight="1"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</row>
    <row r="114" spans="4:23" ht="16.5" customHeight="1"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</row>
    <row r="115" spans="4:23" ht="16.5" customHeight="1"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</row>
    <row r="116" spans="4:23" ht="16.5" customHeight="1"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</row>
    <row r="117" spans="4:23" ht="16.5" customHeight="1"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</row>
    <row r="118" spans="4:23" ht="16.5" customHeight="1"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</row>
    <row r="119" spans="4:23" ht="16.5" customHeight="1"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</row>
    <row r="120" spans="4:23" ht="16.5" customHeight="1"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</row>
    <row r="121" spans="4:23" ht="16.5" customHeight="1"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</row>
    <row r="122" spans="4:23" ht="16.5" customHeight="1"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</row>
    <row r="123" spans="4:23" ht="16.5" customHeight="1"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</row>
    <row r="124" spans="4:23" ht="16.5" customHeight="1"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</row>
    <row r="125" spans="4:23" ht="16.5" customHeight="1"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</row>
    <row r="126" spans="4:23" ht="16.5" customHeight="1"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</row>
    <row r="127" spans="4:23" ht="16.5" customHeight="1"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</row>
    <row r="128" spans="4:23" ht="16.5" customHeight="1"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</row>
    <row r="129" spans="4:23" ht="16.5" customHeight="1"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</row>
    <row r="130" spans="4:23" ht="16.5" customHeight="1"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</row>
    <row r="131" spans="4:23" ht="16.5" customHeight="1"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</row>
    <row r="132" spans="4:23" ht="16.5" customHeight="1"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</row>
    <row r="133" spans="4:23" ht="16.5" customHeight="1"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</row>
    <row r="134" spans="4:23" ht="16.5" customHeight="1"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</row>
    <row r="135" spans="4:23" ht="16.5" customHeight="1"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</row>
    <row r="136" spans="4:23" ht="16.5" customHeight="1"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</row>
    <row r="137" spans="4:23" ht="16.5" customHeight="1"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</row>
    <row r="138" spans="4:23" ht="16.5" customHeight="1"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</row>
    <row r="139" spans="4:23" ht="16.5" customHeight="1"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</row>
    <row r="140" spans="4:23" ht="16.5" customHeight="1"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</row>
    <row r="141" spans="4:23" ht="16.5" customHeight="1"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</row>
    <row r="142" spans="4:23" ht="16.5" customHeight="1"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</row>
    <row r="143" spans="4:23" ht="16.5" customHeight="1"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</row>
    <row r="144" spans="4:23" ht="16.5" customHeight="1"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</row>
    <row r="145" spans="4:23" ht="16.5" customHeight="1"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</row>
    <row r="146" spans="4:23" ht="16.5" customHeight="1"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</row>
    <row r="147" spans="4:23" ht="16.5" customHeight="1"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</row>
    <row r="148" spans="4:23" ht="16.5" customHeight="1"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</row>
    <row r="149" spans="4:23" ht="16.5" customHeight="1"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</row>
    <row r="150" spans="4:23" ht="16.5" customHeight="1"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</row>
    <row r="151" spans="4:23" ht="16.5" customHeight="1"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</row>
    <row r="152" spans="4:23" ht="16.5" customHeight="1"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</row>
    <row r="153" spans="4:23" ht="16.5" customHeight="1"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</row>
    <row r="154" spans="4:23" ht="16.5" customHeight="1"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</row>
    <row r="155" spans="4:23" ht="16.5" customHeight="1"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</row>
    <row r="156" spans="4:23" ht="16.5" customHeight="1"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</row>
    <row r="157" spans="4:23" ht="16.5" customHeight="1"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</row>
    <row r="158" spans="4:23" ht="16.5" customHeight="1"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</row>
    <row r="159" spans="4:23" ht="16.5" customHeight="1"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2010-04-05T18:32:07Z</cp:lastPrinted>
  <dcterms:created xsi:type="dcterms:W3CDTF">1998-04-21T14:04:37Z</dcterms:created>
  <dcterms:modified xsi:type="dcterms:W3CDTF">2010-08-06T14:30:53Z</dcterms:modified>
  <cp:category/>
  <cp:version/>
  <cp:contentType/>
  <cp:contentStatus/>
</cp:coreProperties>
</file>