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908" sheetId="1" r:id="rId1"/>
    <sheet name="Atentados" sheetId="2" r:id="rId2"/>
    <sheet name="Incendio" sheetId="3" r:id="rId3"/>
    <sheet name="LI-09 (1)" sheetId="4" r:id="rId4"/>
    <sheet name="LI-09 (2)" sheetId="5" r:id="rId5"/>
    <sheet name="TR-09 (1)" sheetId="6" r:id="rId6"/>
    <sheet name="T4CH - Nota SE N° 2492" sheetId="7" r:id="rId7"/>
    <sheet name="TR-09 (2)" sheetId="8" r:id="rId8"/>
    <sheet name="SA-09 (1)" sheetId="9" r:id="rId9"/>
    <sheet name="SA-09 (2)" sheetId="10" r:id="rId10"/>
    <sheet name="SA-09 (3)" sheetId="11" r:id="rId11"/>
    <sheet name="RE-09 (1)" sheetId="12" r:id="rId12"/>
    <sheet name="TR-TIBA-09 (1)" sheetId="13" r:id="rId13"/>
    <sheet name="SA-TIBA-09 (1)" sheetId="14" r:id="rId14"/>
    <sheet name="SUP-TIBA" sheetId="15" r:id="rId15"/>
    <sheet name="DAG" sheetId="16" r:id="rId16"/>
    <sheet name="TASA FALLA" sheetId="17" r:id="rId17"/>
    <sheet name="DATO" sheetId="18" r:id="rId18"/>
  </sheets>
  <externalReferences>
    <externalReference r:id="rId21"/>
    <externalReference r:id="rId22"/>
  </externalReferences>
  <definedNames>
    <definedName name="_xlnm.Print_Area" localSheetId="15">'DAG'!$A$1:$Q$48</definedName>
    <definedName name="_xlnm.Print_Area" localSheetId="3">'LI-09 (1)'!$A$1:$AD$40</definedName>
    <definedName name="_xlnm.Print_Area" localSheetId="4">'LI-09 (2)'!$A$1:$AD$44</definedName>
    <definedName name="_xlnm.Print_Area" localSheetId="11">'RE-09 (1)'!$A$1:$Y$44</definedName>
    <definedName name="_xlnm.Print_Area" localSheetId="8">'SA-09 (1)'!$A$1:$U$46</definedName>
    <definedName name="_xlnm.Print_Area" localSheetId="9">'SA-09 (2)'!$A$1:$U$46</definedName>
    <definedName name="_xlnm.Print_Area" localSheetId="10">'SA-09 (3)'!$A$1:$U$45</definedName>
    <definedName name="_xlnm.Print_Area" localSheetId="13">'SA-TIBA-09 (1)'!$A$1:$U$44</definedName>
    <definedName name="_xlnm.Print_Area" localSheetId="14">'SUP-TIBA'!$A$1:$W$81</definedName>
    <definedName name="_xlnm.Print_Area" localSheetId="16">'TASA FALLA'!$A$1:$V$99</definedName>
    <definedName name="_xlnm.Print_Area" localSheetId="0">'TOT-0908'!$A$1:$K$44</definedName>
    <definedName name="_xlnm.Print_Area" localSheetId="5">'TR-09 (1)'!$A$1:$AB$43</definedName>
    <definedName name="_xlnm.Print_Area" localSheetId="7">'TR-09 (2)'!$A$1:$AB$44</definedName>
    <definedName name="_xlnm.Print_Area" localSheetId="12">'TR-TIBA-09 (1)'!$A$1:$AB$42</definedName>
    <definedName name="DD" localSheetId="3">'LI-09 (1)'!DD</definedName>
    <definedName name="DD" localSheetId="4">'LI-09 (2)'!DD</definedName>
    <definedName name="DD" localSheetId="11">'RE-09 (1)'!DD</definedName>
    <definedName name="DD" localSheetId="8">'SA-09 (1)'!DD</definedName>
    <definedName name="DD" localSheetId="9">'SA-09 (2)'!DD</definedName>
    <definedName name="DD" localSheetId="10">'SA-09 (3)'!DD</definedName>
    <definedName name="DD" localSheetId="13">'SA-TIBA-09 (1)'!DD</definedName>
    <definedName name="DD" localSheetId="16">'TASA FALLA'!DD</definedName>
    <definedName name="DD" localSheetId="5">'TR-09 (1)'!DD</definedName>
    <definedName name="DD" localSheetId="7">'TR-09 (2)'!DD</definedName>
    <definedName name="DD" localSheetId="12">'TR-TIBA-09 (1)'!DD</definedName>
    <definedName name="DD">[0]!DD</definedName>
    <definedName name="DDD" localSheetId="3">'LI-09 (1)'!DDD</definedName>
    <definedName name="DDD" localSheetId="4">'LI-09 (2)'!DDD</definedName>
    <definedName name="DDD" localSheetId="11">'RE-09 (1)'!DDD</definedName>
    <definedName name="DDD" localSheetId="8">'SA-09 (1)'!DDD</definedName>
    <definedName name="DDD" localSheetId="9">'SA-09 (2)'!DDD</definedName>
    <definedName name="DDD" localSheetId="10">'SA-09 (3)'!DDD</definedName>
    <definedName name="DDD" localSheetId="13">'SA-TIBA-09 (1)'!DDD</definedName>
    <definedName name="DDD" localSheetId="16">'TASA FALLA'!DDD</definedName>
    <definedName name="DDD" localSheetId="5">'TR-09 (1)'!DDD</definedName>
    <definedName name="DDD" localSheetId="7">'TR-09 (2)'!DDD</definedName>
    <definedName name="DDD" localSheetId="12">'TR-TIBA-09 (1)'!DDD</definedName>
    <definedName name="DDD">[0]!DDD</definedName>
    <definedName name="DISTROCUYO" localSheetId="3">'LI-09 (1)'!DISTROCUYO</definedName>
    <definedName name="DISTROCUYO" localSheetId="4">'LI-09 (2)'!DISTROCUYO</definedName>
    <definedName name="DISTROCUYO" localSheetId="11">'RE-09 (1)'!DISTROCUYO</definedName>
    <definedName name="DISTROCUYO" localSheetId="8">'SA-09 (1)'!DISTROCUYO</definedName>
    <definedName name="DISTROCUYO" localSheetId="9">'SA-09 (2)'!DISTROCUYO</definedName>
    <definedName name="DISTROCUYO" localSheetId="10">'SA-09 (3)'!DISTROCUYO</definedName>
    <definedName name="DISTROCUYO" localSheetId="13">'SA-TIBA-09 (1)'!DISTROCUYO</definedName>
    <definedName name="DISTROCUYO" localSheetId="16">'TASA FALLA'!DISTROCUYO</definedName>
    <definedName name="DISTROCUYO" localSheetId="5">'TR-09 (1)'!DISTROCUYO</definedName>
    <definedName name="DISTROCUYO" localSheetId="7">'TR-09 (2)'!DISTROCUYO</definedName>
    <definedName name="DISTROCUYO" localSheetId="12">'TR-TIBA-09 (1)'!DISTROCUYO</definedName>
    <definedName name="DISTROCUYO">[0]!DISTROCUYO</definedName>
    <definedName name="INICIO" localSheetId="15">'DAG'!INICIO</definedName>
    <definedName name="INICIO" localSheetId="3">'LI-09 (1)'!INICIO</definedName>
    <definedName name="INICIO" localSheetId="4">'LI-09 (2)'!INICIO</definedName>
    <definedName name="INICIO" localSheetId="11">'RE-09 (1)'!INICIO</definedName>
    <definedName name="INICIO" localSheetId="8">'SA-09 (1)'!INICIO</definedName>
    <definedName name="INICIO" localSheetId="9">'SA-09 (2)'!INICIO</definedName>
    <definedName name="INICIO" localSheetId="10">'SA-09 (3)'!INICIO</definedName>
    <definedName name="INICIO" localSheetId="13">'SA-TIBA-09 (1)'!INICIO</definedName>
    <definedName name="INICIO" localSheetId="16">'TASA FALLA'!INICIO</definedName>
    <definedName name="INICIO" localSheetId="0">'TOT-0908'!INICIO</definedName>
    <definedName name="INICIO" localSheetId="5">'TR-09 (1)'!INICIO</definedName>
    <definedName name="INICIO" localSheetId="7">'TR-09 (2)'!INICIO</definedName>
    <definedName name="INICIO" localSheetId="12">'TR-TIBA-09 (1)'!INICIO</definedName>
    <definedName name="INICIO">[0]!INICIO</definedName>
    <definedName name="INICIOTI" localSheetId="3">'LI-09 (1)'!INICIOTI</definedName>
    <definedName name="INICIOTI" localSheetId="4">'LI-09 (2)'!INICIOTI</definedName>
    <definedName name="INICIOTI" localSheetId="11">'RE-09 (1)'!INICIOTI</definedName>
    <definedName name="INICIOTI" localSheetId="8">'SA-09 (1)'!INICIOTI</definedName>
    <definedName name="INICIOTI" localSheetId="9">'SA-09 (2)'!INICIOTI</definedName>
    <definedName name="INICIOTI" localSheetId="10">'SA-09 (3)'!INICIOTI</definedName>
    <definedName name="INICIOTI" localSheetId="13">'SA-TIBA-09 (1)'!INICIOTI</definedName>
    <definedName name="INICIOTI" localSheetId="16">'TASA FALLA'!INICIOTI</definedName>
    <definedName name="INICIOTI" localSheetId="5">'TR-09 (1)'!INICIOTI</definedName>
    <definedName name="INICIOTI" localSheetId="7">'TR-09 (2)'!INICIOTI</definedName>
    <definedName name="INICIOTI" localSheetId="12">'TR-TIBA-09 (1)'!INICIOTI</definedName>
    <definedName name="INICIOTI">[0]!INICIOTI</definedName>
    <definedName name="LINEAS" localSheetId="3">'LI-09 (1)'!LINEAS</definedName>
    <definedName name="LINEAS" localSheetId="4">'LI-09 (2)'!LINEAS</definedName>
    <definedName name="LINEAS" localSheetId="11">'RE-09 (1)'!LINEAS</definedName>
    <definedName name="LINEAS" localSheetId="8">'SA-09 (1)'!LINEAS</definedName>
    <definedName name="LINEAS" localSheetId="9">'SA-09 (2)'!LINEAS</definedName>
    <definedName name="LINEAS" localSheetId="10">'SA-09 (3)'!LINEAS</definedName>
    <definedName name="LINEAS" localSheetId="13">'SA-TIBA-09 (1)'!LINEAS</definedName>
    <definedName name="LINEAS" localSheetId="16">'TASA FALLA'!LINEAS</definedName>
    <definedName name="LINEAS" localSheetId="5">'TR-09 (1)'!LINEAS</definedName>
    <definedName name="LINEAS" localSheetId="7">'TR-09 (2)'!LINEAS</definedName>
    <definedName name="LINEAS" localSheetId="12">'TR-TIBA-09 (1)'!LINEAS</definedName>
    <definedName name="LINEAS">[0]!LINEAS</definedName>
    <definedName name="NAME_L" localSheetId="3">'LI-09 (1)'!NAME_L</definedName>
    <definedName name="NAME_L" localSheetId="4">'LI-09 (2)'!NAME_L</definedName>
    <definedName name="NAME_L" localSheetId="11">'RE-09 (1)'!NAME_L</definedName>
    <definedName name="NAME_L" localSheetId="8">'SA-09 (1)'!NAME_L</definedName>
    <definedName name="NAME_L" localSheetId="9">'SA-09 (2)'!NAME_L</definedName>
    <definedName name="NAME_L" localSheetId="10">'SA-09 (3)'!NAME_L</definedName>
    <definedName name="NAME_L" localSheetId="13">'SA-TIBA-09 (1)'!NAME_L</definedName>
    <definedName name="NAME_L" localSheetId="16">'TASA FALLA'!NAME_L</definedName>
    <definedName name="NAME_L" localSheetId="5">'TR-09 (1)'!NAME_L</definedName>
    <definedName name="NAME_L" localSheetId="7">'TR-09 (2)'!NAME_L</definedName>
    <definedName name="NAME_L" localSheetId="12">'TR-TIBA-09 (1)'!NAME_L</definedName>
    <definedName name="NAME_L">[0]!NAME_L</definedName>
    <definedName name="NAME_L_TI" localSheetId="3">'LI-09 (1)'!NAME_L_TI</definedName>
    <definedName name="NAME_L_TI" localSheetId="4">'LI-09 (2)'!NAME_L_TI</definedName>
    <definedName name="NAME_L_TI" localSheetId="11">'RE-09 (1)'!NAME_L_TI</definedName>
    <definedName name="NAME_L_TI" localSheetId="8">'SA-09 (1)'!NAME_L_TI</definedName>
    <definedName name="NAME_L_TI" localSheetId="9">'SA-09 (2)'!NAME_L_TI</definedName>
    <definedName name="NAME_L_TI" localSheetId="10">'SA-09 (3)'!NAME_L_TI</definedName>
    <definedName name="NAME_L_TI" localSheetId="13">'SA-TIBA-09 (1)'!NAME_L_TI</definedName>
    <definedName name="NAME_L_TI" localSheetId="16">'TASA FALLA'!NAME_L_TI</definedName>
    <definedName name="NAME_L_TI" localSheetId="5">'TR-09 (1)'!NAME_L_TI</definedName>
    <definedName name="NAME_L_TI" localSheetId="7">'TR-09 (2)'!NAME_L_TI</definedName>
    <definedName name="NAME_L_TI" localSheetId="12">'TR-TIBA-09 (1)'!NAME_L_TI</definedName>
    <definedName name="NAME_L_TI">[0]!NAME_L_TI</definedName>
    <definedName name="TRAN" localSheetId="3">'LI-09 (1)'!TRAN</definedName>
    <definedName name="TRAN" localSheetId="4">'LI-09 (2)'!TRAN</definedName>
    <definedName name="TRAN" localSheetId="11">'RE-09 (1)'!TRAN</definedName>
    <definedName name="TRAN" localSheetId="8">'SA-09 (1)'!TRAN</definedName>
    <definedName name="TRAN" localSheetId="9">'SA-09 (2)'!TRAN</definedName>
    <definedName name="TRAN" localSheetId="10">'SA-09 (3)'!TRAN</definedName>
    <definedName name="TRAN" localSheetId="13">'SA-TIBA-09 (1)'!TRAN</definedName>
    <definedName name="TRAN" localSheetId="16">'TASA FALLA'!TRAN</definedName>
    <definedName name="TRAN" localSheetId="5">'TR-09 (1)'!TRAN</definedName>
    <definedName name="TRAN" localSheetId="7">'TR-09 (2)'!TRAN</definedName>
    <definedName name="TRAN" localSheetId="12">'TR-TIBA-09 (1)'!TRAN</definedName>
    <definedName name="TRAN">[0]!TRAN</definedName>
    <definedName name="TRANSNOA" localSheetId="3">'LI-09 (1)'!TRANSNOA</definedName>
    <definedName name="TRANSNOA" localSheetId="4">'LI-09 (2)'!TRANSNOA</definedName>
    <definedName name="TRANSNOA" localSheetId="11">'RE-09 (1)'!TRANSNOA</definedName>
    <definedName name="TRANSNOA" localSheetId="8">'SA-09 (1)'!TRANSNOA</definedName>
    <definedName name="TRANSNOA" localSheetId="9">'SA-09 (2)'!TRANSNOA</definedName>
    <definedName name="TRANSNOA" localSheetId="10">'SA-09 (3)'!TRANSNOA</definedName>
    <definedName name="TRANSNOA" localSheetId="13">'SA-TIBA-09 (1)'!TRANSNOA</definedName>
    <definedName name="TRANSNOA" localSheetId="16">'TASA FALLA'!TRANSNOA</definedName>
    <definedName name="TRANSNOA" localSheetId="5">'TR-09 (1)'!TRANSNOA</definedName>
    <definedName name="TRANSNOA" localSheetId="7">'TR-09 (2)'!TRANSNOA</definedName>
    <definedName name="TRANSNOA" localSheetId="12">'TR-TIBA-09 (1)'!TRANSNOA</definedName>
    <definedName name="TRANSNOA">[0]!TRANSNOA</definedName>
    <definedName name="x" localSheetId="3">'LI-09 (1)'!x</definedName>
    <definedName name="x" localSheetId="4">'LI-09 (2)'!x</definedName>
    <definedName name="x" localSheetId="11">'RE-09 (1)'!x</definedName>
    <definedName name="x" localSheetId="8">'SA-09 (1)'!x</definedName>
    <definedName name="x" localSheetId="9">'SA-09 (2)'!x</definedName>
    <definedName name="x" localSheetId="10">'SA-09 (3)'!x</definedName>
    <definedName name="x" localSheetId="13">'SA-TIBA-09 (1)'!x</definedName>
    <definedName name="x" localSheetId="16">'TASA FALLA'!x</definedName>
    <definedName name="x" localSheetId="5">'TR-09 (1)'!x</definedName>
    <definedName name="x" localSheetId="7">'TR-09 (2)'!x</definedName>
    <definedName name="x" localSheetId="12">'TR-TIBA-09 (1)'!x</definedName>
    <definedName name="x">[0]!x</definedName>
    <definedName name="XX" localSheetId="3">'LI-09 (1)'!XX</definedName>
    <definedName name="XX" localSheetId="4">'LI-09 (2)'!XX</definedName>
    <definedName name="XX" localSheetId="11">'RE-09 (1)'!XX</definedName>
    <definedName name="XX" localSheetId="8">'SA-09 (1)'!XX</definedName>
    <definedName name="XX" localSheetId="9">'SA-09 (2)'!XX</definedName>
    <definedName name="XX" localSheetId="10">'SA-09 (3)'!XX</definedName>
    <definedName name="XX" localSheetId="13">'SA-TIBA-09 (1)'!XX</definedName>
    <definedName name="XX" localSheetId="16">'TASA FALLA'!XX</definedName>
    <definedName name="XX" localSheetId="5">'TR-09 (1)'!XX</definedName>
    <definedName name="XX" localSheetId="7">'TR-09 (2)'!XX</definedName>
    <definedName name="XX" localSheetId="12">'TR-TIBA-09 (1)'!XX</definedName>
    <definedName name="XX">[0]!XX</definedName>
  </definedNames>
  <calcPr fullCalcOnLoad="1"/>
</workbook>
</file>

<file path=xl/comments16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L39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comments2.xml><?xml version="1.0" encoding="utf-8"?>
<comments xmlns="http://schemas.openxmlformats.org/spreadsheetml/2006/main">
  <authors>
    <author>gmir</author>
    <author>GMir</author>
  </authors>
  <commentList>
    <comment ref="AB17" authorId="0">
      <text>
        <r>
          <rPr>
            <sz val="8"/>
            <rFont val="Tahoma"/>
            <family val="0"/>
          </rPr>
          <t xml:space="preserve">
fp= 1 para atentado</t>
        </r>
      </text>
    </comment>
    <comment ref="AF17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comments6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8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<sst xmlns="http://schemas.openxmlformats.org/spreadsheetml/2006/main" count="1259" uniqueCount="409">
  <si>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</si>
  <si>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</si>
  <si>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</si>
  <si>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</si>
  <si>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</si>
  <si>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</si>
  <si>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</si>
  <si>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</si>
  <si>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</si>
  <si>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</si>
  <si>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</si>
  <si>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</si>
  <si>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</si>
  <si>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</si>
  <si>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</si>
  <si>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</si>
  <si>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</si>
  <si>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</si>
  <si>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</si>
  <si>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</si>
  <si>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</si>
  <si>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</si>
  <si>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</si>
  <si>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</si>
  <si>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</si>
  <si>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</si>
  <si>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</si>
  <si>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</si>
  <si>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</si>
  <si>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</si>
  <si>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</si>
  <si>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</si>
  <si>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</si>
  <si>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</si>
  <si>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</si>
  <si>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</si>
  <si>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</si>
  <si>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</si>
  <si>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</si>
  <si>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</si>
  <si>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</si>
  <si>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</si>
  <si>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</si>
  <si>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</si>
  <si>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</si>
  <si>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</si>
  <si>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</si>
  <si>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</si>
  <si>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</si>
  <si>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</si>
  <si>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</si>
  <si>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</si>
  <si>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</si>
  <si>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</si>
  <si>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</si>
  <si>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</si>
  <si>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</si>
  <si>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</si>
  <si>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</si>
  <si>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</si>
  <si>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</si>
  <si>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</si>
  <si>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</si>
  <si>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</si>
  <si>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</si>
  <si>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</si>
  <si>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</si>
  <si>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</si>
  <si>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</si>
  <si>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</si>
  <si>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</si>
  <si>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</si>
  <si>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</si>
  <si>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</si>
  <si>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</si>
  <si>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</si>
  <si>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</si>
  <si>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</si>
  <si>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</si>
  <si>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</si>
  <si>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</si>
  <si>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</si>
  <si>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</si>
  <si>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</si>
  <si>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</si>
  <si>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Remuneración mensual (ENRE 121/01)</t>
  </si>
  <si>
    <t>OBS.</t>
  </si>
  <si>
    <t>indisp &gt; 24hs (K=2 o K=1)</t>
  </si>
  <si>
    <t>PENALIZACIÓN FORZADA Computable       NO Computable</t>
  </si>
  <si>
    <t>FORZADA INDISPONIBLE</t>
  </si>
  <si>
    <t>PROGRAMADA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</si>
  <si>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</si>
  <si>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</si>
  <si>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</si>
  <si>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</si>
  <si>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</si>
  <si>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</si>
  <si>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</si>
  <si>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</si>
  <si>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</si>
  <si>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</si>
  <si>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</si>
  <si>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</si>
  <si>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</si>
  <si>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</si>
  <si>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</si>
  <si>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</si>
  <si>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</si>
  <si>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</si>
  <si>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</si>
  <si>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</si>
  <si>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</si>
  <si>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</si>
  <si>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t>500/132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</si>
  <si>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</si>
  <si>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</si>
  <si>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</si>
  <si>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</si>
  <si>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</si>
  <si>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</si>
  <si>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</si>
  <si>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</si>
  <si>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</si>
  <si>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</si>
  <si>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</si>
  <si>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</si>
  <si>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</si>
  <si>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</si>
  <si>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</si>
  <si>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</si>
  <si>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</si>
  <si>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</si>
  <si>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</si>
  <si>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</si>
  <si>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</si>
  <si>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</si>
  <si>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</si>
  <si>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</si>
  <si>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</si>
  <si>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</si>
  <si>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</si>
  <si>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</si>
  <si>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</si>
  <si>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</si>
  <si>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</si>
  <si>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</si>
  <si>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</si>
  <si>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</si>
  <si>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</si>
  <si>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</si>
  <si>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</si>
  <si>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</si>
  <si>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</si>
  <si>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</si>
  <si>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</si>
  <si>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</si>
  <si>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</si>
  <si>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</si>
  <si>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</si>
  <si>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</si>
  <si>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</si>
  <si>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</si>
  <si>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</si>
  <si>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</si>
  <si>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</si>
  <si>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</si>
  <si>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</si>
  <si>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</si>
  <si>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</si>
  <si>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</si>
  <si>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</si>
  <si>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</si>
  <si>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</si>
  <si>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</si>
  <si>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</si>
  <si>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</si>
  <si>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</si>
  <si>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</si>
  <si>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</si>
  <si>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</si>
  <si>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</si>
  <si>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</si>
  <si>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</si>
  <si>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</si>
  <si>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</si>
  <si>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</si>
  <si>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</si>
  <si>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</si>
  <si>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</si>
  <si>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</si>
  <si>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</si>
  <si>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</si>
  <si>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</si>
  <si>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</si>
  <si>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</si>
  <si>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</si>
  <si>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</si>
  <si>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</si>
  <si>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</si>
  <si>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</si>
  <si>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</si>
  <si>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</si>
  <si>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</si>
  <si>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</si>
  <si>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</si>
  <si>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</si>
  <si>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</si>
  <si>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</si>
  <si>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</si>
  <si>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</si>
  <si>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</si>
  <si>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</si>
  <si>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</si>
  <si>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</si>
  <si>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</si>
  <si>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</si>
  <si>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</si>
  <si>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</si>
  <si>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</si>
  <si>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</si>
  <si>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</si>
  <si>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</si>
  <si>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</si>
  <si>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</si>
  <si>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</si>
  <si>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</si>
  <si>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</si>
  <si>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</si>
  <si>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</si>
  <si>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</si>
  <si>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</si>
  <si>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</si>
  <si>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</si>
  <si>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</si>
  <si>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4.3.- Transportista Independiente  TIBA S.A.</t>
  </si>
  <si>
    <t xml:space="preserve"> 2.2.2.- Transportista Independiente TIBA S.A.</t>
  </si>
  <si>
    <t>2.1.3.-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</si>
  <si>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</si>
  <si>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</si>
  <si>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</si>
  <si>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</si>
  <si>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</si>
  <si>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</si>
  <si>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5.-</t>
  </si>
  <si>
    <t>D.A.G</t>
  </si>
  <si>
    <t>5.- DESCONEXIÓN AUTOMÁTICA DE GENERACIÓN (DAG)</t>
  </si>
  <si>
    <t>5.1.-  Equipamiento Propio</t>
  </si>
  <si>
    <t>5.2.- Sanción Adicional por Cantidad Actuaciones Incorrectas</t>
  </si>
  <si>
    <t>Desde el 01 al 30 de septiembre de 2008</t>
  </si>
  <si>
    <t>GRAL. RODRIGUEZ - VILLA  LIA 1</t>
  </si>
  <si>
    <t>EZEIZA - HENDERSON 2</t>
  </si>
  <si>
    <t>A</t>
  </si>
  <si>
    <t>F</t>
  </si>
  <si>
    <t>EZEIZA - HENDERSON 1</t>
  </si>
  <si>
    <t>PUELCHES - MACACHIN 1</t>
  </si>
  <si>
    <t>RIO GRANDE - LUJAN</t>
  </si>
  <si>
    <t>RAMALLO - VILLA LIA  1</t>
  </si>
  <si>
    <t>COLONIA ELIA - CAMPANA</t>
  </si>
  <si>
    <t>RAMALLO - VILLA LIA  2</t>
  </si>
  <si>
    <t>P. DEL AGUILA - CHOCON OESTE 1</t>
  </si>
  <si>
    <t>BAHIA BLANCA - CHOELE CHOEL 1</t>
  </si>
  <si>
    <t>RAMALLO - SAN NICOLAS 1</t>
  </si>
  <si>
    <t>GRAL. RODRIGUEZ - RAMALLO</t>
  </si>
  <si>
    <t>ROSARIO OESTE - SANTO TOME</t>
  </si>
  <si>
    <t>LUJAN - GRAN MENDOZA</t>
  </si>
  <si>
    <t>B</t>
  </si>
  <si>
    <t>EZEIZA</t>
  </si>
  <si>
    <t>TRAFO 1</t>
  </si>
  <si>
    <t>500/220/132</t>
  </si>
  <si>
    <t>HENDERSON</t>
  </si>
  <si>
    <t>T3 HE</t>
  </si>
  <si>
    <t>500/220/13,2</t>
  </si>
  <si>
    <t>ROSARIO OESTE</t>
  </si>
  <si>
    <t>TRAFO 3</t>
  </si>
  <si>
    <t>AUTOTRAFO</t>
  </si>
  <si>
    <t>TRAFO</t>
  </si>
  <si>
    <t>EL CHOCON</t>
  </si>
  <si>
    <t>TRAFO 4</t>
  </si>
  <si>
    <t>500/132/13,2</t>
  </si>
  <si>
    <t>PUELCHES</t>
  </si>
  <si>
    <t>AUTOTRAFO 1</t>
  </si>
  <si>
    <t>RESISTENCIA</t>
  </si>
  <si>
    <t>TRAFO 2</t>
  </si>
  <si>
    <t>T6RO</t>
  </si>
  <si>
    <t>RECREO</t>
  </si>
  <si>
    <t>SALIDA LINEA A FORMOSA</t>
  </si>
  <si>
    <t>SALIDA LINEA ROSARIO SUR 2</t>
  </si>
  <si>
    <t>SALIDA RESISTENCIA 1 CD6</t>
  </si>
  <si>
    <t>SALIDA LINEA PROVINCIAS UNIDAS</t>
  </si>
  <si>
    <t>SALIDA LINEA ROSARIO SUR 3</t>
  </si>
  <si>
    <t>ABASTO</t>
  </si>
  <si>
    <t>SALIDA TRAFO 1</t>
  </si>
  <si>
    <t>RAMALLO</t>
  </si>
  <si>
    <t>SALIDA LINEA PERGAMINO</t>
  </si>
  <si>
    <t>SALIDA LINEA CORRIENTES 1</t>
  </si>
  <si>
    <t>SALIDA LINEA STA. CATALINA</t>
  </si>
  <si>
    <t>EL BRACHO</t>
  </si>
  <si>
    <t>SALIDA LINEA INDEPENDENCIA</t>
  </si>
  <si>
    <t>SALIDA LINEA A BARRANQUERAS 2</t>
  </si>
  <si>
    <t>RIO GRANDE</t>
  </si>
  <si>
    <t>SALIDA TRAFO MAQ. 1 Y 2</t>
  </si>
  <si>
    <t>ALIMENTADOR A SALADILLO</t>
  </si>
  <si>
    <t>SALIDA LINEA CEVIL POZO</t>
  </si>
  <si>
    <t>ROMANG</t>
  </si>
  <si>
    <t>SALIDA LINEA CALCHAQUI</t>
  </si>
  <si>
    <t>ATUCHA</t>
  </si>
  <si>
    <t>SALIDA LINEA A E.T. ZARATE</t>
  </si>
  <si>
    <t>MALVINAS ARGENTINAS</t>
  </si>
  <si>
    <t>SALIDA LINEA PILAR</t>
  </si>
  <si>
    <t>SALIDA LINEA GRAL. ACHA</t>
  </si>
  <si>
    <t>SALIDA PICHI MAHUIDA</t>
  </si>
  <si>
    <t>SALIDA LINEA A INDEPENDENCIA 2</t>
  </si>
  <si>
    <t>SALIDA LINEA C.GOMEZ</t>
  </si>
  <si>
    <t>SALIDA LINEA A LA RIOJA 2</t>
  </si>
  <si>
    <t>ALIMENTADOR A CATAMARCA</t>
  </si>
  <si>
    <t>SALIDA LINEA A GODOY</t>
  </si>
  <si>
    <t>SALIDA LINEA CASILDA 1</t>
  </si>
  <si>
    <t>SALIDA LINEA A LA RIOJA 1</t>
  </si>
  <si>
    <t>SALIDA LINEA A BARRANQUERAS 1</t>
  </si>
  <si>
    <t>B. BLANCA</t>
  </si>
  <si>
    <t>SALIDA ACOPLAMIENTO B-D</t>
  </si>
  <si>
    <t>SALIDA RESISTENCIA 2 CD5</t>
  </si>
  <si>
    <t>CS1</t>
  </si>
  <si>
    <t>CS2</t>
  </si>
  <si>
    <t>CS6</t>
  </si>
  <si>
    <t>CS5</t>
  </si>
  <si>
    <t>R5B5HE</t>
  </si>
  <si>
    <t>CS3</t>
  </si>
  <si>
    <t>CS4</t>
  </si>
  <si>
    <t>BAHIA BLANCA</t>
  </si>
  <si>
    <t>SALIDA A PRINGLES</t>
  </si>
  <si>
    <t>CAMPANA</t>
  </si>
  <si>
    <t>SALIDA PRAXAIR</t>
  </si>
  <si>
    <t>SALIDA LINEA PBUENA 1</t>
  </si>
  <si>
    <t>SALIDA A P. LURO</t>
  </si>
  <si>
    <t>OLAVARRIA</t>
  </si>
  <si>
    <t>SALIDA A AZUL</t>
  </si>
  <si>
    <t>T2OL</t>
  </si>
  <si>
    <t>AUT</t>
  </si>
  <si>
    <t>DAG COMAHUE</t>
  </si>
  <si>
    <t>P - PROGRAMADA ;   F - FORZADA</t>
  </si>
  <si>
    <t xml:space="preserve">P - PROGRAMADA </t>
  </si>
  <si>
    <t>P - PROGRAMADA</t>
  </si>
  <si>
    <t>CHOCON - PUELCHES 1</t>
  </si>
  <si>
    <t>CHOCON - C.H. CHOCON 5</t>
  </si>
  <si>
    <t>220/132/13,2</t>
  </si>
  <si>
    <t>LUJAN SAN LUIS</t>
  </si>
  <si>
    <t>500/132/33</t>
  </si>
  <si>
    <t>AUTOTRAFO 2</t>
  </si>
  <si>
    <t>Valores remuneratorios según Res. ENRE 328/08</t>
  </si>
  <si>
    <t>SISTEMA DE TRANSPORTE DE ENERGÍA ELÉCTRICA EN ALTA TENSION</t>
  </si>
  <si>
    <t>INDISPONIBILIDADES FORZADAS DE LÍNEAS - TASA DE FALLA</t>
  </si>
  <si>
    <t>Correspondiente al mes de septirmbre de 2008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</si>
  <si>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</si>
  <si>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</si>
  <si>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</si>
  <si>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</si>
  <si>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</si>
  <si>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</si>
  <si>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</si>
  <si>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1.3.- Incendio de Campos - Aplicación Punto 6.1.6 del Acta Acuerdo</t>
  </si>
  <si>
    <t xml:space="preserve">P - PROGRAMADA                  </t>
  </si>
  <si>
    <t xml:space="preserve">FM - Fuerza  Mayor                       </t>
  </si>
  <si>
    <t>1.3.-</t>
  </si>
  <si>
    <t>Incendio de Campos</t>
  </si>
  <si>
    <t>SISTEMA DE TRANSPORTE DE ENERGÍA ELÉCTRICA POR DISTRIBUCIÓN TRONCAL - TRANSBA S.A.</t>
  </si>
  <si>
    <t>1.2 - Indisponibilidades de LAT causadas atentado.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</si>
  <si>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</si>
  <si>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</si>
  <si>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</si>
  <si>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</si>
  <si>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</si>
  <si>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</si>
  <si>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</si>
  <si>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</si>
  <si>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</si>
  <si>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</si>
  <si>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</si>
  <si>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</si>
  <si>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</si>
  <si>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</si>
  <si>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</si>
  <si>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</si>
  <si>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</si>
  <si>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</si>
  <si>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</si>
  <si>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</si>
  <si>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</si>
  <si>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</si>
  <si>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</si>
  <si>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</si>
  <si>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</si>
  <si>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</si>
  <si>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</si>
  <si>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</si>
  <si>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1.2.-</t>
  </si>
  <si>
    <t>Atentados</t>
  </si>
  <si>
    <t>FI</t>
  </si>
  <si>
    <t>(*)</t>
  </si>
  <si>
    <t>(*): Según Nota S.E. N° 2492</t>
  </si>
  <si>
    <t>RM: Por Capacitores ET Bahía Blanca:</t>
  </si>
  <si>
    <t>100 MVAr</t>
  </si>
  <si>
    <t>(*):</t>
  </si>
  <si>
    <t>Según Resolución ENRE N° 157/07</t>
  </si>
  <si>
    <t>TOTAL DE PENALIZACIONES A APLICAR</t>
  </si>
  <si>
    <t>2.1.2.-</t>
  </si>
  <si>
    <t>Indisp. Transformador N° 4 E.T. El Chocón</t>
  </si>
  <si>
    <t>2.1.2.- Indisponibilidad Transformador N° 4 E.T. El Chocón</t>
  </si>
  <si>
    <t xml:space="preserve">ANEXO IV al Memorándum D.T.E.E. N°   366  / 2010          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</si>
</sst>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_)"/>
    <numFmt numFmtId="182" formatCode="0.000"/>
    <numFmt numFmtId="183" formatCode="0.0\ \k\V"/>
    <numFmt numFmtId="184" formatCode="0.00\ &quot;km&quot;"/>
    <numFmt numFmtId="185" formatCode="0.00\ &quot;MVA&quot;"/>
    <numFmt numFmtId="186" formatCode="dd/mm/yy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-yyyy"/>
    <numFmt numFmtId="204" formatCode="&quot;$&quot;\ #,##0.0;&quot;$&quot;\ \-#,##0.0"/>
    <numFmt numFmtId="205" formatCode="&quot;$&quot;\ #,##0.0000;&quot;$&quot;\ \-#,##0.0000"/>
    <numFmt numFmtId="206" formatCode="&quot;$&quot;\ #,##0.00000;&quot;$&quot;\ \-#,##0.00000"/>
    <numFmt numFmtId="207" formatCode="&quot;$&quot;\ #,##0.000000;&quot;$&quot;\ \-#,##0.000000"/>
    <numFmt numFmtId="208" formatCode="&quot;$&quot;#,##0.0;&quot;$&quot;\-#,##0.0"/>
    <numFmt numFmtId="209" formatCode="&quot;$&quot;#,##0;&quot;$&quot;\-#,##0"/>
    <numFmt numFmtId="210" formatCode="&quot;$&quot;\ #,##0.0000000;&quot;$&quot;\ \-#,##0.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d\-m"/>
    <numFmt numFmtId="215" formatCode="dd/mm/\a\a\a\a\ hh:\n\n"/>
    <numFmt numFmtId="216" formatCode="d\-m\-yy\ h:mm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1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7"/>
      <name val="Times New Roman"/>
      <family val="1"/>
    </font>
    <font>
      <sz val="11"/>
      <color indexed="57"/>
      <name val="Times New Roman"/>
      <family val="1"/>
    </font>
    <font>
      <sz val="8"/>
      <name val="MS Sans Serif"/>
      <family val="0"/>
    </font>
    <font>
      <b/>
      <sz val="8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double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 applyProtection="1" quotePrefix="1">
      <alignment horizontal="center"/>
      <protection/>
    </xf>
    <xf numFmtId="176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76" fontId="36" fillId="2" borderId="2" xfId="0" applyNumberFormat="1" applyFont="1" applyFill="1" applyBorder="1" applyAlignment="1" applyProtection="1">
      <alignment horizontal="center"/>
      <protection/>
    </xf>
    <xf numFmtId="176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/>
    </xf>
    <xf numFmtId="0" fontId="55" fillId="0" borderId="0" xfId="27" applyFont="1" applyAlignment="1">
      <alignment horizontal="right" vertical="top"/>
      <protection/>
    </xf>
    <xf numFmtId="0" fontId="16" fillId="0" borderId="0" xfId="27" applyFont="1" applyAlignment="1">
      <alignment horizontal="centerContinuous"/>
      <protection/>
    </xf>
    <xf numFmtId="0" fontId="7" fillId="0" borderId="0" xfId="27" applyFont="1">
      <alignment/>
      <protection/>
    </xf>
    <xf numFmtId="0" fontId="14" fillId="0" borderId="0" xfId="27" applyFont="1" applyFill="1" applyBorder="1" applyAlignment="1" applyProtection="1">
      <alignment horizontal="centerContinuous"/>
      <protection/>
    </xf>
    <xf numFmtId="0" fontId="18" fillId="0" borderId="0" xfId="27" applyFont="1" applyAlignment="1">
      <alignment horizontal="centerContinuous"/>
      <protection/>
    </xf>
    <xf numFmtId="0" fontId="18" fillId="0" borderId="0" xfId="27" applyFont="1">
      <alignment/>
      <protection/>
    </xf>
    <xf numFmtId="0" fontId="20" fillId="0" borderId="0" xfId="27" applyFont="1">
      <alignment/>
      <protection/>
    </xf>
    <xf numFmtId="0" fontId="20" fillId="0" borderId="7" xfId="27" applyFont="1" applyBorder="1">
      <alignment/>
      <protection/>
    </xf>
    <xf numFmtId="0" fontId="20" fillId="0" borderId="0" xfId="27" applyFont="1" applyBorder="1">
      <alignment/>
      <protection/>
    </xf>
    <xf numFmtId="0" fontId="11" fillId="0" borderId="0" xfId="27" applyFont="1" applyBorder="1" applyAlignment="1">
      <alignment horizontal="left"/>
      <protection/>
    </xf>
    <xf numFmtId="0" fontId="11" fillId="0" borderId="0" xfId="27" applyFont="1" applyBorder="1">
      <alignment/>
      <protection/>
    </xf>
    <xf numFmtId="0" fontId="7" fillId="0" borderId="7" xfId="27" applyFont="1" applyBorder="1">
      <alignment/>
      <protection/>
    </xf>
    <xf numFmtId="0" fontId="7" fillId="0" borderId="0" xfId="27" applyFont="1" applyBorder="1">
      <alignment/>
      <protection/>
    </xf>
    <xf numFmtId="0" fontId="27" fillId="0" borderId="14" xfId="27" applyFont="1" applyBorder="1" applyAlignment="1">
      <alignment horizontal="center" vertical="center"/>
      <protection/>
    </xf>
    <xf numFmtId="0" fontId="27" fillId="0" borderId="14" xfId="27" applyFont="1" applyBorder="1" applyAlignment="1" applyProtection="1">
      <alignment horizontal="center" vertical="center"/>
      <protection/>
    </xf>
    <xf numFmtId="0" fontId="27" fillId="0" borderId="14" xfId="27" applyFont="1" applyBorder="1" applyAlignment="1" applyProtection="1">
      <alignment horizontal="center" vertical="center" wrapText="1"/>
      <protection/>
    </xf>
    <xf numFmtId="0" fontId="27" fillId="0" borderId="8" xfId="27" applyFont="1" applyBorder="1" applyAlignment="1" applyProtection="1">
      <alignment horizontal="center" vertical="center"/>
      <protection/>
    </xf>
    <xf numFmtId="0" fontId="27" fillId="0" borderId="14" xfId="27" applyFont="1" applyBorder="1" applyAlignment="1">
      <alignment horizontal="center" vertical="center" wrapText="1"/>
      <protection/>
    </xf>
    <xf numFmtId="0" fontId="7" fillId="0" borderId="17" xfId="27" applyFont="1" applyBorder="1" applyAlignment="1">
      <alignment horizontal="center"/>
      <protection/>
    </xf>
    <xf numFmtId="4" fontId="10" fillId="0" borderId="2" xfId="27" applyNumberFormat="1" applyFont="1" applyFill="1" applyBorder="1" applyAlignment="1">
      <alignment horizontal="right"/>
      <protection/>
    </xf>
    <xf numFmtId="0" fontId="34" fillId="0" borderId="0" xfId="27" applyFont="1" applyBorder="1" applyAlignment="1" applyProtection="1">
      <alignment horizontal="left"/>
      <protection/>
    </xf>
    <xf numFmtId="176" fontId="7" fillId="0" borderId="0" xfId="27" applyNumberFormat="1" applyFont="1" applyBorder="1" applyAlignment="1" applyProtection="1">
      <alignment horizontal="center"/>
      <protection/>
    </xf>
    <xf numFmtId="0" fontId="0" fillId="0" borderId="0" xfId="27">
      <alignment/>
      <protection/>
    </xf>
    <xf numFmtId="0" fontId="0" fillId="0" borderId="7" xfId="27" applyBorder="1">
      <alignment/>
      <protection/>
    </xf>
    <xf numFmtId="0" fontId="0" fillId="0" borderId="0" xfId="27" applyBorder="1">
      <alignment/>
      <protection/>
    </xf>
    <xf numFmtId="0" fontId="0" fillId="0" borderId="0" xfId="27" applyFont="1" applyFill="1">
      <alignment/>
      <protection/>
    </xf>
    <xf numFmtId="0" fontId="0" fillId="0" borderId="0" xfId="27" applyFill="1">
      <alignment/>
      <protection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76" fontId="7" fillId="0" borderId="4" xfId="0" applyNumberFormat="1" applyFont="1" applyFill="1" applyBorder="1" applyAlignment="1" applyProtection="1">
      <alignment horizontal="center"/>
      <protection locked="0"/>
    </xf>
    <xf numFmtId="176" fontId="46" fillId="3" borderId="2" xfId="0" applyNumberFormat="1" applyFont="1" applyFill="1" applyBorder="1" applyAlignment="1" applyProtection="1" quotePrefix="1">
      <alignment horizontal="center"/>
      <protection locked="0"/>
    </xf>
    <xf numFmtId="176" fontId="7" fillId="0" borderId="20" xfId="0" applyNumberFormat="1" applyFont="1" applyFill="1" applyBorder="1" applyAlignment="1" applyProtection="1">
      <alignment horizontal="center"/>
      <protection locked="0"/>
    </xf>
    <xf numFmtId="176" fontId="46" fillId="3" borderId="3" xfId="0" applyNumberFormat="1" applyFont="1" applyFill="1" applyBorder="1" applyAlignment="1" applyProtection="1" quotePrefix="1">
      <alignment horizontal="center"/>
      <protection locked="0"/>
    </xf>
    <xf numFmtId="176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9" fontId="25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 horizontal="right"/>
    </xf>
    <xf numFmtId="189" fontId="25" fillId="0" borderId="0" xfId="0" applyNumberFormat="1" applyFont="1" applyBorder="1" applyAlignment="1">
      <alignment horizontal="left"/>
    </xf>
    <xf numFmtId="190" fontId="23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62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72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72" fontId="7" fillId="6" borderId="2" xfId="0" applyNumberFormat="1" applyFont="1" applyFill="1" applyBorder="1" applyAlignment="1" applyProtection="1" quotePrefix="1">
      <alignment horizontal="center"/>
      <protection/>
    </xf>
    <xf numFmtId="181" fontId="7" fillId="0" borderId="2" xfId="0" applyNumberFormat="1" applyFont="1" applyBorder="1" applyAlignment="1" applyProtection="1" quotePrefix="1">
      <alignment horizontal="center"/>
      <protection locked="0"/>
    </xf>
    <xf numFmtId="176" fontId="64" fillId="5" borderId="22" xfId="0" applyNumberFormat="1" applyFont="1" applyFill="1" applyBorder="1" applyAlignment="1" applyProtection="1" quotePrefix="1">
      <alignment horizontal="center"/>
      <protection/>
    </xf>
    <xf numFmtId="181" fontId="7" fillId="0" borderId="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76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9" fillId="7" borderId="14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1" fillId="7" borderId="2" xfId="0" applyNumberFormat="1" applyFont="1" applyFill="1" applyBorder="1" applyAlignment="1" applyProtection="1">
      <alignment horizontal="center"/>
      <protection/>
    </xf>
    <xf numFmtId="4" fontId="72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81" fontId="7" fillId="0" borderId="4" xfId="0" applyNumberFormat="1" applyFont="1" applyBorder="1" applyAlignment="1" applyProtection="1" quotePrefix="1">
      <alignment horizontal="center"/>
      <protection locked="0"/>
    </xf>
    <xf numFmtId="176" fontId="37" fillId="2" borderId="22" xfId="0" applyNumberFormat="1" applyFont="1" applyFill="1" applyBorder="1" applyAlignment="1" applyProtection="1" quotePrefix="1">
      <alignment horizontal="center"/>
      <protection locked="0"/>
    </xf>
    <xf numFmtId="176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3" fillId="7" borderId="2" xfId="0" applyNumberFormat="1" applyFont="1" applyFill="1" applyBorder="1" applyAlignment="1" applyProtection="1">
      <alignment horizontal="center"/>
      <protection locked="0"/>
    </xf>
    <xf numFmtId="4" fontId="74" fillId="8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72" fontId="9" fillId="0" borderId="3" xfId="0" applyNumberFormat="1" applyFont="1" applyBorder="1" applyAlignment="1" applyProtection="1">
      <alignment horizontal="center"/>
      <protection locked="0"/>
    </xf>
    <xf numFmtId="173" fontId="7" fillId="0" borderId="3" xfId="0" applyNumberFormat="1" applyFont="1" applyBorder="1" applyAlignment="1" applyProtection="1">
      <alignment horizontal="center"/>
      <protection locked="0"/>
    </xf>
    <xf numFmtId="176" fontId="37" fillId="2" borderId="26" xfId="0" applyNumberFormat="1" applyFont="1" applyFill="1" applyBorder="1" applyAlignment="1" applyProtection="1" quotePrefix="1">
      <alignment horizontal="center"/>
      <protection locked="0"/>
    </xf>
    <xf numFmtId="176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3" fillId="7" borderId="3" xfId="0" applyNumberFormat="1" applyFont="1" applyFill="1" applyBorder="1" applyAlignment="1" applyProtection="1">
      <alignment horizontal="center"/>
      <protection locked="0"/>
    </xf>
    <xf numFmtId="4" fontId="74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72" fontId="9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 horizontal="center"/>
      <protection/>
    </xf>
    <xf numFmtId="2" fontId="73" fillId="7" borderId="14" xfId="0" applyNumberFormat="1" applyFont="1" applyFill="1" applyBorder="1" applyAlignment="1" applyProtection="1">
      <alignment horizontal="center"/>
      <protection/>
    </xf>
    <xf numFmtId="2" fontId="74" fillId="8" borderId="14" xfId="0" applyNumberFormat="1" applyFont="1" applyFill="1" applyBorder="1" applyAlignment="1" applyProtection="1">
      <alignment horizontal="center"/>
      <protection/>
    </xf>
    <xf numFmtId="2" fontId="60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5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6" fillId="7" borderId="14" xfId="0" applyFont="1" applyFill="1" applyBorder="1" applyAlignment="1">
      <alignment horizontal="center" vertical="center" wrapText="1"/>
    </xf>
    <xf numFmtId="0" fontId="77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72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8" fillId="7" borderId="31" xfId="0" applyFont="1" applyFill="1" applyBorder="1" applyAlignment="1">
      <alignment horizontal="center"/>
    </xf>
    <xf numFmtId="0" fontId="79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80" fillId="10" borderId="35" xfId="0" applyFont="1" applyFill="1" applyBorder="1" applyAlignment="1">
      <alignment horizontal="center"/>
    </xf>
    <xf numFmtId="0" fontId="80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81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72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9" xfId="0" applyFont="1" applyFill="1" applyBorder="1" applyAlignment="1">
      <alignment horizontal="center"/>
    </xf>
    <xf numFmtId="0" fontId="78" fillId="7" borderId="19" xfId="0" applyFont="1" applyFill="1" applyBorder="1" applyAlignment="1">
      <alignment horizontal="center"/>
    </xf>
    <xf numFmtId="0" fontId="79" fillId="5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80" fillId="10" borderId="38" xfId="0" applyFont="1" applyFill="1" applyBorder="1" applyAlignment="1">
      <alignment horizontal="center"/>
    </xf>
    <xf numFmtId="0" fontId="80" fillId="10" borderId="39" xfId="0" applyFont="1" applyFill="1" applyBorder="1" applyAlignment="1">
      <alignment horizontal="center"/>
    </xf>
    <xf numFmtId="0" fontId="45" fillId="11" borderId="19" xfId="0" applyFont="1" applyFill="1" applyBorder="1" applyAlignment="1">
      <alignment horizontal="center"/>
    </xf>
    <xf numFmtId="0" fontId="81" fillId="7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82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72" fontId="43" fillId="9" borderId="2" xfId="0" applyNumberFormat="1" applyFont="1" applyFill="1" applyBorder="1" applyAlignment="1" applyProtection="1">
      <alignment horizontal="center"/>
      <protection/>
    </xf>
    <xf numFmtId="2" fontId="78" fillId="7" borderId="2" xfId="0" applyNumberFormat="1" applyFont="1" applyFill="1" applyBorder="1" applyAlignment="1">
      <alignment horizontal="center"/>
    </xf>
    <xf numFmtId="2" fontId="79" fillId="5" borderId="2" xfId="0" applyNumberFormat="1" applyFont="1" applyFill="1" applyBorder="1" applyAlignment="1">
      <alignment horizontal="center"/>
    </xf>
    <xf numFmtId="176" fontId="37" fillId="2" borderId="38" xfId="0" applyNumberFormat="1" applyFont="1" applyFill="1" applyBorder="1" applyAlignment="1" applyProtection="1" quotePrefix="1">
      <alignment horizontal="center"/>
      <protection/>
    </xf>
    <xf numFmtId="176" fontId="37" fillId="2" borderId="39" xfId="0" applyNumberFormat="1" applyFont="1" applyFill="1" applyBorder="1" applyAlignment="1" applyProtection="1" quotePrefix="1">
      <alignment horizontal="center"/>
      <protection/>
    </xf>
    <xf numFmtId="176" fontId="80" fillId="10" borderId="38" xfId="0" applyNumberFormat="1" applyFont="1" applyFill="1" applyBorder="1" applyAlignment="1" applyProtection="1" quotePrefix="1">
      <alignment horizontal="center"/>
      <protection/>
    </xf>
    <xf numFmtId="176" fontId="80" fillId="10" borderId="39" xfId="0" applyNumberFormat="1" applyFont="1" applyFill="1" applyBorder="1" applyAlignment="1" applyProtection="1" quotePrefix="1">
      <alignment horizontal="center"/>
      <protection/>
    </xf>
    <xf numFmtId="176" fontId="45" fillId="11" borderId="2" xfId="0" applyNumberFormat="1" applyFont="1" applyFill="1" applyBorder="1" applyAlignment="1" applyProtection="1" quotePrefix="1">
      <alignment horizontal="center"/>
      <protection/>
    </xf>
    <xf numFmtId="176" fontId="81" fillId="7" borderId="19" xfId="0" applyNumberFormat="1" applyFont="1" applyFill="1" applyBorder="1" applyAlignment="1" applyProtection="1" quotePrefix="1">
      <alignment horizontal="center"/>
      <protection/>
    </xf>
    <xf numFmtId="176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72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72" fontId="7" fillId="0" borderId="3" xfId="0" applyNumberFormat="1" applyFont="1" applyFill="1" applyBorder="1" applyAlignment="1" applyProtection="1" quotePrefix="1">
      <alignment horizontal="center"/>
      <protection/>
    </xf>
    <xf numFmtId="172" fontId="43" fillId="9" borderId="3" xfId="0" applyNumberFormat="1" applyFont="1" applyFill="1" applyBorder="1" applyAlignment="1" applyProtection="1">
      <alignment horizontal="center"/>
      <protection/>
    </xf>
    <xf numFmtId="2" fontId="78" fillId="7" borderId="3" xfId="0" applyNumberFormat="1" applyFont="1" applyFill="1" applyBorder="1" applyAlignment="1">
      <alignment horizontal="center"/>
    </xf>
    <xf numFmtId="2" fontId="79" fillId="5" borderId="3" xfId="0" applyNumberFormat="1" applyFont="1" applyFill="1" applyBorder="1" applyAlignment="1">
      <alignment horizontal="center"/>
    </xf>
    <xf numFmtId="176" fontId="37" fillId="2" borderId="41" xfId="0" applyNumberFormat="1" applyFont="1" applyFill="1" applyBorder="1" applyAlignment="1" applyProtection="1" quotePrefix="1">
      <alignment horizontal="center"/>
      <protection/>
    </xf>
    <xf numFmtId="176" fontId="37" fillId="2" borderId="42" xfId="0" applyNumberFormat="1" applyFont="1" applyFill="1" applyBorder="1" applyAlignment="1" applyProtection="1" quotePrefix="1">
      <alignment horizontal="center"/>
      <protection/>
    </xf>
    <xf numFmtId="176" fontId="80" fillId="10" borderId="26" xfId="0" applyNumberFormat="1" applyFont="1" applyFill="1" applyBorder="1" applyAlignment="1" applyProtection="1" quotePrefix="1">
      <alignment horizontal="center"/>
      <protection/>
    </xf>
    <xf numFmtId="176" fontId="80" fillId="10" borderId="28" xfId="0" applyNumberFormat="1" applyFont="1" applyFill="1" applyBorder="1" applyAlignment="1" applyProtection="1" quotePrefix="1">
      <alignment horizontal="center"/>
      <protection/>
    </xf>
    <xf numFmtId="176" fontId="45" fillId="11" borderId="3" xfId="0" applyNumberFormat="1" applyFont="1" applyFill="1" applyBorder="1" applyAlignment="1" applyProtection="1" quotePrefix="1">
      <alignment horizontal="center"/>
      <protection/>
    </xf>
    <xf numFmtId="176" fontId="81" fillId="7" borderId="3" xfId="0" applyNumberFormat="1" applyFont="1" applyFill="1" applyBorder="1" applyAlignment="1" applyProtection="1" quotePrefix="1">
      <alignment horizontal="center"/>
      <protection/>
    </xf>
    <xf numFmtId="176" fontId="65" fillId="0" borderId="20" xfId="0" applyNumberFormat="1" applyFont="1" applyFill="1" applyBorder="1" applyAlignment="1">
      <alignment horizontal="center"/>
    </xf>
    <xf numFmtId="176" fontId="28" fillId="0" borderId="43" xfId="0" applyNumberFormat="1" applyFont="1" applyFill="1" applyBorder="1" applyAlignment="1">
      <alignment horizontal="center"/>
    </xf>
    <xf numFmtId="4" fontId="78" fillId="7" borderId="14" xfId="0" applyNumberFormat="1" applyFont="1" applyFill="1" applyBorder="1" applyAlignment="1">
      <alignment horizontal="center"/>
    </xf>
    <xf numFmtId="4" fontId="79" fillId="5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80" fillId="10" borderId="44" xfId="0" applyNumberFormat="1" applyFont="1" applyFill="1" applyBorder="1" applyAlignment="1">
      <alignment horizontal="center"/>
    </xf>
    <xf numFmtId="4" fontId="80" fillId="10" borderId="45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81" fillId="7" borderId="14" xfId="0" applyNumberFormat="1" applyFont="1" applyFill="1" applyBorder="1" applyAlignment="1">
      <alignment horizontal="center"/>
    </xf>
    <xf numFmtId="7" fontId="82" fillId="0" borderId="14" xfId="0" applyNumberFormat="1" applyFont="1" applyFill="1" applyBorder="1" applyAlignment="1">
      <alignment horizontal="right"/>
    </xf>
    <xf numFmtId="0" fontId="36" fillId="2" borderId="46" xfId="0" applyFont="1" applyFill="1" applyBorder="1" applyAlignment="1">
      <alignment horizontal="center"/>
    </xf>
    <xf numFmtId="2" fontId="78" fillId="7" borderId="2" xfId="0" applyNumberFormat="1" applyFont="1" applyFill="1" applyBorder="1" applyAlignment="1" applyProtection="1">
      <alignment horizontal="center"/>
      <protection locked="0"/>
    </xf>
    <xf numFmtId="2" fontId="79" fillId="5" borderId="2" xfId="0" applyNumberFormat="1" applyFont="1" applyFill="1" applyBorder="1" applyAlignment="1" applyProtection="1">
      <alignment horizontal="center"/>
      <protection locked="0"/>
    </xf>
    <xf numFmtId="176" fontId="37" fillId="2" borderId="38" xfId="0" applyNumberFormat="1" applyFont="1" applyFill="1" applyBorder="1" applyAlignment="1" applyProtection="1" quotePrefix="1">
      <alignment horizontal="center"/>
      <protection locked="0"/>
    </xf>
    <xf numFmtId="176" fontId="37" fillId="2" borderId="39" xfId="0" applyNumberFormat="1" applyFont="1" applyFill="1" applyBorder="1" applyAlignment="1" applyProtection="1" quotePrefix="1">
      <alignment horizontal="center"/>
      <protection locked="0"/>
    </xf>
    <xf numFmtId="176" fontId="80" fillId="10" borderId="38" xfId="0" applyNumberFormat="1" applyFont="1" applyFill="1" applyBorder="1" applyAlignment="1" applyProtection="1" quotePrefix="1">
      <alignment horizontal="center"/>
      <protection locked="0"/>
    </xf>
    <xf numFmtId="176" fontId="80" fillId="10" borderId="39" xfId="0" applyNumberFormat="1" applyFont="1" applyFill="1" applyBorder="1" applyAlignment="1" applyProtection="1" quotePrefix="1">
      <alignment horizontal="center"/>
      <protection locked="0"/>
    </xf>
    <xf numFmtId="176" fontId="45" fillId="11" borderId="2" xfId="0" applyNumberFormat="1" applyFont="1" applyFill="1" applyBorder="1" applyAlignment="1" applyProtection="1" quotePrefix="1">
      <alignment horizontal="center"/>
      <protection locked="0"/>
    </xf>
    <xf numFmtId="176" fontId="81" fillId="7" borderId="19" xfId="0" applyNumberFormat="1" applyFont="1" applyFill="1" applyBorder="1" applyAlignment="1" applyProtection="1" quotePrefix="1">
      <alignment horizontal="center"/>
      <protection locked="0"/>
    </xf>
    <xf numFmtId="2" fontId="78" fillId="7" borderId="3" xfId="0" applyNumberFormat="1" applyFont="1" applyFill="1" applyBorder="1" applyAlignment="1" applyProtection="1">
      <alignment horizontal="center"/>
      <protection locked="0"/>
    </xf>
    <xf numFmtId="2" fontId="79" fillId="5" borderId="3" xfId="0" applyNumberFormat="1" applyFont="1" applyFill="1" applyBorder="1" applyAlignment="1" applyProtection="1">
      <alignment horizontal="center"/>
      <protection locked="0"/>
    </xf>
    <xf numFmtId="176" fontId="37" fillId="2" borderId="41" xfId="0" applyNumberFormat="1" applyFont="1" applyFill="1" applyBorder="1" applyAlignment="1" applyProtection="1" quotePrefix="1">
      <alignment horizontal="center"/>
      <protection locked="0"/>
    </xf>
    <xf numFmtId="176" fontId="37" fillId="2" borderId="42" xfId="0" applyNumberFormat="1" applyFont="1" applyFill="1" applyBorder="1" applyAlignment="1" applyProtection="1" quotePrefix="1">
      <alignment horizontal="center"/>
      <protection locked="0"/>
    </xf>
    <xf numFmtId="176" fontId="80" fillId="10" borderId="26" xfId="0" applyNumberFormat="1" applyFont="1" applyFill="1" applyBorder="1" applyAlignment="1" applyProtection="1" quotePrefix="1">
      <alignment horizontal="center"/>
      <protection locked="0"/>
    </xf>
    <xf numFmtId="176" fontId="80" fillId="10" borderId="28" xfId="0" applyNumberFormat="1" applyFont="1" applyFill="1" applyBorder="1" applyAlignment="1" applyProtection="1" quotePrefix="1">
      <alignment horizontal="center"/>
      <protection locked="0"/>
    </xf>
    <xf numFmtId="176" fontId="45" fillId="11" borderId="3" xfId="0" applyNumberFormat="1" applyFont="1" applyFill="1" applyBorder="1" applyAlignment="1" applyProtection="1" quotePrefix="1">
      <alignment horizontal="center"/>
      <protection locked="0"/>
    </xf>
    <xf numFmtId="176" fontId="81" fillId="7" borderId="3" xfId="0" applyNumberFormat="1" applyFont="1" applyFill="1" applyBorder="1" applyAlignment="1" applyProtection="1" quotePrefix="1">
      <alignment horizontal="center"/>
      <protection locked="0"/>
    </xf>
    <xf numFmtId="176" fontId="65" fillId="0" borderId="20" xfId="0" applyNumberFormat="1" applyFont="1" applyFill="1" applyBorder="1" applyAlignment="1" applyProtection="1">
      <alignment horizontal="center"/>
      <protection locked="0"/>
    </xf>
    <xf numFmtId="172" fontId="43" fillId="9" borderId="2" xfId="0" applyNumberFormat="1" applyFont="1" applyFill="1" applyBorder="1" applyAlignment="1" applyProtection="1">
      <alignment horizontal="center"/>
      <protection locked="0"/>
    </xf>
    <xf numFmtId="172" fontId="43" fillId="9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82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2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72" fontId="9" fillId="0" borderId="47" xfId="0" applyNumberFormat="1" applyFont="1" applyBorder="1" applyAlignment="1" applyProtection="1">
      <alignment horizontal="center"/>
      <protection/>
    </xf>
    <xf numFmtId="176" fontId="7" fillId="0" borderId="47" xfId="0" applyNumberFormat="1" applyFont="1" applyBorder="1" applyAlignment="1" applyProtection="1">
      <alignment horizontal="center"/>
      <protection/>
    </xf>
    <xf numFmtId="172" fontId="7" fillId="0" borderId="47" xfId="0" applyNumberFormat="1" applyFont="1" applyBorder="1" applyAlignment="1" applyProtection="1">
      <alignment horizontal="center"/>
      <protection/>
    </xf>
    <xf numFmtId="2" fontId="60" fillId="0" borderId="47" xfId="0" applyNumberFormat="1" applyFont="1" applyBorder="1" applyAlignment="1">
      <alignment horizontal="center"/>
    </xf>
    <xf numFmtId="176" fontId="9" fillId="0" borderId="47" xfId="0" applyNumberFormat="1" applyFont="1" applyBorder="1" applyAlignment="1" applyProtection="1" quotePrefix="1">
      <alignment horizontal="center"/>
      <protection/>
    </xf>
    <xf numFmtId="176" fontId="7" fillId="0" borderId="47" xfId="0" applyNumberFormat="1" applyFont="1" applyBorder="1" applyAlignment="1">
      <alignment horizontal="center"/>
    </xf>
    <xf numFmtId="176" fontId="65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2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17" xfId="0" applyFont="1" applyFill="1" applyBorder="1" applyAlignment="1" applyProtection="1">
      <alignment horizontal="center"/>
      <protection/>
    </xf>
    <xf numFmtId="0" fontId="80" fillId="10" borderId="17" xfId="0" applyFont="1" applyFill="1" applyBorder="1" applyAlignment="1" applyProtection="1">
      <alignment horizontal="center"/>
      <protection/>
    </xf>
    <xf numFmtId="176" fontId="64" fillId="5" borderId="33" xfId="0" applyNumberFormat="1" applyFont="1" applyFill="1" applyBorder="1" applyAlignment="1" applyProtection="1" quotePrefix="1">
      <alignment horizontal="center"/>
      <protection/>
    </xf>
    <xf numFmtId="176" fontId="64" fillId="5" borderId="34" xfId="0" applyNumberFormat="1" applyFont="1" applyFill="1" applyBorder="1" applyAlignment="1" applyProtection="1" quotePrefix="1">
      <alignment horizontal="center"/>
      <protection/>
    </xf>
    <xf numFmtId="176" fontId="46" fillId="3" borderId="17" xfId="0" applyNumberFormat="1" applyFont="1" applyFill="1" applyBorder="1" applyAlignment="1" applyProtection="1" quotePrefix="1">
      <alignment horizontal="center"/>
      <protection/>
    </xf>
    <xf numFmtId="7" fontId="83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80" fillId="10" borderId="2" xfId="0" applyFont="1" applyFill="1" applyBorder="1" applyAlignment="1" applyProtection="1">
      <alignment horizontal="center"/>
      <protection/>
    </xf>
    <xf numFmtId="176" fontId="64" fillId="5" borderId="48" xfId="0" applyNumberFormat="1" applyFont="1" applyFill="1" applyBorder="1" applyAlignment="1" applyProtection="1" quotePrefix="1">
      <alignment horizontal="center"/>
      <protection/>
    </xf>
    <xf numFmtId="176" fontId="46" fillId="3" borderId="2" xfId="0" applyNumberFormat="1" applyFont="1" applyFill="1" applyBorder="1" applyAlignment="1" applyProtection="1" quotePrefix="1">
      <alignment horizontal="center"/>
      <protection/>
    </xf>
    <xf numFmtId="176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72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72" fontId="7" fillId="0" borderId="2" xfId="0" applyNumberFormat="1" applyFont="1" applyFill="1" applyBorder="1" applyAlignment="1" applyProtection="1" quotePrefix="1">
      <alignment horizontal="center"/>
      <protection/>
    </xf>
    <xf numFmtId="172" fontId="43" fillId="4" borderId="2" xfId="0" applyNumberFormat="1" applyFont="1" applyFill="1" applyBorder="1" applyAlignment="1" applyProtection="1">
      <alignment horizontal="center"/>
      <protection locked="0"/>
    </xf>
    <xf numFmtId="2" fontId="80" fillId="10" borderId="2" xfId="0" applyNumberFormat="1" applyFont="1" applyFill="1" applyBorder="1" applyAlignment="1" applyProtection="1">
      <alignment horizontal="center"/>
      <protection locked="0"/>
    </xf>
    <xf numFmtId="176" fontId="64" fillId="5" borderId="22" xfId="0" applyNumberFormat="1" applyFont="1" applyFill="1" applyBorder="1" applyAlignment="1" applyProtection="1" quotePrefix="1">
      <alignment horizontal="center"/>
      <protection locked="0"/>
    </xf>
    <xf numFmtId="176" fontId="64" fillId="5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76" fontId="7" fillId="0" borderId="20" xfId="0" applyNumberFormat="1" applyFont="1" applyBorder="1" applyAlignment="1" applyProtection="1">
      <alignment horizontal="center"/>
      <protection locked="0"/>
    </xf>
    <xf numFmtId="176" fontId="7" fillId="0" borderId="20" xfId="0" applyNumberFormat="1" applyFont="1" applyBorder="1" applyAlignment="1" applyProtection="1">
      <alignment horizontal="center"/>
      <protection/>
    </xf>
    <xf numFmtId="172" fontId="43" fillId="4" borderId="3" xfId="0" applyNumberFormat="1" applyFont="1" applyFill="1" applyBorder="1" applyAlignment="1" applyProtection="1">
      <alignment horizontal="center"/>
      <protection locked="0"/>
    </xf>
    <xf numFmtId="2" fontId="80" fillId="10" borderId="3" xfId="0" applyNumberFormat="1" applyFont="1" applyFill="1" applyBorder="1" applyAlignment="1" applyProtection="1">
      <alignment horizontal="center"/>
      <protection locked="0"/>
    </xf>
    <xf numFmtId="176" fontId="64" fillId="5" borderId="26" xfId="0" applyNumberFormat="1" applyFont="1" applyFill="1" applyBorder="1" applyAlignment="1" applyProtection="1" quotePrefix="1">
      <alignment horizontal="center"/>
      <protection locked="0"/>
    </xf>
    <xf numFmtId="176" fontId="64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80" fillId="10" borderId="14" xfId="0" applyNumberFormat="1" applyFont="1" applyFill="1" applyBorder="1" applyAlignment="1">
      <alignment horizontal="center"/>
    </xf>
    <xf numFmtId="4" fontId="64" fillId="5" borderId="44" xfId="0" applyNumberFormat="1" applyFont="1" applyFill="1" applyBorder="1" applyAlignment="1">
      <alignment horizontal="center"/>
    </xf>
    <xf numFmtId="4" fontId="64" fillId="5" borderId="45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82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2" fontId="60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8" xfId="0" applyFont="1" applyFill="1" applyBorder="1" applyAlignment="1" applyProtection="1">
      <alignment horizontal="centerContinuous" vertical="center" wrapText="1"/>
      <protection/>
    </xf>
    <xf numFmtId="0" fontId="44" fillId="12" borderId="9" xfId="0" applyFont="1" applyFill="1" applyBorder="1" applyAlignment="1">
      <alignment horizontal="centerContinuous" vertical="center"/>
    </xf>
    <xf numFmtId="0" fontId="49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48" fillId="7" borderId="31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50" fillId="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76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72" fontId="7" fillId="0" borderId="19" xfId="0" applyNumberFormat="1" applyFont="1" applyFill="1" applyBorder="1" applyAlignment="1" applyProtection="1" quotePrefix="1">
      <alignment horizontal="center"/>
      <protection/>
    </xf>
    <xf numFmtId="176" fontId="7" fillId="0" borderId="37" xfId="0" applyNumberFormat="1" applyFont="1" applyBorder="1" applyAlignment="1" applyProtection="1">
      <alignment horizontal="center"/>
      <protection/>
    </xf>
    <xf numFmtId="176" fontId="7" fillId="0" borderId="19" xfId="0" applyNumberFormat="1" applyFont="1" applyBorder="1" applyAlignment="1" applyProtection="1">
      <alignment horizontal="center"/>
      <protection/>
    </xf>
    <xf numFmtId="172" fontId="36" fillId="2" borderId="24" xfId="0" applyNumberFormat="1" applyFont="1" applyFill="1" applyBorder="1" applyAlignment="1" applyProtection="1">
      <alignment horizontal="center"/>
      <protection/>
    </xf>
    <xf numFmtId="2" fontId="48" fillId="7" borderId="19" xfId="0" applyNumberFormat="1" applyFont="1" applyFill="1" applyBorder="1" applyAlignment="1">
      <alignment horizontal="center"/>
    </xf>
    <xf numFmtId="176" fontId="45" fillId="12" borderId="38" xfId="0" applyNumberFormat="1" applyFont="1" applyFill="1" applyBorder="1" applyAlignment="1" applyProtection="1" quotePrefix="1">
      <alignment horizontal="center"/>
      <protection/>
    </xf>
    <xf numFmtId="176" fontId="45" fillId="12" borderId="39" xfId="0" applyNumberFormat="1" applyFont="1" applyFill="1" applyBorder="1" applyAlignment="1" applyProtection="1" quotePrefix="1">
      <alignment horizontal="center"/>
      <protection/>
    </xf>
    <xf numFmtId="176" fontId="50" fillId="5" borderId="19" xfId="0" applyNumberFormat="1" applyFont="1" applyFill="1" applyBorder="1" applyAlignment="1" applyProtection="1" quotePrefix="1">
      <alignment horizontal="center"/>
      <protection/>
    </xf>
    <xf numFmtId="176" fontId="29" fillId="0" borderId="19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72" fontId="36" fillId="2" borderId="47" xfId="0" applyNumberFormat="1" applyFont="1" applyFill="1" applyBorder="1" applyAlignment="1" applyProtection="1">
      <alignment horizontal="center"/>
      <protection locked="0"/>
    </xf>
    <xf numFmtId="2" fontId="48" fillId="7" borderId="2" xfId="0" applyNumberFormat="1" applyFont="1" applyFill="1" applyBorder="1" applyAlignment="1" applyProtection="1">
      <alignment horizontal="center"/>
      <protection locked="0"/>
    </xf>
    <xf numFmtId="176" fontId="45" fillId="12" borderId="38" xfId="0" applyNumberFormat="1" applyFont="1" applyFill="1" applyBorder="1" applyAlignment="1" applyProtection="1" quotePrefix="1">
      <alignment horizontal="center"/>
      <protection locked="0"/>
    </xf>
    <xf numFmtId="176" fontId="45" fillId="12" borderId="39" xfId="0" applyNumberFormat="1" applyFont="1" applyFill="1" applyBorder="1" applyAlignment="1" applyProtection="1" quotePrefix="1">
      <alignment horizontal="center"/>
      <protection locked="0"/>
    </xf>
    <xf numFmtId="176" fontId="50" fillId="5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72" fontId="36" fillId="2" borderId="23" xfId="0" applyNumberFormat="1" applyFont="1" applyFill="1" applyBorder="1" applyAlignment="1" applyProtection="1">
      <alignment horizontal="center"/>
      <protection locked="0"/>
    </xf>
    <xf numFmtId="2" fontId="48" fillId="7" borderId="3" xfId="0" applyNumberFormat="1" applyFont="1" applyFill="1" applyBorder="1" applyAlignment="1" applyProtection="1">
      <alignment horizontal="center"/>
      <protection locked="0"/>
    </xf>
    <xf numFmtId="176" fontId="45" fillId="12" borderId="41" xfId="0" applyNumberFormat="1" applyFont="1" applyFill="1" applyBorder="1" applyAlignment="1" applyProtection="1" quotePrefix="1">
      <alignment horizontal="center"/>
      <protection locked="0"/>
    </xf>
    <xf numFmtId="176" fontId="45" fillId="12" borderId="42" xfId="0" applyNumberFormat="1" applyFont="1" applyFill="1" applyBorder="1" applyAlignment="1" applyProtection="1" quotePrefix="1">
      <alignment horizontal="center"/>
      <protection locked="0"/>
    </xf>
    <xf numFmtId="176" fontId="50" fillId="5" borderId="3" xfId="0" applyNumberFormat="1" applyFont="1" applyFill="1" applyBorder="1" applyAlignment="1" applyProtection="1" quotePrefix="1">
      <alignment horizontal="center"/>
      <protection locked="0"/>
    </xf>
    <xf numFmtId="176" fontId="29" fillId="0" borderId="29" xfId="0" applyNumberFormat="1" applyFont="1" applyFill="1" applyBorder="1" applyAlignment="1">
      <alignment horizontal="center"/>
    </xf>
    <xf numFmtId="4" fontId="48" fillId="7" borderId="14" xfId="0" applyNumberFormat="1" applyFont="1" applyFill="1" applyBorder="1" applyAlignment="1">
      <alignment horizontal="center"/>
    </xf>
    <xf numFmtId="4" fontId="45" fillId="12" borderId="44" xfId="0" applyNumberFormat="1" applyFont="1" applyFill="1" applyBorder="1" applyAlignment="1">
      <alignment horizontal="center"/>
    </xf>
    <xf numFmtId="4" fontId="45" fillId="12" borderId="9" xfId="0" applyNumberFormat="1" applyFont="1" applyFill="1" applyBorder="1" applyAlignment="1">
      <alignment horizontal="center"/>
    </xf>
    <xf numFmtId="4" fontId="50" fillId="5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176" fontId="7" fillId="0" borderId="51" xfId="0" applyNumberFormat="1" applyFont="1" applyBorder="1" applyAlignment="1" applyProtection="1">
      <alignment horizontal="center"/>
      <protection/>
    </xf>
    <xf numFmtId="0" fontId="85" fillId="0" borderId="0" xfId="0" applyFont="1" applyAlignment="1">
      <alignment/>
    </xf>
    <xf numFmtId="0" fontId="7" fillId="0" borderId="54" xfId="27" applyFont="1" applyBorder="1">
      <alignment/>
      <protection/>
    </xf>
    <xf numFmtId="0" fontId="20" fillId="0" borderId="0" xfId="27" applyFont="1" applyBorder="1" applyAlignment="1">
      <alignment horizontal="centerContinuous"/>
      <protection/>
    </xf>
    <xf numFmtId="0" fontId="20" fillId="0" borderId="0" xfId="27" applyFont="1" applyAlignment="1">
      <alignment horizontal="centerContinuous"/>
      <protection/>
    </xf>
    <xf numFmtId="0" fontId="7" fillId="0" borderId="1" xfId="27" applyFont="1" applyBorder="1">
      <alignment/>
      <protection/>
    </xf>
    <xf numFmtId="0" fontId="11" fillId="0" borderId="0" xfId="27" applyFont="1">
      <alignment/>
      <protection/>
    </xf>
    <xf numFmtId="0" fontId="20" fillId="0" borderId="0" xfId="27" applyFont="1" applyBorder="1" applyProtection="1">
      <alignment/>
      <protection/>
    </xf>
    <xf numFmtId="0" fontId="20" fillId="0" borderId="1" xfId="27" applyFont="1" applyBorder="1">
      <alignment/>
      <protection/>
    </xf>
    <xf numFmtId="0" fontId="21" fillId="0" borderId="0" xfId="27" applyFont="1">
      <alignment/>
      <protection/>
    </xf>
    <xf numFmtId="0" fontId="7" fillId="0" borderId="0" xfId="27" applyFont="1" applyBorder="1" applyProtection="1">
      <alignment/>
      <protection/>
    </xf>
    <xf numFmtId="0" fontId="5" fillId="0" borderId="0" xfId="27" applyFont="1" applyBorder="1">
      <alignment/>
      <protection/>
    </xf>
    <xf numFmtId="0" fontId="7" fillId="0" borderId="2" xfId="27" applyFont="1" applyBorder="1">
      <alignment/>
      <protection/>
    </xf>
    <xf numFmtId="0" fontId="7" fillId="0" borderId="2" xfId="27" applyFont="1" applyBorder="1" applyAlignment="1">
      <alignment horizontal="center"/>
      <protection/>
    </xf>
    <xf numFmtId="7" fontId="13" fillId="0" borderId="14" xfId="27" applyNumberFormat="1" applyFont="1" applyFill="1" applyBorder="1" applyAlignment="1">
      <alignment horizontal="right"/>
      <protection/>
    </xf>
    <xf numFmtId="0" fontId="32" fillId="0" borderId="0" xfId="27" applyFont="1" applyBorder="1" applyAlignment="1">
      <alignment horizontal="center"/>
      <protection/>
    </xf>
    <xf numFmtId="0" fontId="34" fillId="0" borderId="0" xfId="27" applyFont="1" applyBorder="1" applyAlignment="1" applyProtection="1">
      <alignment horizontal="left" vertical="top"/>
      <protection/>
    </xf>
    <xf numFmtId="0" fontId="0" fillId="0" borderId="11" xfId="27" applyBorder="1">
      <alignment/>
      <protection/>
    </xf>
    <xf numFmtId="0" fontId="0" fillId="0" borderId="11" xfId="27" applyFill="1" applyBorder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0" fillId="0" borderId="0" xfId="27" applyAlignment="1">
      <alignment horizontal="centerContinuous"/>
      <protection/>
    </xf>
    <xf numFmtId="0" fontId="4" fillId="0" borderId="0" xfId="27" applyFont="1" applyAlignment="1">
      <alignment horizontal="centerContinuous"/>
      <protection/>
    </xf>
    <xf numFmtId="0" fontId="0" fillId="0" borderId="13" xfId="27" applyBorder="1">
      <alignment/>
      <protection/>
    </xf>
    <xf numFmtId="0" fontId="0" fillId="0" borderId="5" xfId="27" applyBorder="1">
      <alignment/>
      <protection/>
    </xf>
    <xf numFmtId="0" fontId="4" fillId="0" borderId="5" xfId="27" applyFont="1" applyBorder="1">
      <alignment/>
      <protection/>
    </xf>
    <xf numFmtId="0" fontId="4" fillId="0" borderId="6" xfId="27" applyFont="1" applyFill="1" applyBorder="1">
      <alignment/>
      <protection/>
    </xf>
    <xf numFmtId="0" fontId="4" fillId="0" borderId="0" xfId="27" applyFont="1" applyBorder="1" applyAlignment="1">
      <alignment horizontal="centerContinuous"/>
      <protection/>
    </xf>
    <xf numFmtId="0" fontId="4" fillId="0" borderId="1" xfId="27" applyFont="1" applyFill="1" applyBorder="1" applyAlignment="1">
      <alignment horizontal="centerContinuous"/>
      <protection/>
    </xf>
    <xf numFmtId="0" fontId="51" fillId="0" borderId="0" xfId="27" applyFont="1" applyBorder="1" applyAlignment="1">
      <alignment horizontal="left"/>
      <protection/>
    </xf>
    <xf numFmtId="0" fontId="4" fillId="0" borderId="1" xfId="27" applyFont="1" applyFill="1" applyBorder="1">
      <alignment/>
      <protection/>
    </xf>
    <xf numFmtId="0" fontId="4" fillId="0" borderId="0" xfId="27" applyFont="1" applyBorder="1" applyProtection="1">
      <alignment/>
      <protection/>
    </xf>
    <xf numFmtId="0" fontId="4" fillId="0" borderId="8" xfId="27" applyFont="1" applyBorder="1" applyAlignment="1">
      <alignment horizontal="left" vertical="center"/>
      <protection/>
    </xf>
    <xf numFmtId="7" fontId="4" fillId="0" borderId="9" xfId="27" applyNumberFormat="1" applyFont="1" applyBorder="1" applyAlignment="1">
      <alignment horizontal="centerContinuous" vertical="center"/>
      <protection/>
    </xf>
    <xf numFmtId="0" fontId="4" fillId="0" borderId="23" xfId="27" applyFont="1" applyBorder="1">
      <alignment/>
      <protection/>
    </xf>
    <xf numFmtId="0" fontId="47" fillId="10" borderId="14" xfId="27" applyFont="1" applyFill="1" applyBorder="1" applyAlignment="1" applyProtection="1">
      <alignment horizontal="center" vertical="center" wrapText="1"/>
      <protection/>
    </xf>
    <xf numFmtId="0" fontId="42" fillId="13" borderId="8" xfId="27" applyFont="1" applyFill="1" applyBorder="1" applyAlignment="1" applyProtection="1">
      <alignment horizontal="centerContinuous" vertical="center" wrapText="1"/>
      <protection/>
    </xf>
    <xf numFmtId="0" fontId="42" fillId="13" borderId="9" xfId="27" applyFont="1" applyFill="1" applyBorder="1" applyAlignment="1" applyProtection="1">
      <alignment horizontal="centerContinuous" vertical="center" wrapText="1"/>
      <protection/>
    </xf>
    <xf numFmtId="0" fontId="42" fillId="7" borderId="14" xfId="27" applyFont="1" applyFill="1" applyBorder="1" applyAlignment="1" applyProtection="1">
      <alignment horizontal="centerContinuous" vertical="center" wrapText="1"/>
      <protection/>
    </xf>
    <xf numFmtId="0" fontId="27" fillId="3" borderId="14" xfId="27" applyFont="1" applyFill="1" applyBorder="1" applyAlignment="1">
      <alignment horizontal="center" vertical="center" wrapText="1"/>
      <protection/>
    </xf>
    <xf numFmtId="0" fontId="0" fillId="0" borderId="1" xfId="27" applyFill="1" applyBorder="1" applyAlignment="1">
      <alignment horizontal="center"/>
      <protection/>
    </xf>
    <xf numFmtId="0" fontId="7" fillId="0" borderId="54" xfId="27" applyFont="1" applyBorder="1" applyAlignment="1">
      <alignment horizontal="center"/>
      <protection/>
    </xf>
    <xf numFmtId="0" fontId="7" fillId="0" borderId="55" xfId="27" applyFont="1" applyBorder="1" applyAlignment="1">
      <alignment horizontal="center"/>
      <protection/>
    </xf>
    <xf numFmtId="0" fontId="52" fillId="10" borderId="17" xfId="27" applyFont="1" applyFill="1" applyBorder="1" applyAlignment="1">
      <alignment horizontal="center"/>
      <protection/>
    </xf>
    <xf numFmtId="0" fontId="43" fillId="13" borderId="17" xfId="27" applyFont="1" applyFill="1" applyBorder="1" applyAlignment="1">
      <alignment horizontal="center"/>
      <protection/>
    </xf>
    <xf numFmtId="0" fontId="43" fillId="7" borderId="17" xfId="27" applyFont="1" applyFill="1" applyBorder="1" applyAlignment="1">
      <alignment horizontal="center"/>
      <protection/>
    </xf>
    <xf numFmtId="0" fontId="7" fillId="3" borderId="17" xfId="27" applyFont="1" applyFill="1" applyBorder="1" applyAlignment="1">
      <alignment horizontal="center"/>
      <protection/>
    </xf>
    <xf numFmtId="7" fontId="7" fillId="0" borderId="17" xfId="27" applyNumberFormat="1" applyFont="1" applyBorder="1">
      <alignment/>
      <protection/>
    </xf>
    <xf numFmtId="0" fontId="0" fillId="0" borderId="1" xfId="27" applyFill="1" applyBorder="1">
      <alignment/>
      <protection/>
    </xf>
    <xf numFmtId="0" fontId="7" fillId="0" borderId="4" xfId="27" applyFont="1" applyBorder="1">
      <alignment/>
      <protection/>
    </xf>
    <xf numFmtId="0" fontId="7" fillId="0" borderId="4" xfId="27" applyFont="1" applyBorder="1" applyAlignment="1">
      <alignment horizontal="center"/>
      <protection/>
    </xf>
    <xf numFmtId="0" fontId="7" fillId="0" borderId="21" xfId="27" applyFont="1" applyBorder="1" applyAlignment="1">
      <alignment horizontal="center"/>
      <protection/>
    </xf>
    <xf numFmtId="0" fontId="52" fillId="10" borderId="2" xfId="27" applyFont="1" applyFill="1" applyBorder="1" applyAlignment="1">
      <alignment horizontal="center"/>
      <protection/>
    </xf>
    <xf numFmtId="0" fontId="43" fillId="13" borderId="2" xfId="27" applyFont="1" applyFill="1" applyBorder="1" applyAlignment="1">
      <alignment horizontal="center"/>
      <protection/>
    </xf>
    <xf numFmtId="0" fontId="43" fillId="7" borderId="2" xfId="27" applyFont="1" applyFill="1" applyBorder="1" applyAlignment="1">
      <alignment horizontal="center"/>
      <protection/>
    </xf>
    <xf numFmtId="0" fontId="7" fillId="3" borderId="2" xfId="27" applyFont="1" applyFill="1" applyBorder="1" applyAlignment="1">
      <alignment horizontal="center"/>
      <protection/>
    </xf>
    <xf numFmtId="0" fontId="7" fillId="0" borderId="4" xfId="27" applyFont="1" applyBorder="1" applyAlignment="1" applyProtection="1">
      <alignment horizontal="center"/>
      <protection locked="0"/>
    </xf>
    <xf numFmtId="0" fontId="7" fillId="0" borderId="4" xfId="27" applyFont="1" applyBorder="1" applyAlignment="1" applyProtection="1" quotePrefix="1">
      <alignment horizontal="center"/>
      <protection locked="0"/>
    </xf>
    <xf numFmtId="22" fontId="7" fillId="0" borderId="4" xfId="27" applyNumberFormat="1" applyFont="1" applyBorder="1" applyAlignment="1" applyProtection="1">
      <alignment horizontal="center"/>
      <protection locked="0"/>
    </xf>
    <xf numFmtId="22" fontId="7" fillId="0" borderId="21" xfId="27" applyNumberFormat="1" applyFont="1" applyBorder="1" applyAlignment="1" applyProtection="1">
      <alignment horizontal="center"/>
      <protection locked="0"/>
    </xf>
    <xf numFmtId="4" fontId="7" fillId="6" borderId="2" xfId="27" applyNumberFormat="1" applyFont="1" applyFill="1" applyBorder="1" applyAlignment="1" applyProtection="1" quotePrefix="1">
      <alignment horizontal="center"/>
      <protection/>
    </xf>
    <xf numFmtId="172" fontId="7" fillId="6" borderId="2" xfId="27" applyNumberFormat="1" applyFont="1" applyFill="1" applyBorder="1" applyAlignment="1" applyProtection="1" quotePrefix="1">
      <alignment horizontal="center"/>
      <protection/>
    </xf>
    <xf numFmtId="176" fontId="7" fillId="0" borderId="2" xfId="27" applyNumberFormat="1" applyFont="1" applyBorder="1" applyAlignment="1" applyProtection="1">
      <alignment horizontal="center"/>
      <protection locked="0"/>
    </xf>
    <xf numFmtId="2" fontId="48" fillId="10" borderId="2" xfId="27" applyNumberFormat="1" applyFont="1" applyFill="1" applyBorder="1" applyAlignment="1" applyProtection="1">
      <alignment horizontal="center"/>
      <protection locked="0"/>
    </xf>
    <xf numFmtId="176" fontId="46" fillId="13" borderId="2" xfId="27" applyNumberFormat="1" applyFont="1" applyFill="1" applyBorder="1" applyAlignment="1" applyProtection="1" quotePrefix="1">
      <alignment horizontal="center"/>
      <protection locked="0"/>
    </xf>
    <xf numFmtId="176" fontId="46" fillId="7" borderId="2" xfId="27" applyNumberFormat="1" applyFont="1" applyFill="1" applyBorder="1" applyAlignment="1" applyProtection="1" quotePrefix="1">
      <alignment horizontal="center"/>
      <protection locked="0"/>
    </xf>
    <xf numFmtId="176" fontId="7" fillId="3" borderId="2" xfId="27" applyNumberFormat="1" applyFont="1" applyFill="1" applyBorder="1" applyAlignment="1" applyProtection="1">
      <alignment horizontal="center"/>
      <protection locked="0"/>
    </xf>
    <xf numFmtId="4" fontId="0" fillId="0" borderId="1" xfId="27" applyNumberFormat="1" applyFont="1" applyFill="1" applyBorder="1" applyAlignment="1">
      <alignment horizontal="center"/>
      <protection/>
    </xf>
    <xf numFmtId="0" fontId="7" fillId="0" borderId="40" xfId="27" applyFont="1" applyBorder="1" applyAlignment="1" applyProtection="1">
      <alignment horizontal="center"/>
      <protection locked="0"/>
    </xf>
    <xf numFmtId="0" fontId="7" fillId="0" borderId="56" xfId="27" applyFont="1" applyBorder="1" applyAlignment="1" applyProtection="1">
      <alignment horizontal="center"/>
      <protection locked="0"/>
    </xf>
    <xf numFmtId="0" fontId="7" fillId="0" borderId="56" xfId="27" applyFont="1" applyBorder="1" applyAlignment="1" applyProtection="1" quotePrefix="1">
      <alignment horizontal="center"/>
      <protection locked="0"/>
    </xf>
    <xf numFmtId="22" fontId="7" fillId="0" borderId="56" xfId="27" applyNumberFormat="1" applyFont="1" applyBorder="1" applyAlignment="1" applyProtection="1">
      <alignment horizontal="center"/>
      <protection locked="0"/>
    </xf>
    <xf numFmtId="22" fontId="7" fillId="0" borderId="57" xfId="27" applyNumberFormat="1" applyFont="1" applyBorder="1" applyAlignment="1" applyProtection="1">
      <alignment horizontal="center"/>
      <protection locked="0"/>
    </xf>
    <xf numFmtId="4" fontId="7" fillId="6" borderId="40" xfId="27" applyNumberFormat="1" applyFont="1" applyFill="1" applyBorder="1" applyAlignment="1" applyProtection="1" quotePrefix="1">
      <alignment horizontal="center"/>
      <protection/>
    </xf>
    <xf numFmtId="172" fontId="7" fillId="6" borderId="40" xfId="27" applyNumberFormat="1" applyFont="1" applyFill="1" applyBorder="1" applyAlignment="1" applyProtection="1" quotePrefix="1">
      <alignment horizontal="center"/>
      <protection/>
    </xf>
    <xf numFmtId="176" fontId="7" fillId="0" borderId="40" xfId="27" applyNumberFormat="1" applyFont="1" applyBorder="1" applyAlignment="1" applyProtection="1">
      <alignment horizontal="center"/>
      <protection locked="0"/>
    </xf>
    <xf numFmtId="2" fontId="48" fillId="10" borderId="40" xfId="27" applyNumberFormat="1" applyFont="1" applyFill="1" applyBorder="1" applyAlignment="1" applyProtection="1">
      <alignment horizontal="center"/>
      <protection locked="0"/>
    </xf>
    <xf numFmtId="176" fontId="46" fillId="13" borderId="40" xfId="27" applyNumberFormat="1" applyFont="1" applyFill="1" applyBorder="1" applyAlignment="1" applyProtection="1" quotePrefix="1">
      <alignment horizontal="center"/>
      <protection locked="0"/>
    </xf>
    <xf numFmtId="176" fontId="46" fillId="7" borderId="40" xfId="27" applyNumberFormat="1" applyFont="1" applyFill="1" applyBorder="1" applyAlignment="1" applyProtection="1" quotePrefix="1">
      <alignment horizontal="center"/>
      <protection locked="0"/>
    </xf>
    <xf numFmtId="176" fontId="7" fillId="3" borderId="40" xfId="27" applyNumberFormat="1" applyFont="1" applyFill="1" applyBorder="1" applyAlignment="1" applyProtection="1">
      <alignment horizontal="center"/>
      <protection locked="0"/>
    </xf>
    <xf numFmtId="4" fontId="10" fillId="0" borderId="40" xfId="27" applyNumberFormat="1" applyFont="1" applyFill="1" applyBorder="1" applyAlignment="1">
      <alignment horizontal="right"/>
      <protection/>
    </xf>
    <xf numFmtId="0" fontId="7" fillId="0" borderId="0" xfId="27" applyFont="1" applyBorder="1" applyAlignment="1" applyProtection="1">
      <alignment horizontal="center"/>
      <protection locked="0"/>
    </xf>
    <xf numFmtId="0" fontId="7" fillId="0" borderId="0" xfId="27" applyFont="1" applyBorder="1" applyAlignment="1" applyProtection="1" quotePrefix="1">
      <alignment horizontal="center"/>
      <protection locked="0"/>
    </xf>
    <xf numFmtId="22" fontId="7" fillId="0" borderId="0" xfId="27" applyNumberFormat="1" applyFont="1" applyBorder="1" applyAlignment="1" applyProtection="1">
      <alignment horizontal="center"/>
      <protection locked="0"/>
    </xf>
    <xf numFmtId="176" fontId="7" fillId="0" borderId="0" xfId="27" applyNumberFormat="1" applyFont="1" applyBorder="1" applyAlignment="1" applyProtection="1">
      <alignment horizontal="center"/>
      <protection locked="0"/>
    </xf>
    <xf numFmtId="2" fontId="48" fillId="10" borderId="0" xfId="27" applyNumberFormat="1" applyFont="1" applyFill="1" applyBorder="1" applyAlignment="1" applyProtection="1">
      <alignment horizontal="center"/>
      <protection locked="0"/>
    </xf>
    <xf numFmtId="176" fontId="46" fillId="13" borderId="0" xfId="27" applyNumberFormat="1" applyFont="1" applyFill="1" applyBorder="1" applyAlignment="1" applyProtection="1" quotePrefix="1">
      <alignment horizontal="center"/>
      <protection locked="0"/>
    </xf>
    <xf numFmtId="176" fontId="46" fillId="7" borderId="0" xfId="27" applyNumberFormat="1" applyFont="1" applyFill="1" applyBorder="1" applyAlignment="1" applyProtection="1" quotePrefix="1">
      <alignment horizontal="center"/>
      <protection locked="0"/>
    </xf>
    <xf numFmtId="176" fontId="7" fillId="3" borderId="0" xfId="27" applyNumberFormat="1" applyFont="1" applyFill="1" applyBorder="1" applyAlignment="1" applyProtection="1">
      <alignment horizontal="center"/>
      <protection locked="0"/>
    </xf>
    <xf numFmtId="7" fontId="13" fillId="0" borderId="0" xfId="27" applyNumberFormat="1" applyFont="1" applyFill="1" applyBorder="1" applyAlignment="1">
      <alignment horizontal="right"/>
      <protection/>
    </xf>
    <xf numFmtId="4" fontId="10" fillId="0" borderId="0" xfId="27" applyNumberFormat="1" applyFont="1" applyFill="1" applyBorder="1" applyAlignment="1">
      <alignment horizontal="right"/>
      <protection/>
    </xf>
    <xf numFmtId="0" fontId="4" fillId="0" borderId="8" xfId="27" applyFont="1" applyBorder="1" applyAlignment="1">
      <alignment horizontal="center" vertical="center"/>
      <protection/>
    </xf>
    <xf numFmtId="0" fontId="27" fillId="0" borderId="8" xfId="27" applyFont="1" applyBorder="1" applyAlignment="1" applyProtection="1">
      <alignment horizontal="left" vertical="center"/>
      <protection/>
    </xf>
    <xf numFmtId="0" fontId="0" fillId="0" borderId="15" xfId="27" applyBorder="1">
      <alignment/>
      <protection/>
    </xf>
    <xf numFmtId="0" fontId="27" fillId="0" borderId="15" xfId="27" applyFont="1" applyBorder="1" applyAlignment="1" applyProtection="1">
      <alignment horizontal="center" vertical="center" wrapText="1"/>
      <protection/>
    </xf>
    <xf numFmtId="0" fontId="27" fillId="0" borderId="15" xfId="27" applyFont="1" applyBorder="1" applyAlignment="1" applyProtection="1">
      <alignment horizontal="center" vertical="center"/>
      <protection/>
    </xf>
    <xf numFmtId="0" fontId="47" fillId="10" borderId="15" xfId="27" applyFont="1" applyFill="1" applyBorder="1" applyAlignment="1" applyProtection="1">
      <alignment horizontal="center" vertical="center" wrapText="1"/>
      <protection/>
    </xf>
    <xf numFmtId="0" fontId="42" fillId="13" borderId="15" xfId="27" applyFont="1" applyFill="1" applyBorder="1" applyAlignment="1" applyProtection="1">
      <alignment horizontal="centerContinuous" vertical="center" wrapText="1"/>
      <protection/>
    </xf>
    <xf numFmtId="0" fontId="42" fillId="7" borderId="15" xfId="27" applyFont="1" applyFill="1" applyBorder="1" applyAlignment="1" applyProtection="1">
      <alignment horizontal="centerContinuous" vertical="center" wrapText="1"/>
      <protection/>
    </xf>
    <xf numFmtId="0" fontId="27" fillId="3" borderId="15" xfId="27" applyFont="1" applyFill="1" applyBorder="1" applyAlignment="1">
      <alignment horizontal="center" vertical="center" wrapText="1"/>
      <protection/>
    </xf>
    <xf numFmtId="0" fontId="7" fillId="0" borderId="55" xfId="27" applyFont="1" applyBorder="1">
      <alignment/>
      <protection/>
    </xf>
    <xf numFmtId="0" fontId="7" fillId="0" borderId="58" xfId="27" applyFont="1" applyBorder="1">
      <alignment/>
      <protection/>
    </xf>
    <xf numFmtId="0" fontId="7" fillId="0" borderId="58" xfId="27" applyFont="1" applyBorder="1" applyAlignment="1">
      <alignment horizontal="center"/>
      <protection/>
    </xf>
    <xf numFmtId="0" fontId="52" fillId="10" borderId="58" xfId="27" applyFont="1" applyFill="1" applyBorder="1" applyAlignment="1">
      <alignment horizontal="center"/>
      <protection/>
    </xf>
    <xf numFmtId="0" fontId="43" fillId="13" borderId="58" xfId="27" applyFont="1" applyFill="1" applyBorder="1" applyAlignment="1">
      <alignment horizontal="center"/>
      <protection/>
    </xf>
    <xf numFmtId="0" fontId="43" fillId="7" borderId="58" xfId="27" applyFont="1" applyFill="1" applyBorder="1" applyAlignment="1">
      <alignment horizontal="center"/>
      <protection/>
    </xf>
    <xf numFmtId="0" fontId="7" fillId="3" borderId="58" xfId="27" applyFont="1" applyFill="1" applyBorder="1" applyAlignment="1">
      <alignment horizontal="center"/>
      <protection/>
    </xf>
    <xf numFmtId="0" fontId="7" fillId="0" borderId="51" xfId="27" applyFont="1" applyBorder="1">
      <alignment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>
      <alignment horizontal="center"/>
      <protection/>
    </xf>
    <xf numFmtId="0" fontId="52" fillId="10" borderId="24" xfId="27" applyFont="1" applyFill="1" applyBorder="1" applyAlignment="1">
      <alignment horizontal="center"/>
      <protection/>
    </xf>
    <xf numFmtId="0" fontId="43" fillId="13" borderId="24" xfId="27" applyFont="1" applyFill="1" applyBorder="1" applyAlignment="1">
      <alignment horizontal="center"/>
      <protection/>
    </xf>
    <xf numFmtId="0" fontId="43" fillId="7" borderId="24" xfId="27" applyFont="1" applyFill="1" applyBorder="1" applyAlignment="1">
      <alignment horizontal="center"/>
      <protection/>
    </xf>
    <xf numFmtId="0" fontId="7" fillId="3" borderId="24" xfId="27" applyFont="1" applyFill="1" applyBorder="1" applyAlignment="1">
      <alignment horizontal="center"/>
      <protection/>
    </xf>
    <xf numFmtId="0" fontId="7" fillId="0" borderId="57" xfId="27" applyFont="1" applyBorder="1" applyAlignment="1" applyProtection="1">
      <alignment horizontal="center"/>
      <protection locked="0"/>
    </xf>
    <xf numFmtId="0" fontId="7" fillId="0" borderId="59" xfId="27" applyFont="1" applyBorder="1" applyAlignment="1" applyProtection="1" quotePrefix="1">
      <alignment horizontal="center"/>
      <protection locked="0"/>
    </xf>
    <xf numFmtId="22" fontId="7" fillId="0" borderId="59" xfId="27" applyNumberFormat="1" applyFont="1" applyBorder="1" applyAlignment="1" applyProtection="1">
      <alignment horizontal="center"/>
      <protection locked="0"/>
    </xf>
    <xf numFmtId="176" fontId="7" fillId="0" borderId="59" xfId="27" applyNumberFormat="1" applyFont="1" applyBorder="1" applyAlignment="1" applyProtection="1">
      <alignment horizontal="center"/>
      <protection locked="0"/>
    </xf>
    <xf numFmtId="2" fontId="48" fillId="10" borderId="59" xfId="27" applyNumberFormat="1" applyFont="1" applyFill="1" applyBorder="1" applyAlignment="1" applyProtection="1">
      <alignment horizontal="center"/>
      <protection locked="0"/>
    </xf>
    <xf numFmtId="176" fontId="46" fillId="13" borderId="59" xfId="27" applyNumberFormat="1" applyFont="1" applyFill="1" applyBorder="1" applyAlignment="1" applyProtection="1" quotePrefix="1">
      <alignment horizontal="center"/>
      <protection locked="0"/>
    </xf>
    <xf numFmtId="176" fontId="46" fillId="7" borderId="59" xfId="27" applyNumberFormat="1" applyFont="1" applyFill="1" applyBorder="1" applyAlignment="1" applyProtection="1" quotePrefix="1">
      <alignment horizontal="center"/>
      <protection locked="0"/>
    </xf>
    <xf numFmtId="176" fontId="7" fillId="3" borderId="59" xfId="27" applyNumberFormat="1" applyFont="1" applyFill="1" applyBorder="1" applyAlignment="1" applyProtection="1">
      <alignment horizontal="center"/>
      <protection locked="0"/>
    </xf>
    <xf numFmtId="2" fontId="52" fillId="10" borderId="0" xfId="27" applyNumberFormat="1" applyFont="1" applyFill="1" applyBorder="1" applyAlignment="1" applyProtection="1">
      <alignment horizontal="center"/>
      <protection locked="0"/>
    </xf>
    <xf numFmtId="176" fontId="43" fillId="13" borderId="0" xfId="27" applyNumberFormat="1" applyFont="1" applyFill="1" applyBorder="1" applyAlignment="1" applyProtection="1" quotePrefix="1">
      <alignment horizontal="center"/>
      <protection locked="0"/>
    </xf>
    <xf numFmtId="176" fontId="43" fillId="7" borderId="0" xfId="27" applyNumberFormat="1" applyFont="1" applyFill="1" applyBorder="1" applyAlignment="1" applyProtection="1" quotePrefix="1">
      <alignment horizontal="center"/>
      <protection locked="0"/>
    </xf>
    <xf numFmtId="176" fontId="65" fillId="3" borderId="0" xfId="27" applyNumberFormat="1" applyFont="1" applyFill="1" applyBorder="1" applyAlignment="1" applyProtection="1">
      <alignment horizontal="center"/>
      <protection locked="0"/>
    </xf>
    <xf numFmtId="4" fontId="7" fillId="0" borderId="0" xfId="27" applyNumberFormat="1" applyFont="1" applyFill="1" applyBorder="1" applyAlignment="1">
      <alignment horizontal="center"/>
      <protection/>
    </xf>
    <xf numFmtId="0" fontId="7" fillId="0" borderId="0" xfId="27" applyFont="1" applyBorder="1" applyAlignment="1" quotePrefix="1">
      <alignment horizontal="center"/>
      <protection/>
    </xf>
    <xf numFmtId="176" fontId="46" fillId="13" borderId="3" xfId="27" applyNumberFormat="1" applyFont="1" applyFill="1" applyBorder="1" applyAlignment="1" applyProtection="1" quotePrefix="1">
      <alignment horizontal="center"/>
      <protection/>
    </xf>
    <xf numFmtId="176" fontId="46" fillId="7" borderId="3" xfId="27" applyNumberFormat="1" applyFont="1" applyFill="1" applyBorder="1" applyAlignment="1" applyProtection="1" quotePrefix="1">
      <alignment horizontal="center"/>
      <protection/>
    </xf>
    <xf numFmtId="176" fontId="46" fillId="3" borderId="3" xfId="27" applyNumberFormat="1" applyFont="1" applyFill="1" applyBorder="1" applyAlignment="1" applyProtection="1" quotePrefix="1">
      <alignment horizontal="center"/>
      <protection/>
    </xf>
    <xf numFmtId="0" fontId="66" fillId="0" borderId="0" xfId="27" applyFont="1">
      <alignment/>
      <protection/>
    </xf>
    <xf numFmtId="0" fontId="66" fillId="0" borderId="7" xfId="27" applyFont="1" applyBorder="1">
      <alignment/>
      <protection/>
    </xf>
    <xf numFmtId="0" fontId="32" fillId="0" borderId="0" xfId="27" applyFont="1" applyBorder="1" applyAlignment="1" quotePrefix="1">
      <alignment horizontal="center"/>
      <protection/>
    </xf>
    <xf numFmtId="176" fontId="32" fillId="0" borderId="0" xfId="27" applyNumberFormat="1" applyFont="1" applyBorder="1" applyAlignment="1" applyProtection="1">
      <alignment horizontal="center"/>
      <protection/>
    </xf>
    <xf numFmtId="2" fontId="67" fillId="0" borderId="0" xfId="27" applyNumberFormat="1" applyFont="1" applyBorder="1" applyAlignment="1" applyProtection="1">
      <alignment horizontal="center"/>
      <protection/>
    </xf>
    <xf numFmtId="176" fontId="68" fillId="0" borderId="0" xfId="27" applyNumberFormat="1" applyFont="1" applyBorder="1" applyAlignment="1" applyProtection="1" quotePrefix="1">
      <alignment horizontal="center"/>
      <protection/>
    </xf>
    <xf numFmtId="176" fontId="32" fillId="0" borderId="0" xfId="27" applyNumberFormat="1" applyFont="1" applyFill="1" applyBorder="1" applyAlignment="1">
      <alignment horizontal="center"/>
      <protection/>
    </xf>
    <xf numFmtId="4" fontId="66" fillId="0" borderId="1" xfId="27" applyNumberFormat="1" applyFont="1" applyFill="1" applyBorder="1" applyAlignment="1">
      <alignment horizontal="center"/>
      <protection/>
    </xf>
    <xf numFmtId="0" fontId="0" fillId="0" borderId="10" xfId="27" applyBorder="1">
      <alignment/>
      <protection/>
    </xf>
    <xf numFmtId="0" fontId="0" fillId="0" borderId="12" xfId="27" applyBorder="1">
      <alignment/>
      <protection/>
    </xf>
    <xf numFmtId="0" fontId="88" fillId="0" borderId="0" xfId="0" applyFont="1" applyFill="1" applyAlignment="1">
      <alignment/>
    </xf>
    <xf numFmtId="0" fontId="8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8" fillId="0" borderId="0" xfId="0" applyFont="1" applyAlignment="1">
      <alignment/>
    </xf>
    <xf numFmtId="0" fontId="90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91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182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176" fontId="13" fillId="0" borderId="8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72" fontId="93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81" fontId="22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42" fillId="14" borderId="14" xfId="0" applyFont="1" applyFill="1" applyBorder="1" applyAlignment="1">
      <alignment horizontal="center" vertical="center" wrapText="1"/>
    </xf>
    <xf numFmtId="0" fontId="42" fillId="15" borderId="8" xfId="0" applyFont="1" applyFill="1" applyBorder="1" applyAlignment="1" applyProtection="1">
      <alignment horizontal="centerContinuous" vertical="center" wrapText="1"/>
      <protection/>
    </xf>
    <xf numFmtId="0" fontId="42" fillId="15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172" fontId="7" fillId="0" borderId="2" xfId="0" applyNumberFormat="1" applyFont="1" applyFill="1" applyBorder="1" applyAlignment="1" applyProtection="1">
      <alignment horizontal="center"/>
      <protection/>
    </xf>
    <xf numFmtId="0" fontId="95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3" fillId="14" borderId="17" xfId="0" applyFont="1" applyFill="1" applyBorder="1" applyAlignment="1">
      <alignment horizontal="center"/>
    </xf>
    <xf numFmtId="0" fontId="43" fillId="15" borderId="33" xfId="0" applyFont="1" applyFill="1" applyBorder="1" applyAlignment="1">
      <alignment horizontal="center"/>
    </xf>
    <xf numFmtId="0" fontId="43" fillId="15" borderId="34" xfId="0" applyFont="1" applyFill="1" applyBorder="1" applyAlignment="1">
      <alignment horizontal="left"/>
    </xf>
    <xf numFmtId="0" fontId="43" fillId="3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72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76" fontId="95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72" fontId="36" fillId="2" borderId="2" xfId="0" applyNumberFormat="1" applyFont="1" applyFill="1" applyBorder="1" applyAlignment="1" applyProtection="1">
      <alignment horizontal="center"/>
      <protection/>
    </xf>
    <xf numFmtId="2" fontId="46" fillId="14" borderId="2" xfId="0" applyNumberFormat="1" applyFont="1" applyFill="1" applyBorder="1" applyAlignment="1">
      <alignment horizontal="center"/>
    </xf>
    <xf numFmtId="176" fontId="46" fillId="15" borderId="38" xfId="0" applyNumberFormat="1" applyFont="1" applyFill="1" applyBorder="1" applyAlignment="1" applyProtection="1" quotePrefix="1">
      <alignment horizontal="center"/>
      <protection/>
    </xf>
    <xf numFmtId="176" fontId="46" fillId="15" borderId="39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72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76" fontId="95" fillId="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76" fontId="7" fillId="0" borderId="3" xfId="0" applyNumberFormat="1" applyFont="1" applyFill="1" applyBorder="1" applyAlignment="1" applyProtection="1">
      <alignment horizontal="center"/>
      <protection/>
    </xf>
    <xf numFmtId="172" fontId="36" fillId="2" borderId="3" xfId="0" applyNumberFormat="1" applyFont="1" applyFill="1" applyBorder="1" applyAlignment="1" applyProtection="1">
      <alignment horizontal="center"/>
      <protection/>
    </xf>
    <xf numFmtId="2" fontId="43" fillId="14" borderId="3" xfId="0" applyNumberFormat="1" applyFont="1" applyFill="1" applyBorder="1" applyAlignment="1">
      <alignment horizontal="center"/>
    </xf>
    <xf numFmtId="176" fontId="43" fillId="15" borderId="41" xfId="0" applyNumberFormat="1" applyFont="1" applyFill="1" applyBorder="1" applyAlignment="1" applyProtection="1" quotePrefix="1">
      <alignment horizontal="center"/>
      <protection/>
    </xf>
    <xf numFmtId="176" fontId="43" fillId="15" borderId="42" xfId="0" applyNumberFormat="1" applyFont="1" applyFill="1" applyBorder="1" applyAlignment="1" applyProtection="1" quotePrefix="1">
      <alignment horizontal="center"/>
      <protection/>
    </xf>
    <xf numFmtId="176" fontId="43" fillId="3" borderId="3" xfId="0" applyNumberFormat="1" applyFont="1" applyFill="1" applyBorder="1" applyAlignment="1" applyProtection="1" quotePrefix="1">
      <alignment horizontal="center"/>
      <protection/>
    </xf>
    <xf numFmtId="176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2" fontId="60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 applyProtection="1" quotePrefix="1">
      <alignment horizontal="centerContinuous"/>
      <protection/>
    </xf>
    <xf numFmtId="176" fontId="7" fillId="0" borderId="0" xfId="0" applyNumberFormat="1" applyFont="1" applyBorder="1" applyAlignment="1" applyProtection="1">
      <alignment horizontal="centerContinuous"/>
      <protection/>
    </xf>
    <xf numFmtId="2" fontId="54" fillId="0" borderId="0" xfId="0" applyNumberFormat="1" applyFont="1" applyBorder="1" applyAlignment="1" applyProtection="1">
      <alignment horizontal="left"/>
      <protection/>
    </xf>
    <xf numFmtId="176" fontId="5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173" fontId="54" fillId="0" borderId="0" xfId="0" applyNumberFormat="1" applyFont="1" applyBorder="1" applyAlignment="1" applyProtection="1">
      <alignment horizontal="center"/>
      <protection/>
    </xf>
    <xf numFmtId="181" fontId="54" fillId="0" borderId="0" xfId="0" applyNumberFormat="1" applyFont="1" applyBorder="1" applyAlignment="1" applyProtection="1" quotePrefix="1">
      <alignment horizontal="center"/>
      <protection/>
    </xf>
    <xf numFmtId="0" fontId="54" fillId="0" borderId="0" xfId="0" applyFont="1" applyAlignment="1">
      <alignment/>
    </xf>
    <xf numFmtId="2" fontId="54" fillId="0" borderId="0" xfId="0" applyNumberFormat="1" applyFont="1" applyBorder="1" applyAlignment="1" applyProtection="1">
      <alignment horizontal="center"/>
      <protection/>
    </xf>
    <xf numFmtId="176" fontId="54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6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81" fontId="13" fillId="0" borderId="0" xfId="0" applyNumberFormat="1" applyFont="1" applyBorder="1" applyAlignment="1" applyProtection="1">
      <alignment horizontal="left"/>
      <protection/>
    </xf>
    <xf numFmtId="176" fontId="13" fillId="0" borderId="0" xfId="0" applyNumberFormat="1" applyFont="1" applyBorder="1" applyAlignment="1" applyProtection="1">
      <alignment horizontal="left"/>
      <protection/>
    </xf>
    <xf numFmtId="2" fontId="97" fillId="0" borderId="0" xfId="0" applyNumberFormat="1" applyFont="1" applyBorder="1" applyAlignment="1" applyProtection="1">
      <alignment horizontal="center"/>
      <protection/>
    </xf>
    <xf numFmtId="176" fontId="93" fillId="0" borderId="0" xfId="0" applyNumberFormat="1" applyFont="1" applyBorder="1" applyAlignment="1" applyProtection="1" quotePrefix="1">
      <alignment horizontal="center"/>
      <protection/>
    </xf>
    <xf numFmtId="4" fontId="93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91" fontId="22" fillId="0" borderId="0" xfId="0" applyNumberFormat="1" applyFont="1" applyBorder="1" applyAlignment="1" applyProtection="1">
      <alignment horizontal="centerContinuous"/>
      <protection/>
    </xf>
    <xf numFmtId="191" fontId="54" fillId="0" borderId="0" xfId="0" applyNumberFormat="1" applyFont="1" applyBorder="1" applyAlignment="1" applyProtection="1">
      <alignment horizontal="centerContinuous"/>
      <protection/>
    </xf>
    <xf numFmtId="176" fontId="54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7" fontId="22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98" fillId="0" borderId="9" xfId="0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81" fontId="23" fillId="0" borderId="0" xfId="0" applyNumberFormat="1" applyFont="1" applyBorder="1" applyAlignment="1" applyProtection="1" quotePrefix="1">
      <alignment horizontal="center" vertical="center"/>
      <protection/>
    </xf>
    <xf numFmtId="2" fontId="99" fillId="0" borderId="0" xfId="0" applyNumberFormat="1" applyFont="1" applyBorder="1" applyAlignment="1" applyProtection="1">
      <alignment horizontal="center" vertical="center"/>
      <protection/>
    </xf>
    <xf numFmtId="176" fontId="100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91" fontId="22" fillId="0" borderId="0" xfId="0" applyNumberFormat="1" applyFont="1" applyBorder="1" applyAlignment="1">
      <alignment/>
    </xf>
    <xf numFmtId="4" fontId="54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5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82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82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82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91" fontId="13" fillId="0" borderId="9" xfId="0" applyNumberFormat="1" applyFont="1" applyBorder="1" applyAlignment="1" applyProtection="1">
      <alignment horizontal="centerContinuous"/>
      <protection/>
    </xf>
    <xf numFmtId="2" fontId="92" fillId="0" borderId="23" xfId="0" applyNumberFormat="1" applyFont="1" applyFill="1" applyBorder="1" applyAlignment="1" applyProtection="1">
      <alignment horizontal="center"/>
      <protection/>
    </xf>
    <xf numFmtId="2" fontId="82" fillId="0" borderId="23" xfId="0" applyNumberFormat="1" applyFont="1" applyFill="1" applyBorder="1" applyAlignment="1" applyProtection="1">
      <alignment horizontal="center"/>
      <protection/>
    </xf>
    <xf numFmtId="2" fontId="94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0" fontId="12" fillId="0" borderId="54" xfId="0" applyFont="1" applyBorder="1" applyAlignment="1" applyProtection="1">
      <alignment horizontal="center"/>
      <protection/>
    </xf>
    <xf numFmtId="172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72" fontId="43" fillId="4" borderId="2" xfId="0" applyNumberFormat="1" applyFont="1" applyFill="1" applyBorder="1" applyAlignment="1" applyProtection="1">
      <alignment horizontal="center"/>
      <protection/>
    </xf>
    <xf numFmtId="2" fontId="80" fillId="10" borderId="2" xfId="0" applyNumberFormat="1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 quotePrefix="1">
      <alignment horizontal="center"/>
      <protection/>
    </xf>
    <xf numFmtId="176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72" fontId="7" fillId="0" borderId="40" xfId="0" applyNumberFormat="1" applyFont="1" applyFill="1" applyBorder="1" applyAlignment="1" applyProtection="1" quotePrefix="1">
      <alignment horizontal="center"/>
      <protection/>
    </xf>
    <xf numFmtId="176" fontId="7" fillId="0" borderId="56" xfId="0" applyNumberFormat="1" applyFont="1" applyBorder="1" applyAlignment="1" applyProtection="1">
      <alignment horizontal="center"/>
      <protection/>
    </xf>
    <xf numFmtId="176" fontId="7" fillId="0" borderId="57" xfId="0" applyNumberFormat="1" applyFont="1" applyBorder="1" applyAlignment="1" applyProtection="1">
      <alignment horizontal="center"/>
      <protection/>
    </xf>
    <xf numFmtId="172" fontId="43" fillId="4" borderId="40" xfId="0" applyNumberFormat="1" applyFont="1" applyFill="1" applyBorder="1" applyAlignment="1" applyProtection="1">
      <alignment horizontal="center"/>
      <protection/>
    </xf>
    <xf numFmtId="2" fontId="80" fillId="10" borderId="40" xfId="0" applyNumberFormat="1" applyFont="1" applyFill="1" applyBorder="1" applyAlignment="1">
      <alignment horizontal="center"/>
    </xf>
    <xf numFmtId="176" fontId="64" fillId="5" borderId="41" xfId="0" applyNumberFormat="1" applyFont="1" applyFill="1" applyBorder="1" applyAlignment="1" applyProtection="1" quotePrefix="1">
      <alignment horizontal="center"/>
      <protection/>
    </xf>
    <xf numFmtId="176" fontId="64" fillId="5" borderId="42" xfId="0" applyNumberFormat="1" applyFont="1" applyFill="1" applyBorder="1" applyAlignment="1" applyProtection="1" quotePrefix="1">
      <alignment horizontal="center"/>
      <protection/>
    </xf>
    <xf numFmtId="176" fontId="46" fillId="3" borderId="40" xfId="0" applyNumberFormat="1" applyFont="1" applyFill="1" applyBorder="1" applyAlignment="1" applyProtection="1" quotePrefix="1">
      <alignment horizontal="center"/>
      <protection/>
    </xf>
    <xf numFmtId="176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72" fontId="27" fillId="0" borderId="14" xfId="0" applyNumberFormat="1" applyFont="1" applyBorder="1" applyAlignment="1" applyProtection="1">
      <alignment horizontal="center" vertical="center" wrapText="1"/>
      <protection/>
    </xf>
    <xf numFmtId="176" fontId="86" fillId="16" borderId="14" xfId="0" applyNumberFormat="1" applyFont="1" applyFill="1" applyBorder="1" applyAlignment="1" applyProtection="1">
      <alignment horizontal="center" vertical="center"/>
      <protection/>
    </xf>
    <xf numFmtId="0" fontId="58" fillId="4" borderId="14" xfId="0" applyFont="1" applyFill="1" applyBorder="1" applyAlignment="1" applyProtection="1">
      <alignment horizontal="center" vertical="center"/>
      <protection/>
    </xf>
    <xf numFmtId="0" fontId="62" fillId="5" borderId="14" xfId="0" applyFont="1" applyFill="1" applyBorder="1" applyAlignment="1">
      <alignment horizontal="center" vertical="center" wrapText="1"/>
    </xf>
    <xf numFmtId="0" fontId="49" fillId="17" borderId="8" xfId="0" applyFont="1" applyFill="1" applyBorder="1" applyAlignment="1">
      <alignment horizontal="centerContinuous" vertical="center" wrapText="1"/>
    </xf>
    <xf numFmtId="0" fontId="103" fillId="17" borderId="15" xfId="0" applyFont="1" applyFill="1" applyBorder="1" applyAlignment="1">
      <alignment horizontal="centerContinuous"/>
    </xf>
    <xf numFmtId="0" fontId="49" fillId="17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7" fillId="16" borderId="2" xfId="0" applyFont="1" applyFill="1" applyBorder="1" applyAlignment="1">
      <alignment/>
    </xf>
    <xf numFmtId="0" fontId="59" fillId="4" borderId="2" xfId="0" applyFont="1" applyFill="1" applyBorder="1" applyAlignment="1">
      <alignment/>
    </xf>
    <xf numFmtId="0" fontId="104" fillId="3" borderId="2" xfId="0" applyFont="1" applyFill="1" applyBorder="1" applyAlignment="1">
      <alignment/>
    </xf>
    <xf numFmtId="0" fontId="63" fillId="5" borderId="4" xfId="0" applyFont="1" applyFill="1" applyBorder="1" applyAlignment="1">
      <alignment/>
    </xf>
    <xf numFmtId="176" fontId="9" fillId="2" borderId="22" xfId="0" applyNumberFormat="1" applyFont="1" applyFill="1" applyBorder="1" applyAlignment="1" applyProtection="1" quotePrefix="1">
      <alignment horizontal="center"/>
      <protection/>
    </xf>
    <xf numFmtId="176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76" fontId="105" fillId="17" borderId="22" xfId="0" applyNumberFormat="1" applyFont="1" applyFill="1" applyBorder="1" applyAlignment="1" applyProtection="1" quotePrefix="1">
      <alignment horizontal="center"/>
      <protection/>
    </xf>
    <xf numFmtId="176" fontId="105" fillId="17" borderId="25" xfId="0" applyNumberFormat="1" applyFont="1" applyFill="1" applyBorder="1" applyAlignment="1" applyProtection="1" quotePrefix="1">
      <alignment horizontal="center"/>
      <protection/>
    </xf>
    <xf numFmtId="4" fontId="105" fillId="17" borderId="4" xfId="0" applyNumberFormat="1" applyFont="1" applyFill="1" applyBorder="1" applyAlignment="1" applyProtection="1">
      <alignment horizontal="center"/>
      <protection/>
    </xf>
    <xf numFmtId="0" fontId="87" fillId="16" borderId="2" xfId="0" applyFont="1" applyFill="1" applyBorder="1" applyAlignment="1" applyProtection="1">
      <alignment horizontal="center"/>
      <protection/>
    </xf>
    <xf numFmtId="182" fontId="59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4" fillId="5" borderId="4" xfId="0" applyNumberFormat="1" applyFont="1" applyFill="1" applyBorder="1" applyAlignment="1" applyProtection="1">
      <alignment horizontal="center"/>
      <protection locked="0"/>
    </xf>
    <xf numFmtId="176" fontId="50" fillId="17" borderId="22" xfId="0" applyNumberFormat="1" applyFont="1" applyFill="1" applyBorder="1" applyAlignment="1" applyProtection="1" quotePrefix="1">
      <alignment horizontal="center"/>
      <protection locked="0"/>
    </xf>
    <xf numFmtId="176" fontId="50" fillId="17" borderId="25" xfId="0" applyNumberFormat="1" applyFont="1" applyFill="1" applyBorder="1" applyAlignment="1" applyProtection="1" quotePrefix="1">
      <alignment horizontal="center"/>
      <protection locked="0"/>
    </xf>
    <xf numFmtId="4" fontId="50" fillId="17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7" applyFont="1" applyFill="1" applyBorder="1" applyAlignment="1" applyProtection="1">
      <alignment horizontal="center"/>
      <protection locked="0"/>
    </xf>
    <xf numFmtId="172" fontId="7" fillId="0" borderId="2" xfId="27" applyNumberFormat="1" applyFont="1" applyFill="1" applyBorder="1" applyAlignment="1" applyProtection="1">
      <alignment horizontal="center"/>
      <protection locked="0"/>
    </xf>
    <xf numFmtId="22" fontId="7" fillId="0" borderId="4" xfId="27" applyNumberFormat="1" applyFont="1" applyFill="1" applyBorder="1" applyAlignment="1" applyProtection="1">
      <alignment horizontal="center"/>
      <protection locked="0"/>
    </xf>
    <xf numFmtId="22" fontId="7" fillId="0" borderId="21" xfId="27" applyNumberFormat="1" applyFont="1" applyFill="1" applyBorder="1" applyAlignment="1" applyProtection="1">
      <alignment horizontal="center"/>
      <protection locked="0"/>
    </xf>
    <xf numFmtId="0" fontId="87" fillId="16" borderId="3" xfId="0" applyFont="1" applyFill="1" applyBorder="1" applyAlignment="1" applyProtection="1">
      <alignment horizontal="center"/>
      <protection/>
    </xf>
    <xf numFmtId="182" fontId="59" fillId="4" borderId="3" xfId="0" applyNumberFormat="1" applyFont="1" applyFill="1" applyBorder="1" applyAlignment="1" applyProtection="1">
      <alignment horizontal="center"/>
      <protection/>
    </xf>
    <xf numFmtId="2" fontId="104" fillId="3" borderId="3" xfId="0" applyNumberFormat="1" applyFont="1" applyFill="1" applyBorder="1" applyAlignment="1" applyProtection="1">
      <alignment horizontal="center"/>
      <protection locked="0"/>
    </xf>
    <xf numFmtId="2" fontId="64" fillId="5" borderId="3" xfId="0" applyNumberFormat="1" applyFont="1" applyFill="1" applyBorder="1" applyAlignment="1" applyProtection="1">
      <alignment horizontal="center"/>
      <protection locked="0"/>
    </xf>
    <xf numFmtId="176" fontId="50" fillId="17" borderId="26" xfId="0" applyNumberFormat="1" applyFont="1" applyFill="1" applyBorder="1" applyAlignment="1" applyProtection="1" quotePrefix="1">
      <alignment horizontal="center"/>
      <protection locked="0"/>
    </xf>
    <xf numFmtId="176" fontId="50" fillId="17" borderId="27" xfId="0" applyNumberFormat="1" applyFont="1" applyFill="1" applyBorder="1" applyAlignment="1" applyProtection="1" quotePrefix="1">
      <alignment horizontal="center"/>
      <protection locked="0"/>
    </xf>
    <xf numFmtId="4" fontId="50" fillId="17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4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0" fillId="17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90" fontId="22" fillId="0" borderId="5" xfId="0" applyNumberFormat="1" applyFont="1" applyBorder="1" applyAlignment="1">
      <alignment/>
    </xf>
    <xf numFmtId="190" fontId="24" fillId="0" borderId="0" xfId="0" applyNumberFormat="1" applyFont="1" applyBorder="1" applyAlignment="1">
      <alignment horizontal="centerContinuous"/>
    </xf>
    <xf numFmtId="190" fontId="7" fillId="0" borderId="0" xfId="0" applyNumberFormat="1" applyFont="1" applyBorder="1" applyAlignment="1">
      <alignment/>
    </xf>
    <xf numFmtId="0" fontId="7" fillId="0" borderId="19" xfId="27" applyFont="1" applyBorder="1" applyAlignment="1">
      <alignment horizontal="center"/>
      <protection/>
    </xf>
    <xf numFmtId="0" fontId="7" fillId="0" borderId="19" xfId="27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18" borderId="0" xfId="0" applyNumberFormat="1" applyFont="1" applyFill="1" applyAlignment="1">
      <alignment/>
    </xf>
    <xf numFmtId="0" fontId="0" fillId="18" borderId="0" xfId="24" applyFont="1" applyFill="1" applyAlignment="1">
      <alignment/>
      <protection/>
    </xf>
    <xf numFmtId="0" fontId="0" fillId="0" borderId="65" xfId="0" applyFont="1" applyBorder="1" applyAlignment="1">
      <alignment/>
    </xf>
    <xf numFmtId="0" fontId="0" fillId="2" borderId="6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104" fillId="0" borderId="17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5" fillId="0" borderId="33" xfId="0" applyFont="1" applyFill="1" applyBorder="1" applyAlignment="1">
      <alignment/>
    </xf>
    <xf numFmtId="0" fontId="105" fillId="0" borderId="70" xfId="0" applyFont="1" applyFill="1" applyBorder="1" applyAlignment="1">
      <alignment/>
    </xf>
    <xf numFmtId="0" fontId="105" fillId="0" borderId="34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2" fillId="0" borderId="17" xfId="0" applyFont="1" applyFill="1" applyBorder="1" applyAlignment="1">
      <alignment/>
    </xf>
    <xf numFmtId="0" fontId="0" fillId="0" borderId="65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5" xfId="0" applyFont="1" applyBorder="1" applyAlignment="1">
      <alignment/>
    </xf>
    <xf numFmtId="0" fontId="39" fillId="0" borderId="65" xfId="0" applyFont="1" applyFill="1" applyBorder="1" applyAlignment="1">
      <alignment/>
    </xf>
    <xf numFmtId="0" fontId="39" fillId="0" borderId="71" xfId="0" applyFont="1" applyBorder="1" applyAlignment="1">
      <alignment/>
    </xf>
    <xf numFmtId="178" fontId="7" fillId="0" borderId="3" xfId="0" applyNumberFormat="1" applyFont="1" applyBorder="1" applyAlignment="1" applyProtection="1">
      <alignment horizontal="center"/>
      <protection locked="0"/>
    </xf>
    <xf numFmtId="182" fontId="4" fillId="0" borderId="8" xfId="0" applyNumberFormat="1" applyFont="1" applyBorder="1" applyAlignment="1">
      <alignment horizontal="centerContinuous"/>
    </xf>
    <xf numFmtId="178" fontId="7" fillId="0" borderId="17" xfId="0" applyNumberFormat="1" applyFont="1" applyFill="1" applyBorder="1" applyAlignment="1">
      <alignment/>
    </xf>
    <xf numFmtId="178" fontId="7" fillId="0" borderId="2" xfId="0" applyNumberFormat="1" applyFont="1" applyBorder="1" applyAlignment="1">
      <alignment/>
    </xf>
    <xf numFmtId="178" fontId="7" fillId="0" borderId="2" xfId="0" applyNumberFormat="1" applyFont="1" applyFill="1" applyBorder="1" applyAlignment="1" applyProtection="1">
      <alignment horizontal="center"/>
      <protection locked="0"/>
    </xf>
    <xf numFmtId="178" fontId="7" fillId="0" borderId="2" xfId="27" applyNumberFormat="1" applyFont="1" applyFill="1" applyBorder="1" applyAlignment="1" applyProtection="1">
      <alignment horizontal="center"/>
      <protection locked="0"/>
    </xf>
    <xf numFmtId="178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2" applyFont="1" applyBorder="1" applyAlignment="1" applyProtection="1">
      <alignment horizontal="center"/>
      <protection locked="0"/>
    </xf>
    <xf numFmtId="0" fontId="0" fillId="2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72" fontId="0" fillId="0" borderId="14" xfId="0" applyNumberFormat="1" applyFont="1" applyFill="1" applyBorder="1" applyAlignment="1" applyProtection="1">
      <alignment horizontal="center"/>
      <protection/>
    </xf>
    <xf numFmtId="182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 applyProtection="1">
      <alignment horizontal="center"/>
      <protection/>
    </xf>
    <xf numFmtId="0" fontId="106" fillId="0" borderId="65" xfId="0" applyFont="1" applyBorder="1" applyAlignment="1">
      <alignment/>
    </xf>
    <xf numFmtId="0" fontId="106" fillId="0" borderId="71" xfId="0" applyFont="1" applyBorder="1" applyAlignment="1">
      <alignment/>
    </xf>
    <xf numFmtId="0" fontId="107" fillId="0" borderId="65" xfId="0" applyFont="1" applyBorder="1" applyAlignment="1">
      <alignment/>
    </xf>
    <xf numFmtId="0" fontId="107" fillId="0" borderId="71" xfId="0" applyFont="1" applyBorder="1" applyAlignment="1">
      <alignment/>
    </xf>
    <xf numFmtId="0" fontId="108" fillId="0" borderId="65" xfId="0" applyFont="1" applyBorder="1" applyAlignment="1">
      <alignment/>
    </xf>
    <xf numFmtId="0" fontId="108" fillId="0" borderId="65" xfId="0" applyFont="1" applyFill="1" applyBorder="1" applyAlignment="1">
      <alignment/>
    </xf>
    <xf numFmtId="0" fontId="107" fillId="0" borderId="65" xfId="0" applyFont="1" applyFill="1" applyBorder="1" applyAlignment="1">
      <alignment/>
    </xf>
    <xf numFmtId="0" fontId="75" fillId="0" borderId="0" xfId="0" applyFont="1" applyBorder="1" applyAlignment="1">
      <alignment/>
    </xf>
    <xf numFmtId="0" fontId="109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12" fillId="0" borderId="0" xfId="24" applyFont="1" applyFill="1" applyAlignment="1">
      <alignment/>
      <protection/>
    </xf>
    <xf numFmtId="176" fontId="80" fillId="10" borderId="39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>
      <alignment horizontal="center"/>
      <protection locked="0"/>
    </xf>
    <xf numFmtId="0" fontId="113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Alignment="1">
      <alignment horizontal="centerContinuous"/>
    </xf>
    <xf numFmtId="0" fontId="115" fillId="0" borderId="0" xfId="0" applyFont="1" applyAlignment="1">
      <alignment horizontal="centerContinuous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7" xfId="0" applyFont="1" applyBorder="1" applyAlignment="1">
      <alignment vertical="center"/>
    </xf>
    <xf numFmtId="0" fontId="116" fillId="0" borderId="21" xfId="0" applyFont="1" applyBorder="1" applyAlignment="1">
      <alignment vertical="center"/>
    </xf>
    <xf numFmtId="0" fontId="116" fillId="0" borderId="2" xfId="0" applyFont="1" applyBorder="1" applyAlignment="1">
      <alignment vertical="center"/>
    </xf>
    <xf numFmtId="0" fontId="116" fillId="19" borderId="2" xfId="0" applyFont="1" applyFill="1" applyBorder="1" applyAlignment="1">
      <alignment vertical="center"/>
    </xf>
    <xf numFmtId="0" fontId="116" fillId="0" borderId="31" xfId="0" applyFont="1" applyBorder="1" applyAlignment="1">
      <alignment vertical="center"/>
    </xf>
    <xf numFmtId="0" fontId="116" fillId="0" borderId="1" xfId="0" applyFont="1" applyBorder="1" applyAlignment="1">
      <alignment vertical="center"/>
    </xf>
    <xf numFmtId="0" fontId="116" fillId="1" borderId="22" xfId="0" applyFont="1" applyFill="1" applyBorder="1" applyAlignment="1">
      <alignment horizontal="center" vertical="center"/>
    </xf>
    <xf numFmtId="0" fontId="116" fillId="1" borderId="2" xfId="0" applyFont="1" applyFill="1" applyBorder="1" applyAlignment="1">
      <alignment horizontal="center" vertical="center"/>
    </xf>
    <xf numFmtId="0" fontId="116" fillId="19" borderId="19" xfId="0" applyFont="1" applyFill="1" applyBorder="1" applyAlignment="1">
      <alignment horizontal="center" vertical="center"/>
    </xf>
    <xf numFmtId="0" fontId="116" fillId="0" borderId="46" xfId="0" applyFont="1" applyBorder="1" applyAlignment="1">
      <alignment vertical="center"/>
    </xf>
    <xf numFmtId="0" fontId="116" fillId="0" borderId="38" xfId="0" applyFont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116" fillId="1" borderId="38" xfId="0" applyFont="1" applyFill="1" applyBorder="1" applyAlignment="1">
      <alignment horizontal="center" vertical="center"/>
    </xf>
    <xf numFmtId="0" fontId="116" fillId="1" borderId="19" xfId="0" applyFont="1" applyFill="1" applyBorder="1" applyAlignment="1">
      <alignment horizontal="center" vertical="center"/>
    </xf>
    <xf numFmtId="0" fontId="116" fillId="0" borderId="41" xfId="0" applyFont="1" applyBorder="1" applyAlignment="1">
      <alignment horizontal="center" vertical="center"/>
    </xf>
    <xf numFmtId="0" fontId="116" fillId="0" borderId="40" xfId="0" applyFont="1" applyBorder="1" applyAlignment="1">
      <alignment horizontal="center" vertical="center"/>
    </xf>
    <xf numFmtId="0" fontId="116" fillId="19" borderId="4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right" vertical="center"/>
    </xf>
    <xf numFmtId="178" fontId="117" fillId="0" borderId="14" xfId="0" applyNumberFormat="1" applyFont="1" applyFill="1" applyBorder="1" applyAlignment="1">
      <alignment horizontal="center" vertical="center"/>
    </xf>
    <xf numFmtId="0" fontId="116" fillId="0" borderId="8" xfId="0" applyFont="1" applyFill="1" applyBorder="1" applyAlignment="1">
      <alignment horizontal="center" vertical="center"/>
    </xf>
    <xf numFmtId="0" fontId="116" fillId="0" borderId="15" xfId="0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vertical="center"/>
    </xf>
    <xf numFmtId="0" fontId="116" fillId="0" borderId="0" xfId="0" applyFont="1" applyBorder="1" applyAlignment="1">
      <alignment horizontal="right" vertical="center"/>
    </xf>
    <xf numFmtId="0" fontId="117" fillId="0" borderId="0" xfId="0" applyFont="1" applyBorder="1" applyAlignment="1">
      <alignment horizontal="right" vertical="center"/>
    </xf>
    <xf numFmtId="0" fontId="116" fillId="0" borderId="14" xfId="0" applyFont="1" applyBorder="1" applyAlignment="1">
      <alignment horizontal="center" vertical="center"/>
    </xf>
    <xf numFmtId="2" fontId="117" fillId="19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8" fillId="19" borderId="60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173" fontId="7" fillId="0" borderId="2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172" fontId="68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>
      <alignment horizontal="center"/>
      <protection/>
    </xf>
    <xf numFmtId="176" fontId="32" fillId="0" borderId="0" xfId="0" applyNumberFormat="1" applyFont="1" applyBorder="1" applyAlignment="1" applyProtection="1">
      <alignment horizontal="center"/>
      <protection/>
    </xf>
    <xf numFmtId="181" fontId="32" fillId="0" borderId="0" xfId="0" applyNumberFormat="1" applyFont="1" applyBorder="1" applyAlignment="1" applyProtection="1" quotePrefix="1">
      <alignment horizontal="center"/>
      <protection/>
    </xf>
    <xf numFmtId="2" fontId="67" fillId="0" borderId="0" xfId="0" applyNumberFormat="1" applyFont="1" applyBorder="1" applyAlignment="1" applyProtection="1">
      <alignment horizontal="center"/>
      <protection/>
    </xf>
    <xf numFmtId="7" fontId="119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15" fillId="0" borderId="0" xfId="27" applyFont="1" applyFill="1">
      <alignment/>
      <protection/>
    </xf>
    <xf numFmtId="0" fontId="15" fillId="0" borderId="0" xfId="27" applyFont="1">
      <alignment/>
      <protection/>
    </xf>
    <xf numFmtId="0" fontId="16" fillId="0" borderId="0" xfId="27" applyFont="1" applyFill="1" applyAlignment="1">
      <alignment horizontal="centerContinuous"/>
      <protection/>
    </xf>
    <xf numFmtId="0" fontId="7" fillId="0" borderId="0" xfId="27" applyFont="1" applyFill="1">
      <alignment/>
      <protection/>
    </xf>
    <xf numFmtId="0" fontId="18" fillId="0" borderId="0" xfId="27" applyFont="1" applyFill="1">
      <alignment/>
      <protection/>
    </xf>
    <xf numFmtId="0" fontId="7" fillId="0" borderId="13" xfId="27" applyFont="1" applyBorder="1">
      <alignment/>
      <protection/>
    </xf>
    <xf numFmtId="0" fontId="7" fillId="0" borderId="5" xfId="27" applyFont="1" applyBorder="1">
      <alignment/>
      <protection/>
    </xf>
    <xf numFmtId="0" fontId="7" fillId="0" borderId="5" xfId="27" applyFont="1" applyBorder="1" applyAlignment="1" applyProtection="1">
      <alignment horizontal="left"/>
      <protection/>
    </xf>
    <xf numFmtId="0" fontId="7" fillId="0" borderId="5" xfId="27" applyFont="1" applyFill="1" applyBorder="1">
      <alignment/>
      <protection/>
    </xf>
    <xf numFmtId="0" fontId="7" fillId="0" borderId="6" xfId="27" applyFont="1" applyFill="1" applyBorder="1">
      <alignment/>
      <protection/>
    </xf>
    <xf numFmtId="0" fontId="11" fillId="0" borderId="0" xfId="28" applyFont="1" applyBorder="1">
      <alignment/>
      <protection/>
    </xf>
    <xf numFmtId="0" fontId="20" fillId="0" borderId="0" xfId="27" applyFont="1" applyFill="1">
      <alignment/>
      <protection/>
    </xf>
    <xf numFmtId="0" fontId="20" fillId="0" borderId="0" xfId="27" applyFont="1" applyFill="1" applyBorder="1">
      <alignment/>
      <protection/>
    </xf>
    <xf numFmtId="0" fontId="20" fillId="0" borderId="1" xfId="27" applyFont="1" applyFill="1" applyBorder="1">
      <alignment/>
      <protection/>
    </xf>
    <xf numFmtId="0" fontId="7" fillId="0" borderId="0" xfId="27" applyFont="1" applyFill="1" applyBorder="1">
      <alignment/>
      <protection/>
    </xf>
    <xf numFmtId="0" fontId="7" fillId="0" borderId="1" xfId="27" applyFont="1" applyFill="1" applyBorder="1">
      <alignment/>
      <protection/>
    </xf>
    <xf numFmtId="0" fontId="11" fillId="0" borderId="0" xfId="27" applyFont="1" applyBorder="1" applyProtection="1">
      <alignment/>
      <protection locked="0"/>
    </xf>
    <xf numFmtId="0" fontId="23" fillId="0" borderId="0" xfId="27" applyFont="1">
      <alignment/>
      <protection/>
    </xf>
    <xf numFmtId="0" fontId="24" fillId="0" borderId="7" xfId="23" applyFont="1" applyBorder="1" applyAlignment="1">
      <alignment horizontal="centerContinuous"/>
      <protection/>
    </xf>
    <xf numFmtId="0" fontId="24" fillId="0" borderId="0" xfId="27" applyFont="1" applyBorder="1" applyAlignment="1">
      <alignment horizontal="centerContinuous"/>
      <protection/>
    </xf>
    <xf numFmtId="0" fontId="24" fillId="0" borderId="0" xfId="27" applyFont="1" applyFill="1" applyBorder="1" applyAlignment="1">
      <alignment horizontal="centerContinuous"/>
      <protection/>
    </xf>
    <xf numFmtId="0" fontId="24" fillId="0" borderId="0" xfId="27" applyFont="1" applyAlignment="1">
      <alignment horizontal="centerContinuous"/>
      <protection/>
    </xf>
    <xf numFmtId="0" fontId="24" fillId="0" borderId="1" xfId="27" applyFont="1" applyFill="1" applyBorder="1" applyAlignment="1">
      <alignment horizontal="centerContinuous"/>
      <protection/>
    </xf>
    <xf numFmtId="0" fontId="7" fillId="0" borderId="0" xfId="27" applyFont="1" applyBorder="1" applyAlignment="1">
      <alignment horizontal="center"/>
      <protection/>
    </xf>
    <xf numFmtId="0" fontId="26" fillId="0" borderId="0" xfId="27" applyFont="1" applyBorder="1" applyAlignment="1">
      <alignment horizontal="left"/>
      <protection/>
    </xf>
    <xf numFmtId="0" fontId="0" fillId="0" borderId="8" xfId="27" applyFont="1" applyBorder="1" applyAlignment="1" applyProtection="1">
      <alignment horizontal="center"/>
      <protection/>
    </xf>
    <xf numFmtId="182" fontId="10" fillId="0" borderId="8" xfId="21" applyNumberFormat="1" applyFont="1" applyBorder="1" applyAlignment="1" applyProtection="1">
      <alignment horizontal="centerContinuous"/>
      <protection locked="0"/>
    </xf>
    <xf numFmtId="0" fontId="0" fillId="0" borderId="9" xfId="27" applyBorder="1" applyAlignment="1">
      <alignment horizontal="centerContinuous"/>
      <protection/>
    </xf>
    <xf numFmtId="182" fontId="10" fillId="0" borderId="0" xfId="21" applyNumberFormat="1" applyFont="1" applyBorder="1" applyAlignment="1">
      <alignment horizontal="center"/>
      <protection/>
    </xf>
    <xf numFmtId="0" fontId="5" fillId="20" borderId="13" xfId="27" applyFont="1" applyFill="1" applyBorder="1" applyAlignment="1">
      <alignment horizontal="left"/>
      <protection/>
    </xf>
    <xf numFmtId="2" fontId="7" fillId="20" borderId="5" xfId="27" applyNumberFormat="1" applyFont="1" applyFill="1" applyBorder="1" applyAlignment="1">
      <alignment horizontal="left"/>
      <protection/>
    </xf>
    <xf numFmtId="0" fontId="7" fillId="20" borderId="6" xfId="27" applyFont="1" applyFill="1" applyBorder="1" applyAlignment="1">
      <alignment horizontal="left"/>
      <protection/>
    </xf>
    <xf numFmtId="0" fontId="5" fillId="21" borderId="72" xfId="27" applyFont="1" applyFill="1" applyBorder="1">
      <alignment/>
      <protection/>
    </xf>
    <xf numFmtId="0" fontId="5" fillId="21" borderId="73" xfId="27" applyFont="1" applyFill="1" applyBorder="1">
      <alignment/>
      <protection/>
    </xf>
    <xf numFmtId="0" fontId="5" fillId="21" borderId="74" xfId="27" applyFont="1" applyFill="1" applyBorder="1">
      <alignment/>
      <protection/>
    </xf>
    <xf numFmtId="182" fontId="0" fillId="0" borderId="0" xfId="27" applyNumberFormat="1" applyFont="1" applyBorder="1" applyAlignment="1">
      <alignment horizontal="centerContinuous"/>
      <protection/>
    </xf>
    <xf numFmtId="0" fontId="7" fillId="20" borderId="7" xfId="27" applyFont="1" applyFill="1" applyBorder="1" applyAlignment="1">
      <alignment horizontal="left"/>
      <protection/>
    </xf>
    <xf numFmtId="0" fontId="7" fillId="20" borderId="0" xfId="27" applyFont="1" applyFill="1" applyBorder="1" applyAlignment="1">
      <alignment horizontal="left"/>
      <protection/>
    </xf>
    <xf numFmtId="22" fontId="7" fillId="20" borderId="1" xfId="27" applyNumberFormat="1" applyFont="1" applyFill="1" applyBorder="1" applyAlignment="1">
      <alignment horizontal="left"/>
      <protection/>
    </xf>
    <xf numFmtId="22" fontId="7" fillId="0" borderId="0" xfId="27" applyNumberFormat="1" applyFont="1" applyBorder="1">
      <alignment/>
      <protection/>
    </xf>
    <xf numFmtId="0" fontId="5" fillId="21" borderId="75" xfId="27" applyFont="1" applyFill="1" applyBorder="1">
      <alignment/>
      <protection/>
    </xf>
    <xf numFmtId="0" fontId="5" fillId="21" borderId="0" xfId="27" applyFont="1" applyFill="1" applyBorder="1">
      <alignment/>
      <protection/>
    </xf>
    <xf numFmtId="0" fontId="5" fillId="21" borderId="76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5" fillId="0" borderId="1" xfId="27" applyFont="1" applyFill="1" applyBorder="1">
      <alignment/>
      <protection/>
    </xf>
    <xf numFmtId="0" fontId="7" fillId="0" borderId="0" xfId="27" applyFont="1" applyBorder="1" applyAlignment="1" applyProtection="1">
      <alignment horizontal="center"/>
      <protection/>
    </xf>
    <xf numFmtId="0" fontId="7" fillId="0" borderId="23" xfId="27" applyFont="1" applyBorder="1">
      <alignment/>
      <protection/>
    </xf>
    <xf numFmtId="0" fontId="7" fillId="20" borderId="10" xfId="27" applyFont="1" applyFill="1" applyBorder="1" applyAlignment="1">
      <alignment horizontal="left"/>
      <protection/>
    </xf>
    <xf numFmtId="0" fontId="5" fillId="20" borderId="11" xfId="27" applyFont="1" applyFill="1" applyBorder="1" applyAlignment="1">
      <alignment horizontal="left"/>
      <protection/>
    </xf>
    <xf numFmtId="0" fontId="5" fillId="20" borderId="12" xfId="27" applyFont="1" applyFill="1" applyBorder="1" applyAlignment="1">
      <alignment horizontal="left"/>
      <protection/>
    </xf>
    <xf numFmtId="0" fontId="5" fillId="21" borderId="77" xfId="27" applyFont="1" applyFill="1" applyBorder="1">
      <alignment/>
      <protection/>
    </xf>
    <xf numFmtId="0" fontId="5" fillId="21" borderId="78" xfId="27" applyFont="1" applyFill="1" applyBorder="1">
      <alignment/>
      <protection/>
    </xf>
    <xf numFmtId="0" fontId="5" fillId="21" borderId="79" xfId="27" applyFont="1" applyFill="1" applyBorder="1">
      <alignment/>
      <protection/>
    </xf>
    <xf numFmtId="0" fontId="27" fillId="0" borderId="14" xfId="27" applyFont="1" applyBorder="1" applyAlignment="1" applyProtection="1">
      <alignment horizontal="center" vertical="center" textRotation="90" wrapText="1"/>
      <protection/>
    </xf>
    <xf numFmtId="172" fontId="27" fillId="0" borderId="14" xfId="27" applyNumberFormat="1" applyFont="1" applyBorder="1" applyAlignment="1" applyProtection="1">
      <alignment horizontal="center" vertical="center" wrapText="1"/>
      <protection/>
    </xf>
    <xf numFmtId="176" fontId="27" fillId="0" borderId="14" xfId="27" applyNumberFormat="1" applyFont="1" applyBorder="1" applyAlignment="1" applyProtection="1">
      <alignment horizontal="center" vertical="center"/>
      <protection/>
    </xf>
    <xf numFmtId="176" fontId="86" fillId="16" borderId="14" xfId="27" applyNumberFormat="1" applyFont="1" applyFill="1" applyBorder="1" applyAlignment="1" applyProtection="1">
      <alignment horizontal="center" vertical="center"/>
      <protection/>
    </xf>
    <xf numFmtId="0" fontId="58" fillId="4" borderId="14" xfId="27" applyFont="1" applyFill="1" applyBorder="1" applyAlignment="1" applyProtection="1">
      <alignment horizontal="center" vertical="center"/>
      <protection/>
    </xf>
    <xf numFmtId="0" fontId="27" fillId="0" borderId="8" xfId="27" applyFont="1" applyFill="1" applyBorder="1" applyAlignment="1" applyProtection="1">
      <alignment horizontal="center" vertical="center" wrapText="1"/>
      <protection/>
    </xf>
    <xf numFmtId="0" fontId="27" fillId="0" borderId="14" xfId="27" applyFont="1" applyFill="1" applyBorder="1" applyAlignment="1" applyProtection="1">
      <alignment horizontal="center" vertical="center" wrapText="1"/>
      <protection/>
    </xf>
    <xf numFmtId="0" fontId="27" fillId="0" borderId="8" xfId="27" applyFont="1" applyBorder="1" applyAlignment="1" applyProtection="1">
      <alignment horizontal="center" vertical="center" wrapText="1"/>
      <protection/>
    </xf>
    <xf numFmtId="0" fontId="38" fillId="2" borderId="18" xfId="27" applyFont="1" applyFill="1" applyBorder="1" applyAlignment="1" applyProtection="1">
      <alignment horizontal="centerContinuous" vertical="center" wrapText="1"/>
      <protection/>
    </xf>
    <xf numFmtId="0" fontId="39" fillId="2" borderId="23" xfId="27" applyFont="1" applyFill="1" applyBorder="1" applyAlignment="1">
      <alignment horizontal="centerContinuous"/>
      <protection/>
    </xf>
    <xf numFmtId="0" fontId="38" fillId="2" borderId="20" xfId="27" applyFont="1" applyFill="1" applyBorder="1" applyAlignment="1">
      <alignment horizontal="centerContinuous" vertical="center"/>
      <protection/>
    </xf>
    <xf numFmtId="0" fontId="27" fillId="0" borderId="14" xfId="27" applyFont="1" applyFill="1" applyBorder="1" applyAlignment="1">
      <alignment horizontal="center" vertical="center" wrapText="1"/>
      <protection/>
    </xf>
    <xf numFmtId="0" fontId="27" fillId="20" borderId="14" xfId="27" applyFont="1" applyFill="1" applyBorder="1" applyAlignment="1">
      <alignment horizontal="center" vertical="center" wrapText="1"/>
      <protection/>
    </xf>
    <xf numFmtId="0" fontId="7" fillId="0" borderId="1" xfId="27" applyFont="1" applyFill="1" applyBorder="1" applyAlignment="1">
      <alignment horizontal="center"/>
      <protection/>
    </xf>
    <xf numFmtId="0" fontId="7" fillId="0" borderId="17" xfId="27" applyFont="1" applyBorder="1">
      <alignment/>
      <protection/>
    </xf>
    <xf numFmtId="0" fontId="87" fillId="16" borderId="17" xfId="27" applyFont="1" applyFill="1" applyBorder="1">
      <alignment/>
      <protection/>
    </xf>
    <xf numFmtId="0" fontId="59" fillId="4" borderId="17" xfId="27" applyFont="1" applyFill="1" applyBorder="1">
      <alignment/>
      <protection/>
    </xf>
    <xf numFmtId="0" fontId="7" fillId="0" borderId="17" xfId="27" applyFont="1" applyFill="1" applyBorder="1">
      <alignment/>
      <protection/>
    </xf>
    <xf numFmtId="0" fontId="7" fillId="22" borderId="17" xfId="27" applyFont="1" applyFill="1" applyBorder="1">
      <alignment/>
      <protection/>
    </xf>
    <xf numFmtId="0" fontId="7" fillId="2" borderId="33" xfId="27" applyFont="1" applyFill="1" applyBorder="1">
      <alignment/>
      <protection/>
    </xf>
    <xf numFmtId="0" fontId="7" fillId="2" borderId="70" xfId="27" applyFont="1" applyFill="1" applyBorder="1">
      <alignment/>
      <protection/>
    </xf>
    <xf numFmtId="0" fontId="7" fillId="2" borderId="34" xfId="27" applyFont="1" applyFill="1" applyBorder="1">
      <alignment/>
      <protection/>
    </xf>
    <xf numFmtId="7" fontId="10" fillId="0" borderId="17" xfId="27" applyNumberFormat="1" applyFont="1" applyFill="1" applyBorder="1" applyAlignment="1">
      <alignment/>
      <protection/>
    </xf>
    <xf numFmtId="7" fontId="10" fillId="0" borderId="0" xfId="27" applyNumberFormat="1" applyFont="1" applyBorder="1" applyAlignment="1">
      <alignment/>
      <protection/>
    </xf>
    <xf numFmtId="7" fontId="10" fillId="0" borderId="0" xfId="27" applyNumberFormat="1" applyFont="1" applyFill="1" applyBorder="1" applyAlignment="1">
      <alignment/>
      <protection/>
    </xf>
    <xf numFmtId="7" fontId="10" fillId="0" borderId="75" xfId="27" applyNumberFormat="1" applyFont="1" applyFill="1" applyBorder="1" applyAlignment="1">
      <alignment/>
      <protection/>
    </xf>
    <xf numFmtId="7" fontId="10" fillId="20" borderId="0" xfId="27" applyNumberFormat="1" applyFont="1" applyFill="1" applyBorder="1" applyAlignment="1">
      <alignment/>
      <protection/>
    </xf>
    <xf numFmtId="0" fontId="7" fillId="0" borderId="46" xfId="27" applyFont="1" applyFill="1" applyBorder="1">
      <alignment/>
      <protection/>
    </xf>
    <xf numFmtId="0" fontId="10" fillId="0" borderId="49" xfId="27" applyFont="1" applyFill="1" applyBorder="1">
      <alignment/>
      <protection/>
    </xf>
    <xf numFmtId="0" fontId="10" fillId="0" borderId="80" xfId="27" applyFont="1" applyFill="1" applyBorder="1">
      <alignment/>
      <protection/>
    </xf>
    <xf numFmtId="0" fontId="7" fillId="0" borderId="7" xfId="27" applyFont="1" applyFill="1" applyBorder="1">
      <alignment/>
      <protection/>
    </xf>
    <xf numFmtId="0" fontId="7" fillId="0" borderId="81" xfId="27" applyFont="1" applyFill="1" applyBorder="1" applyAlignment="1">
      <alignment horizontal="center"/>
      <protection/>
    </xf>
    <xf numFmtId="4" fontId="7" fillId="0" borderId="81" xfId="27" applyNumberFormat="1" applyFont="1" applyFill="1" applyBorder="1" applyAlignment="1" applyProtection="1" quotePrefix="1">
      <alignment horizontal="center"/>
      <protection/>
    </xf>
    <xf numFmtId="172" fontId="7" fillId="0" borderId="81" xfId="27" applyNumberFormat="1" applyFont="1" applyFill="1" applyBorder="1" applyAlignment="1" applyProtection="1" quotePrefix="1">
      <alignment horizontal="center"/>
      <protection/>
    </xf>
    <xf numFmtId="181" fontId="7" fillId="0" borderId="81" xfId="27" applyNumberFormat="1" applyFont="1" applyFill="1" applyBorder="1" applyAlignment="1" applyProtection="1" quotePrefix="1">
      <alignment horizontal="center"/>
      <protection/>
    </xf>
    <xf numFmtId="176" fontId="7" fillId="0" borderId="81" xfId="27" applyNumberFormat="1" applyFont="1" applyFill="1" applyBorder="1" applyAlignment="1" applyProtection="1">
      <alignment horizontal="center"/>
      <protection/>
    </xf>
    <xf numFmtId="4" fontId="10" fillId="0" borderId="82" xfId="27" applyNumberFormat="1" applyFont="1" applyFill="1" applyBorder="1" applyAlignment="1">
      <alignment horizontal="right"/>
      <protection/>
    </xf>
    <xf numFmtId="4" fontId="9" fillId="0" borderId="81" xfId="27" applyNumberFormat="1" applyFont="1" applyFill="1" applyBorder="1" applyAlignment="1" applyProtection="1">
      <alignment horizontal="center"/>
      <protection/>
    </xf>
    <xf numFmtId="3" fontId="10" fillId="0" borderId="83" xfId="27" applyNumberFormat="1" applyFont="1" applyFill="1" applyBorder="1" applyAlignment="1">
      <alignment horizontal="right"/>
      <protection/>
    </xf>
    <xf numFmtId="178" fontId="10" fillId="0" borderId="84" xfId="27" applyNumberFormat="1" applyFont="1" applyFill="1" applyBorder="1" applyAlignment="1">
      <alignment horizontal="center"/>
      <protection/>
    </xf>
    <xf numFmtId="4" fontId="10" fillId="0" borderId="83" xfId="27" applyNumberFormat="1" applyFont="1" applyFill="1" applyBorder="1" applyAlignment="1">
      <alignment horizontal="right"/>
      <protection/>
    </xf>
    <xf numFmtId="4" fontId="10" fillId="0" borderId="85" xfId="27" applyNumberFormat="1" applyFont="1" applyFill="1" applyBorder="1" applyAlignment="1">
      <alignment horizontal="right"/>
      <protection/>
    </xf>
    <xf numFmtId="4" fontId="10" fillId="0" borderId="81" xfId="27" applyNumberFormat="1" applyFont="1" applyFill="1" applyBorder="1" applyAlignment="1">
      <alignment horizontal="right"/>
      <protection/>
    </xf>
    <xf numFmtId="2" fontId="7" fillId="0" borderId="1" xfId="27" applyNumberFormat="1" applyFont="1" applyFill="1" applyBorder="1" applyAlignment="1">
      <alignment horizontal="center"/>
      <protection/>
    </xf>
    <xf numFmtId="0" fontId="7" fillId="0" borderId="19" xfId="27" applyFont="1" applyFill="1" applyBorder="1" applyAlignment="1">
      <alignment horizontal="center"/>
      <protection/>
    </xf>
    <xf numFmtId="4" fontId="7" fillId="0" borderId="19" xfId="27" applyNumberFormat="1" applyFont="1" applyFill="1" applyBorder="1" applyAlignment="1" applyProtection="1" quotePrefix="1">
      <alignment horizontal="center"/>
      <protection/>
    </xf>
    <xf numFmtId="172" fontId="7" fillId="0" borderId="19" xfId="27" applyNumberFormat="1" applyFont="1" applyFill="1" applyBorder="1" applyAlignment="1" applyProtection="1" quotePrefix="1">
      <alignment horizontal="center"/>
      <protection/>
    </xf>
    <xf numFmtId="181" fontId="7" fillId="0" borderId="19" xfId="27" applyNumberFormat="1" applyFont="1" applyFill="1" applyBorder="1" applyAlignment="1" applyProtection="1" quotePrefix="1">
      <alignment horizontal="center"/>
      <protection/>
    </xf>
    <xf numFmtId="176" fontId="7" fillId="0" borderId="19" xfId="27" applyNumberFormat="1" applyFont="1" applyFill="1" applyBorder="1" applyAlignment="1" applyProtection="1">
      <alignment horizontal="center"/>
      <protection/>
    </xf>
    <xf numFmtId="0" fontId="7" fillId="0" borderId="86" xfId="27" applyFont="1" applyFill="1" applyBorder="1" applyAlignment="1">
      <alignment horizontal="center"/>
      <protection/>
    </xf>
    <xf numFmtId="0" fontId="7" fillId="0" borderId="87" xfId="27" applyFont="1" applyFill="1" applyBorder="1" applyAlignment="1">
      <alignment horizontal="center"/>
      <protection/>
    </xf>
    <xf numFmtId="4" fontId="7" fillId="0" borderId="86" xfId="27" applyNumberFormat="1" applyFont="1" applyFill="1" applyBorder="1" applyAlignment="1" applyProtection="1" quotePrefix="1">
      <alignment horizontal="center"/>
      <protection/>
    </xf>
    <xf numFmtId="172" fontId="7" fillId="0" borderId="86" xfId="27" applyNumberFormat="1" applyFont="1" applyFill="1" applyBorder="1" applyAlignment="1" applyProtection="1" quotePrefix="1">
      <alignment horizontal="center"/>
      <protection/>
    </xf>
    <xf numFmtId="181" fontId="7" fillId="0" borderId="86" xfId="27" applyNumberFormat="1" applyFont="1" applyFill="1" applyBorder="1" applyAlignment="1" applyProtection="1" quotePrefix="1">
      <alignment horizontal="center"/>
      <protection/>
    </xf>
    <xf numFmtId="176" fontId="7" fillId="0" borderId="86" xfId="27" applyNumberFormat="1" applyFont="1" applyFill="1" applyBorder="1" applyAlignment="1" applyProtection="1">
      <alignment horizontal="center"/>
      <protection/>
    </xf>
    <xf numFmtId="4" fontId="10" fillId="0" borderId="86" xfId="27" applyNumberFormat="1" applyFont="1" applyFill="1" applyBorder="1" applyAlignment="1">
      <alignment horizontal="right"/>
      <protection/>
    </xf>
    <xf numFmtId="4" fontId="9" fillId="0" borderId="86" xfId="27" applyNumberFormat="1" applyFont="1" applyFill="1" applyBorder="1" applyAlignment="1" applyProtection="1">
      <alignment horizontal="center"/>
      <protection/>
    </xf>
    <xf numFmtId="3" fontId="10" fillId="0" borderId="86" xfId="27" applyNumberFormat="1" applyFont="1" applyFill="1" applyBorder="1" applyAlignment="1">
      <alignment horizontal="right"/>
      <protection/>
    </xf>
    <xf numFmtId="178" fontId="10" fillId="0" borderId="4" xfId="27" applyNumberFormat="1" applyFont="1" applyFill="1" applyBorder="1" applyAlignment="1">
      <alignment horizontal="center"/>
      <protection/>
    </xf>
    <xf numFmtId="4" fontId="10" fillId="0" borderId="37" xfId="27" applyNumberFormat="1" applyFont="1" applyFill="1" applyBorder="1" applyAlignment="1">
      <alignment horizontal="right"/>
      <protection/>
    </xf>
    <xf numFmtId="0" fontId="7" fillId="0" borderId="82" xfId="27" applyFont="1" applyFill="1" applyBorder="1" applyAlignment="1">
      <alignment horizontal="center"/>
      <protection/>
    </xf>
    <xf numFmtId="3" fontId="10" fillId="0" borderId="82" xfId="27" applyNumberFormat="1" applyFont="1" applyFill="1" applyBorder="1" applyAlignment="1">
      <alignment horizontal="right"/>
      <protection/>
    </xf>
    <xf numFmtId="178" fontId="10" fillId="0" borderId="81" xfId="27" applyNumberFormat="1" applyFont="1" applyFill="1" applyBorder="1" applyAlignment="1">
      <alignment horizontal="center"/>
      <protection/>
    </xf>
    <xf numFmtId="0" fontId="7" fillId="0" borderId="37" xfId="27" applyFont="1" applyFill="1" applyBorder="1" applyAlignment="1">
      <alignment horizontal="center"/>
      <protection/>
    </xf>
    <xf numFmtId="4" fontId="9" fillId="0" borderId="19" xfId="27" applyNumberFormat="1" applyFont="1" applyFill="1" applyBorder="1" applyAlignment="1" applyProtection="1">
      <alignment horizontal="center"/>
      <protection/>
    </xf>
    <xf numFmtId="3" fontId="10" fillId="0" borderId="37" xfId="27" applyNumberFormat="1" applyFont="1" applyFill="1" applyBorder="1" applyAlignment="1">
      <alignment horizontal="right"/>
      <protection/>
    </xf>
    <xf numFmtId="4" fontId="10" fillId="0" borderId="88" xfId="27" applyNumberFormat="1" applyFont="1" applyFill="1" applyBorder="1" applyAlignment="1">
      <alignment horizontal="right"/>
      <protection/>
    </xf>
    <xf numFmtId="4" fontId="10" fillId="0" borderId="19" xfId="27" applyNumberFormat="1" applyFont="1" applyFill="1" applyBorder="1" applyAlignment="1">
      <alignment horizontal="right"/>
      <protection/>
    </xf>
    <xf numFmtId="3" fontId="10" fillId="0" borderId="19" xfId="27" applyNumberFormat="1" applyFont="1" applyFill="1" applyBorder="1" applyAlignment="1">
      <alignment horizontal="right"/>
      <protection/>
    </xf>
    <xf numFmtId="178" fontId="10" fillId="0" borderId="86" xfId="27" applyNumberFormat="1" applyFont="1" applyFill="1" applyBorder="1" applyAlignment="1">
      <alignment horizontal="center"/>
      <protection/>
    </xf>
    <xf numFmtId="4" fontId="10" fillId="0" borderId="87" xfId="27" applyNumberFormat="1" applyFont="1" applyFill="1" applyBorder="1" applyAlignment="1">
      <alignment horizontal="right"/>
      <protection/>
    </xf>
    <xf numFmtId="176" fontId="7" fillId="0" borderId="3" xfId="27" applyNumberFormat="1" applyFont="1" applyFill="1" applyBorder="1" applyAlignment="1" applyProtection="1">
      <alignment horizontal="center"/>
      <protection/>
    </xf>
    <xf numFmtId="181" fontId="7" fillId="0" borderId="3" xfId="27" applyNumberFormat="1" applyFont="1" applyFill="1" applyBorder="1" applyAlignment="1" applyProtection="1" quotePrefix="1">
      <alignment horizontal="center"/>
      <protection/>
    </xf>
    <xf numFmtId="2" fontId="10" fillId="0" borderId="3" xfId="27" applyNumberFormat="1" applyFont="1" applyFill="1" applyBorder="1" applyAlignment="1">
      <alignment horizontal="right"/>
      <protection/>
    </xf>
    <xf numFmtId="0" fontId="10" fillId="0" borderId="3" xfId="27" applyFont="1" applyFill="1" applyBorder="1">
      <alignment/>
      <protection/>
    </xf>
    <xf numFmtId="178" fontId="10" fillId="0" borderId="3" xfId="27" applyNumberFormat="1" applyFont="1" applyFill="1" applyBorder="1" applyAlignment="1">
      <alignment horizontal="center"/>
      <protection/>
    </xf>
    <xf numFmtId="0" fontId="32" fillId="0" borderId="16" xfId="27" applyFont="1" applyBorder="1" applyAlignment="1">
      <alignment horizontal="center"/>
      <protection/>
    </xf>
    <xf numFmtId="172" fontId="9" fillId="0" borderId="0" xfId="27" applyNumberFormat="1" applyFont="1" applyBorder="1" applyAlignment="1" applyProtection="1">
      <alignment horizontal="center"/>
      <protection/>
    </xf>
    <xf numFmtId="173" fontId="7" fillId="0" borderId="0" xfId="27" applyNumberFormat="1" applyFont="1" applyBorder="1" applyAlignment="1" applyProtection="1">
      <alignment horizontal="center"/>
      <protection/>
    </xf>
    <xf numFmtId="176" fontId="7" fillId="0" borderId="0" xfId="27" applyNumberFormat="1" applyFont="1" applyFill="1" applyBorder="1" applyAlignment="1" applyProtection="1">
      <alignment horizontal="center"/>
      <protection/>
    </xf>
    <xf numFmtId="181" fontId="7" fillId="0" borderId="0" xfId="27" applyNumberFormat="1" applyFont="1" applyBorder="1" applyAlignment="1" applyProtection="1" quotePrefix="1">
      <alignment horizontal="center"/>
      <protection/>
    </xf>
    <xf numFmtId="2" fontId="37" fillId="2" borderId="3" xfId="27" applyNumberFormat="1" applyFont="1" applyFill="1" applyBorder="1" applyAlignment="1" applyProtection="1">
      <alignment horizontal="center"/>
      <protection/>
    </xf>
    <xf numFmtId="7" fontId="13" fillId="0" borderId="0" xfId="27" applyNumberFormat="1" applyFont="1" applyFill="1" applyBorder="1" applyAlignment="1" applyProtection="1">
      <alignment horizontal="right"/>
      <protection/>
    </xf>
    <xf numFmtId="2" fontId="60" fillId="0" borderId="0" xfId="27" applyNumberFormat="1" applyFont="1" applyBorder="1" applyAlignment="1" applyProtection="1">
      <alignment horizontal="center"/>
      <protection/>
    </xf>
    <xf numFmtId="7" fontId="13" fillId="0" borderId="89" xfId="27" applyNumberFormat="1" applyFont="1" applyFill="1" applyBorder="1" applyAlignment="1" applyProtection="1">
      <alignment horizontal="right"/>
      <protection/>
    </xf>
    <xf numFmtId="0" fontId="0" fillId="0" borderId="0" xfId="27" applyFont="1">
      <alignment/>
      <protection/>
    </xf>
    <xf numFmtId="0" fontId="0" fillId="0" borderId="1" xfId="27" applyBorder="1">
      <alignment/>
      <protection/>
    </xf>
    <xf numFmtId="0" fontId="7" fillId="0" borderId="10" xfId="27" applyFont="1" applyBorder="1">
      <alignment/>
      <protection/>
    </xf>
    <xf numFmtId="0" fontId="7" fillId="0" borderId="11" xfId="27" applyFont="1" applyBorder="1">
      <alignment/>
      <protection/>
    </xf>
    <xf numFmtId="0" fontId="0" fillId="0" borderId="11" xfId="27" applyFont="1" applyBorder="1">
      <alignment/>
      <protection/>
    </xf>
    <xf numFmtId="0" fontId="0" fillId="0" borderId="11" xfId="27" applyFont="1" applyFill="1" applyBorder="1">
      <alignment/>
      <protection/>
    </xf>
    <xf numFmtId="0" fontId="7" fillId="0" borderId="12" xfId="27" applyFont="1" applyBorder="1">
      <alignment/>
      <protection/>
    </xf>
    <xf numFmtId="0" fontId="85" fillId="0" borderId="0" xfId="27" applyFont="1">
      <alignment/>
      <protection/>
    </xf>
    <xf numFmtId="0" fontId="85" fillId="0" borderId="0" xfId="27" applyFont="1" applyFill="1">
      <alignment/>
      <protection/>
    </xf>
    <xf numFmtId="0" fontId="25" fillId="0" borderId="0" xfId="0" applyNumberFormat="1" applyFont="1" applyBorder="1" applyAlignment="1">
      <alignment horizontal="left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6" fontId="10" fillId="0" borderId="0" xfId="19" applyFont="1" applyBorder="1" applyAlignment="1">
      <alignment horizontal="center"/>
    </xf>
    <xf numFmtId="172" fontId="10" fillId="0" borderId="0" xfId="0" applyNumberFormat="1" applyFont="1" applyBorder="1" applyAlignment="1" applyProtection="1">
      <alignment horizontal="left"/>
      <protection/>
    </xf>
    <xf numFmtId="0" fontId="109" fillId="0" borderId="0" xfId="0" applyFont="1" applyBorder="1" applyAlignment="1">
      <alignment horizontal="right"/>
    </xf>
    <xf numFmtId="0" fontId="7" fillId="0" borderId="31" xfId="27" applyFont="1" applyFill="1" applyBorder="1">
      <alignment/>
      <protection/>
    </xf>
    <xf numFmtId="0" fontId="7" fillId="0" borderId="49" xfId="27" applyFont="1" applyFill="1" applyBorder="1">
      <alignment/>
      <protection/>
    </xf>
    <xf numFmtId="0" fontId="7" fillId="0" borderId="46" xfId="27" applyFont="1" applyFill="1" applyBorder="1" applyProtection="1">
      <alignment/>
      <protection locked="0"/>
    </xf>
    <xf numFmtId="0" fontId="7" fillId="0" borderId="46" xfId="27" applyFont="1" applyFill="1" applyBorder="1" applyAlignment="1" applyProtection="1">
      <alignment horizontal="center"/>
      <protection locked="0"/>
    </xf>
    <xf numFmtId="0" fontId="87" fillId="0" borderId="46" xfId="27" applyFont="1" applyFill="1" applyBorder="1" applyProtection="1">
      <alignment/>
      <protection locked="0"/>
    </xf>
    <xf numFmtId="0" fontId="59" fillId="0" borderId="46" xfId="27" applyFont="1" applyFill="1" applyBorder="1" applyProtection="1">
      <alignment/>
      <protection locked="0"/>
    </xf>
    <xf numFmtId="22" fontId="7" fillId="0" borderId="49" xfId="27" applyNumberFormat="1" applyFont="1" applyFill="1" applyBorder="1" applyAlignment="1" applyProtection="1">
      <alignment horizontal="center"/>
      <protection locked="0"/>
    </xf>
    <xf numFmtId="0" fontId="7" fillId="0" borderId="0" xfId="27" applyFont="1" applyFill="1" applyBorder="1" applyProtection="1">
      <alignment/>
      <protection locked="0"/>
    </xf>
    <xf numFmtId="0" fontId="7" fillId="0" borderId="49" xfId="27" applyFont="1" applyFill="1" applyBorder="1" applyProtection="1">
      <alignment/>
      <protection locked="0"/>
    </xf>
    <xf numFmtId="176" fontId="9" fillId="0" borderId="86" xfId="27" applyNumberFormat="1" applyFont="1" applyFill="1" applyBorder="1" applyAlignment="1" applyProtection="1" quotePrefix="1">
      <alignment horizontal="center"/>
      <protection/>
    </xf>
    <xf numFmtId="0" fontId="10" fillId="0" borderId="49" xfId="27" applyFont="1" applyFill="1" applyBorder="1" applyProtection="1">
      <alignment/>
      <protection locked="0"/>
    </xf>
    <xf numFmtId="0" fontId="7" fillId="0" borderId="81" xfId="0" applyFont="1" applyFill="1" applyBorder="1" applyAlignment="1" applyProtection="1">
      <alignment horizontal="center"/>
      <protection locked="0"/>
    </xf>
    <xf numFmtId="172" fontId="7" fillId="0" borderId="81" xfId="0" applyNumberFormat="1" applyFont="1" applyFill="1" applyBorder="1" applyAlignment="1" applyProtection="1">
      <alignment horizontal="center"/>
      <protection locked="0"/>
    </xf>
    <xf numFmtId="173" fontId="7" fillId="0" borderId="81" xfId="0" applyNumberFormat="1" applyFont="1" applyFill="1" applyBorder="1" applyAlignment="1" applyProtection="1">
      <alignment horizontal="center"/>
      <protection locked="0"/>
    </xf>
    <xf numFmtId="0" fontId="87" fillId="0" borderId="81" xfId="27" applyFont="1" applyFill="1" applyBorder="1" applyProtection="1">
      <alignment/>
      <protection locked="0"/>
    </xf>
    <xf numFmtId="0" fontId="59" fillId="0" borderId="81" xfId="27" applyFont="1" applyFill="1" applyBorder="1" applyProtection="1">
      <alignment/>
      <protection locked="0"/>
    </xf>
    <xf numFmtId="22" fontId="7" fillId="0" borderId="82" xfId="0" applyNumberFormat="1" applyFont="1" applyFill="1" applyBorder="1" applyAlignment="1" applyProtection="1">
      <alignment horizontal="center"/>
      <protection locked="0"/>
    </xf>
    <xf numFmtId="176" fontId="7" fillId="0" borderId="82" xfId="27" applyNumberFormat="1" applyFont="1" applyFill="1" applyBorder="1" applyAlignment="1" applyProtection="1">
      <alignment horizontal="center"/>
      <protection locked="0"/>
    </xf>
    <xf numFmtId="176" fontId="9" fillId="0" borderId="81" xfId="27" applyNumberFormat="1" applyFont="1" applyFill="1" applyBorder="1" applyAlignment="1" applyProtection="1" quotePrefix="1">
      <alignment horizontal="center"/>
      <protection/>
    </xf>
    <xf numFmtId="187" fontId="10" fillId="0" borderId="82" xfId="27" applyNumberFormat="1" applyFont="1" applyFill="1" applyBorder="1" applyAlignment="1" applyProtection="1">
      <alignment horizontal="right"/>
      <protection locked="0"/>
    </xf>
    <xf numFmtId="4" fontId="10" fillId="0" borderId="84" xfId="27" applyNumberFormat="1" applyFont="1" applyFill="1" applyBorder="1" applyAlignment="1" applyProtection="1">
      <alignment horizontal="center"/>
      <protection locked="0"/>
    </xf>
    <xf numFmtId="4" fontId="120" fillId="0" borderId="82" xfId="27" applyNumberFormat="1" applyFont="1" applyFill="1" applyBorder="1" applyAlignment="1">
      <alignment horizontal="right"/>
      <protection/>
    </xf>
    <xf numFmtId="188" fontId="120" fillId="0" borderId="82" xfId="27" applyNumberFormat="1" applyFont="1" applyFill="1" applyBorder="1" applyAlignment="1">
      <alignment horizontal="right"/>
      <protection/>
    </xf>
    <xf numFmtId="173" fontId="7" fillId="0" borderId="2" xfId="0" applyNumberFormat="1" applyFont="1" applyFill="1" applyBorder="1" applyAlignment="1" applyProtection="1">
      <alignment horizontal="center"/>
      <protection locked="0"/>
    </xf>
    <xf numFmtId="0" fontId="87" fillId="0" borderId="19" xfId="27" applyFont="1" applyFill="1" applyBorder="1" applyProtection="1">
      <alignment/>
      <protection locked="0"/>
    </xf>
    <xf numFmtId="0" fontId="59" fillId="0" borderId="19" xfId="27" applyFont="1" applyFill="1" applyBorder="1" applyProtection="1">
      <alignment/>
      <protection locked="0"/>
    </xf>
    <xf numFmtId="22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86" xfId="21" applyFont="1" applyFill="1" applyBorder="1" applyAlignment="1" applyProtection="1">
      <alignment horizontal="center"/>
      <protection locked="0"/>
    </xf>
    <xf numFmtId="172" fontId="7" fillId="0" borderId="86" xfId="21" applyNumberFormat="1" applyFont="1" applyFill="1" applyBorder="1" applyAlignment="1" applyProtection="1">
      <alignment horizontal="center"/>
      <protection locked="0"/>
    </xf>
    <xf numFmtId="173" fontId="7" fillId="0" borderId="86" xfId="21" applyNumberFormat="1" applyFont="1" applyFill="1" applyBorder="1" applyAlignment="1" applyProtection="1">
      <alignment horizontal="center"/>
      <protection locked="0"/>
    </xf>
    <xf numFmtId="0" fontId="87" fillId="0" borderId="86" xfId="27" applyFont="1" applyFill="1" applyBorder="1" applyProtection="1">
      <alignment/>
      <protection locked="0"/>
    </xf>
    <xf numFmtId="0" fontId="59" fillId="0" borderId="86" xfId="27" applyFont="1" applyFill="1" applyBorder="1" applyProtection="1">
      <alignment/>
      <protection locked="0"/>
    </xf>
    <xf numFmtId="22" fontId="7" fillId="0" borderId="86" xfId="21" applyNumberFormat="1" applyFont="1" applyFill="1" applyBorder="1" applyAlignment="1" applyProtection="1">
      <alignment horizontal="center"/>
      <protection locked="0"/>
    </xf>
    <xf numFmtId="176" fontId="7" fillId="0" borderId="86" xfId="27" applyNumberFormat="1" applyFont="1" applyFill="1" applyBorder="1" applyAlignment="1" applyProtection="1">
      <alignment horizontal="center"/>
      <protection locked="0"/>
    </xf>
    <xf numFmtId="187" fontId="10" fillId="0" borderId="86" xfId="27" applyNumberFormat="1" applyFont="1" applyFill="1" applyBorder="1" applyAlignment="1" applyProtection="1">
      <alignment horizontal="right"/>
      <protection locked="0"/>
    </xf>
    <xf numFmtId="4" fontId="10" fillId="0" borderId="86" xfId="27" applyNumberFormat="1" applyFont="1" applyFill="1" applyBorder="1" applyAlignment="1" applyProtection="1">
      <alignment horizontal="center"/>
      <protection locked="0"/>
    </xf>
    <xf numFmtId="188" fontId="10" fillId="0" borderId="86" xfId="27" applyNumberFormat="1" applyFont="1" applyFill="1" applyBorder="1" applyAlignment="1">
      <alignment horizontal="right"/>
      <protection/>
    </xf>
    <xf numFmtId="0" fontId="7" fillId="0" borderId="90" xfId="25" applyFont="1" applyFill="1" applyBorder="1" applyAlignment="1" applyProtection="1">
      <alignment horizontal="center"/>
      <protection locked="0"/>
    </xf>
    <xf numFmtId="172" fontId="7" fillId="0" borderId="90" xfId="25" applyNumberFormat="1" applyFont="1" applyFill="1" applyBorder="1" applyAlignment="1" applyProtection="1">
      <alignment horizontal="center"/>
      <protection locked="0"/>
    </xf>
    <xf numFmtId="173" fontId="7" fillId="0" borderId="90" xfId="25" applyNumberFormat="1" applyFont="1" applyFill="1" applyBorder="1" applyAlignment="1" applyProtection="1">
      <alignment horizontal="center"/>
      <protection locked="0"/>
    </xf>
    <xf numFmtId="22" fontId="7" fillId="0" borderId="91" xfId="25" applyNumberFormat="1" applyFont="1" applyFill="1" applyBorder="1" applyAlignment="1" applyProtection="1">
      <alignment horizontal="center"/>
      <protection locked="0"/>
    </xf>
    <xf numFmtId="22" fontId="7" fillId="0" borderId="92" xfId="25" applyNumberFormat="1" applyFont="1" applyFill="1" applyBorder="1" applyAlignment="1" applyProtection="1">
      <alignment horizontal="center"/>
      <protection locked="0"/>
    </xf>
    <xf numFmtId="4" fontId="10" fillId="0" borderId="81" xfId="27" applyNumberFormat="1" applyFont="1" applyFill="1" applyBorder="1" applyAlignment="1" applyProtection="1">
      <alignment horizontal="center"/>
      <protection locked="0"/>
    </xf>
    <xf numFmtId="0" fontId="7" fillId="0" borderId="19" xfId="21" applyFont="1" applyFill="1" applyBorder="1" applyAlignment="1" applyProtection="1">
      <alignment horizontal="center"/>
      <protection locked="0"/>
    </xf>
    <xf numFmtId="172" fontId="7" fillId="0" borderId="19" xfId="21" applyNumberFormat="1" applyFont="1" applyFill="1" applyBorder="1" applyAlignment="1" applyProtection="1">
      <alignment horizontal="center"/>
      <protection locked="0"/>
    </xf>
    <xf numFmtId="173" fontId="7" fillId="0" borderId="19" xfId="21" applyNumberFormat="1" applyFont="1" applyFill="1" applyBorder="1" applyAlignment="1" applyProtection="1">
      <alignment horizontal="center"/>
      <protection locked="0"/>
    </xf>
    <xf numFmtId="22" fontId="7" fillId="0" borderId="37" xfId="21" applyNumberFormat="1" applyFont="1" applyFill="1" applyBorder="1" applyAlignment="1" applyProtection="1">
      <alignment horizontal="center"/>
      <protection locked="0"/>
    </xf>
    <xf numFmtId="22" fontId="7" fillId="0" borderId="24" xfId="21" applyNumberFormat="1" applyFont="1" applyFill="1" applyBorder="1" applyAlignment="1" applyProtection="1">
      <alignment horizontal="center"/>
      <protection locked="0"/>
    </xf>
    <xf numFmtId="176" fontId="7" fillId="0" borderId="37" xfId="27" applyNumberFormat="1" applyFont="1" applyFill="1" applyBorder="1" applyAlignment="1" applyProtection="1">
      <alignment horizontal="center"/>
      <protection locked="0"/>
    </xf>
    <xf numFmtId="176" fontId="9" fillId="0" borderId="19" xfId="27" applyNumberFormat="1" applyFont="1" applyFill="1" applyBorder="1" applyAlignment="1" applyProtection="1" quotePrefix="1">
      <alignment horizontal="center"/>
      <protection/>
    </xf>
    <xf numFmtId="187" fontId="10" fillId="0" borderId="37" xfId="27" applyNumberFormat="1" applyFont="1" applyFill="1" applyBorder="1" applyAlignment="1" applyProtection="1">
      <alignment horizontal="right"/>
      <protection locked="0"/>
    </xf>
    <xf numFmtId="4" fontId="10" fillId="0" borderId="4" xfId="27" applyNumberFormat="1" applyFont="1" applyFill="1" applyBorder="1" applyAlignment="1" applyProtection="1">
      <alignment horizontal="center"/>
      <protection locked="0"/>
    </xf>
    <xf numFmtId="4" fontId="10" fillId="0" borderId="4" xfId="27" applyNumberFormat="1" applyFont="1" applyFill="1" applyBorder="1" applyAlignment="1">
      <alignment horizontal="right"/>
      <protection/>
    </xf>
    <xf numFmtId="188" fontId="10" fillId="0" borderId="37" xfId="27" applyNumberFormat="1" applyFont="1" applyFill="1" applyBorder="1" applyAlignment="1">
      <alignment horizontal="right"/>
      <protection/>
    </xf>
    <xf numFmtId="176" fontId="9" fillId="0" borderId="2" xfId="27" applyNumberFormat="1" applyFont="1" applyFill="1" applyBorder="1" applyAlignment="1" applyProtection="1" quotePrefix="1">
      <alignment horizontal="center"/>
      <protection/>
    </xf>
    <xf numFmtId="4" fontId="9" fillId="0" borderId="2" xfId="27" applyNumberFormat="1" applyFont="1" applyFill="1" applyBorder="1" applyAlignment="1" applyProtection="1">
      <alignment horizontal="center"/>
      <protection/>
    </xf>
    <xf numFmtId="22" fontId="7" fillId="0" borderId="19" xfId="21" applyNumberFormat="1" applyFont="1" applyFill="1" applyBorder="1" applyAlignment="1" applyProtection="1">
      <alignment horizontal="center"/>
      <protection locked="0"/>
    </xf>
    <xf numFmtId="176" fontId="7" fillId="0" borderId="19" xfId="27" applyNumberFormat="1" applyFont="1" applyFill="1" applyBorder="1" applyAlignment="1" applyProtection="1">
      <alignment horizontal="center"/>
      <protection locked="0"/>
    </xf>
    <xf numFmtId="187" fontId="10" fillId="0" borderId="19" xfId="27" applyNumberFormat="1" applyFont="1" applyFill="1" applyBorder="1" applyAlignment="1" applyProtection="1">
      <alignment horizontal="right"/>
      <protection locked="0"/>
    </xf>
    <xf numFmtId="4" fontId="10" fillId="0" borderId="19" xfId="27" applyNumberFormat="1" applyFont="1" applyFill="1" applyBorder="1" applyAlignment="1" applyProtection="1">
      <alignment horizontal="center"/>
      <protection locked="0"/>
    </xf>
    <xf numFmtId="188" fontId="10" fillId="0" borderId="19" xfId="27" applyNumberFormat="1" applyFont="1" applyFill="1" applyBorder="1" applyAlignment="1">
      <alignment horizontal="right"/>
      <protection/>
    </xf>
    <xf numFmtId="0" fontId="7" fillId="0" borderId="3" xfId="27" applyFont="1" applyFill="1" applyBorder="1">
      <alignment/>
      <protection/>
    </xf>
    <xf numFmtId="0" fontId="7" fillId="0" borderId="3" xfId="27" applyFont="1" applyFill="1" applyBorder="1" applyAlignment="1">
      <alignment horizontal="center"/>
      <protection/>
    </xf>
    <xf numFmtId="0" fontId="7" fillId="0" borderId="20" xfId="27" applyFont="1" applyFill="1" applyBorder="1" applyAlignment="1">
      <alignment horizontal="center"/>
      <protection/>
    </xf>
    <xf numFmtId="0" fontId="7" fillId="0" borderId="3" xfId="27" applyFont="1" applyFill="1" applyBorder="1" applyAlignment="1" applyProtection="1">
      <alignment horizontal="center"/>
      <protection locked="0"/>
    </xf>
    <xf numFmtId="172" fontId="9" fillId="0" borderId="3" xfId="27" applyNumberFormat="1" applyFont="1" applyFill="1" applyBorder="1" applyAlignment="1" applyProtection="1">
      <alignment horizontal="center"/>
      <protection locked="0"/>
    </xf>
    <xf numFmtId="173" fontId="7" fillId="0" borderId="3" xfId="27" applyNumberFormat="1" applyFont="1" applyFill="1" applyBorder="1" applyAlignment="1" applyProtection="1">
      <alignment horizontal="center"/>
      <protection locked="0"/>
    </xf>
    <xf numFmtId="0" fontId="87" fillId="0" borderId="3" xfId="27" applyFont="1" applyFill="1" applyBorder="1" applyAlignment="1" applyProtection="1">
      <alignment horizontal="center"/>
      <protection locked="0"/>
    </xf>
    <xf numFmtId="182" fontId="59" fillId="0" borderId="3" xfId="27" applyNumberFormat="1" applyFont="1" applyFill="1" applyBorder="1" applyAlignment="1" applyProtection="1">
      <alignment horizontal="center"/>
      <protection locked="0"/>
    </xf>
    <xf numFmtId="176" fontId="7" fillId="0" borderId="3" xfId="27" applyNumberFormat="1" applyFont="1" applyFill="1" applyBorder="1" applyAlignment="1" applyProtection="1">
      <alignment horizontal="center"/>
      <protection locked="0"/>
    </xf>
    <xf numFmtId="176" fontId="37" fillId="0" borderId="40" xfId="27" applyNumberFormat="1" applyFont="1" applyFill="1" applyBorder="1" applyAlignment="1" applyProtection="1" quotePrefix="1">
      <alignment horizontal="center"/>
      <protection/>
    </xf>
    <xf numFmtId="4" fontId="37" fillId="0" borderId="40" xfId="27" applyNumberFormat="1" applyFont="1" applyFill="1" applyBorder="1" applyAlignment="1" applyProtection="1">
      <alignment horizontal="center"/>
      <protection/>
    </xf>
    <xf numFmtId="4" fontId="9" fillId="0" borderId="3" xfId="27" applyNumberFormat="1" applyFont="1" applyFill="1" applyBorder="1" applyAlignment="1" applyProtection="1">
      <alignment horizontal="center"/>
      <protection/>
    </xf>
    <xf numFmtId="0" fontId="10" fillId="0" borderId="3" xfId="27" applyFont="1" applyFill="1" applyBorder="1" applyProtection="1">
      <alignment/>
      <protection locked="0"/>
    </xf>
    <xf numFmtId="0" fontId="10" fillId="0" borderId="3" xfId="27" applyFont="1" applyFill="1" applyBorder="1" applyAlignment="1" applyProtection="1">
      <alignment horizontal="center"/>
      <protection locked="0"/>
    </xf>
    <xf numFmtId="4" fontId="10" fillId="0" borderId="3" xfId="27" applyNumberFormat="1" applyFont="1" applyFill="1" applyBorder="1" applyAlignment="1">
      <alignment horizontal="right"/>
      <protection/>
    </xf>
    <xf numFmtId="176" fontId="37" fillId="0" borderId="3" xfId="27" applyNumberFormat="1" applyFont="1" applyFill="1" applyBorder="1" applyAlignment="1" applyProtection="1" quotePrefix="1">
      <alignment horizontal="center"/>
      <protection/>
    </xf>
    <xf numFmtId="4" fontId="37" fillId="0" borderId="3" xfId="27" applyNumberFormat="1" applyFont="1" applyFill="1" applyBorder="1" applyAlignment="1" applyProtection="1">
      <alignment horizontal="center"/>
      <protection/>
    </xf>
    <xf numFmtId="0" fontId="10" fillId="0" borderId="46" xfId="27" applyFont="1" applyFill="1" applyBorder="1">
      <alignment/>
      <protection/>
    </xf>
    <xf numFmtId="176" fontId="109" fillId="0" borderId="0" xfId="0" applyNumberFormat="1" applyFont="1" applyBorder="1" applyAlignment="1" applyProtection="1">
      <alignment horizontal="left"/>
      <protection/>
    </xf>
    <xf numFmtId="0" fontId="7" fillId="0" borderId="84" xfId="27" applyFont="1" applyFill="1" applyBorder="1" applyAlignment="1">
      <alignment horizontal="center" vertical="center" textRotation="90"/>
      <protection/>
    </xf>
    <xf numFmtId="0" fontId="7" fillId="0" borderId="46" xfId="27" applyFont="1" applyFill="1" applyBorder="1" applyAlignment="1">
      <alignment horizontal="center" vertical="center" textRotation="90"/>
      <protection/>
    </xf>
    <xf numFmtId="0" fontId="7" fillId="0" borderId="93" xfId="27" applyFont="1" applyFill="1" applyBorder="1" applyAlignment="1">
      <alignment horizontal="center" vertical="center" textRotation="90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0" fontId="12" fillId="0" borderId="56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7" fontId="10" fillId="0" borderId="47" xfId="0" applyNumberFormat="1" applyFont="1" applyFill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A0101 ANEXO I NEA" xfId="22"/>
    <cellStyle name="Normal_a0401NER Anexo I1" xfId="23"/>
    <cellStyle name="Normal_Comahue" xfId="24"/>
    <cellStyle name="Normal_info-penalizaciones-iii" xfId="25"/>
    <cellStyle name="Normal_líneas" xfId="26"/>
    <cellStyle name="Normal_TRANS" xfId="27"/>
    <cellStyle name="Normal_TRANSBA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695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 "/>
      <sheetName val="MODELO L CUYANA"/>
      <sheetName val="MODELO T"/>
      <sheetName val="MODELO T LITSA"/>
      <sheetName val="MODELO T TIBA"/>
      <sheetName val="MODELO T ENECOR"/>
      <sheetName val="MODELO T INTESAR"/>
      <sheetName val="MODELO T CUYANA"/>
      <sheetName val="MODELO S"/>
      <sheetName val="MODELO S TIBA"/>
      <sheetName val="MODELO S ENECOR"/>
      <sheetName val="MODELO S TESA"/>
      <sheetName val="MODELO S CTM"/>
      <sheetName val="MODELO R"/>
      <sheetName val="RE-Res.01_03"/>
      <sheetName val="MODELO R YACYLEC"/>
      <sheetName val="MODELO R LITSA"/>
      <sheetName val="MODELO R IV"/>
      <sheetName val="SUP-YACYLEC"/>
      <sheetName val="SUP-LITSA"/>
      <sheetName val="SUP-TIBA"/>
      <sheetName val="SUP-ENECOR"/>
      <sheetName val="SUP-TESA"/>
      <sheetName val="SUP-CTM"/>
      <sheetName val="SUP-INTESAR"/>
      <sheetName val="SUP-CUYANA"/>
      <sheetName val="CONDICIONES CLIMATICAS 313"/>
      <sheetName val="DAG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T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S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S26">
            <v>2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Q46" t="str">
            <v>XXXX</v>
          </cell>
          <cell r="FR46" t="str">
            <v>XXXX</v>
          </cell>
          <cell r="FS46" t="str">
            <v>XXXX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R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FS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R53">
            <v>1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Q54" t="str">
            <v>XXXX</v>
          </cell>
          <cell r="FR54" t="str">
            <v>XXXX</v>
          </cell>
          <cell r="FS54" t="str">
            <v>XXXX</v>
          </cell>
          <cell r="FT54" t="str">
            <v>XXXX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Q57" t="str">
            <v>XXXX</v>
          </cell>
          <cell r="FR57" t="str">
            <v>XXXX</v>
          </cell>
          <cell r="FS57" t="str">
            <v>XXXX</v>
          </cell>
          <cell r="FT57" t="str">
            <v>XXXX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T61">
            <v>1</v>
          </cell>
          <cell r="FU61">
            <v>1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T65">
            <v>1</v>
          </cell>
          <cell r="FV65">
            <v>1</v>
          </cell>
          <cell r="FX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FR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FR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Q87" t="str">
            <v>XXXX</v>
          </cell>
          <cell r="FR87" t="str">
            <v>XXXX</v>
          </cell>
          <cell r="FS87" t="str">
            <v>XXXX</v>
          </cell>
          <cell r="FT87" t="str">
            <v>XXXX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Q100">
            <v>0.38</v>
          </cell>
          <cell r="FR100">
            <v>0.35</v>
          </cell>
          <cell r="FS100">
            <v>0.38</v>
          </cell>
          <cell r="FT100">
            <v>0.37</v>
          </cell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5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20.851562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899"/>
      <c r="B1" s="19"/>
      <c r="E1" s="54"/>
      <c r="K1" s="142"/>
    </row>
    <row r="2" spans="2:10" s="18" customFormat="1" ht="26.25">
      <c r="B2" s="19" t="s">
        <v>408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61</v>
      </c>
      <c r="C7" s="196"/>
      <c r="D7" s="197"/>
      <c r="E7" s="197"/>
      <c r="F7" s="198"/>
      <c r="G7" s="198"/>
      <c r="H7" s="198"/>
      <c r="I7" s="198"/>
      <c r="J7" s="198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60</v>
      </c>
      <c r="C9" s="196"/>
      <c r="D9" s="197"/>
      <c r="E9" s="197"/>
      <c r="F9" s="197"/>
      <c r="G9" s="197"/>
      <c r="H9" s="197"/>
      <c r="I9" s="198"/>
      <c r="J9" s="198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404</v>
      </c>
      <c r="C11" s="199"/>
      <c r="D11" s="200"/>
      <c r="E11" s="200"/>
      <c r="F11" s="197"/>
      <c r="G11" s="197"/>
      <c r="H11" s="197"/>
      <c r="I11" s="198"/>
      <c r="J11" s="198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70"/>
      <c r="C13" s="34"/>
      <c r="D13" s="34"/>
      <c r="E13" s="871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248</v>
      </c>
      <c r="C14" s="38"/>
      <c r="D14" s="39"/>
      <c r="E14" s="872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90"/>
      <c r="E15" s="194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90" t="s">
        <v>0</v>
      </c>
      <c r="E16" s="194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90">
        <v>11</v>
      </c>
      <c r="E17" s="191" t="s">
        <v>4</v>
      </c>
      <c r="F17" s="46"/>
      <c r="G17" s="46"/>
      <c r="H17" s="46"/>
      <c r="I17" s="49">
        <f>'LI-09 (2)'!AC43</f>
        <v>1136977.27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90" t="s">
        <v>395</v>
      </c>
      <c r="E18" s="191" t="s">
        <v>396</v>
      </c>
      <c r="F18" s="46"/>
      <c r="G18" s="46"/>
      <c r="H18" s="46"/>
      <c r="I18" s="49">
        <f>+Atentados!AM28</f>
        <v>18445.06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90" t="s">
        <v>363</v>
      </c>
      <c r="E19" s="191" t="s">
        <v>364</v>
      </c>
      <c r="F19" s="46"/>
      <c r="G19" s="46"/>
      <c r="H19" s="46"/>
      <c r="I19" s="49">
        <f>+Incendio!AC28</f>
        <v>8726.99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ht="16.5" customHeight="1">
      <c r="B20" s="50"/>
      <c r="C20" s="51"/>
      <c r="D20" s="190"/>
      <c r="E20" s="873"/>
      <c r="F20" s="52"/>
      <c r="G20" s="52"/>
      <c r="H20" s="52"/>
      <c r="I20" s="53"/>
      <c r="J20" s="6"/>
      <c r="K20" s="43"/>
      <c r="L20" s="4"/>
      <c r="M20" s="4"/>
      <c r="N20" s="4"/>
      <c r="O20" s="4"/>
      <c r="P20" s="4"/>
      <c r="Q20" s="4"/>
      <c r="R20" s="4"/>
      <c r="S20" s="4"/>
    </row>
    <row r="21" spans="2:19" s="36" customFormat="1" ht="19.5">
      <c r="B21" s="44"/>
      <c r="C21" s="48" t="s">
        <v>5</v>
      </c>
      <c r="D21" s="193" t="s">
        <v>6</v>
      </c>
      <c r="E21" s="194"/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90">
        <v>21</v>
      </c>
      <c r="E22" s="191" t="s">
        <v>7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90"/>
      <c r="E23" s="192">
        <v>211</v>
      </c>
      <c r="F23" s="54" t="s">
        <v>4</v>
      </c>
      <c r="G23" s="46"/>
      <c r="H23" s="46"/>
      <c r="I23" s="49">
        <f>'TR-09 (2)'!AA43</f>
        <v>96913.79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90"/>
      <c r="E24" s="192" t="s">
        <v>405</v>
      </c>
      <c r="F24" s="1196" t="s">
        <v>406</v>
      </c>
      <c r="G24" s="46"/>
      <c r="H24" s="46"/>
      <c r="I24" s="49">
        <f>+'T4CH - Nota SE N° 2492'!AA43</f>
        <v>326528.4</v>
      </c>
      <c r="J24" s="6" t="s">
        <v>398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90"/>
      <c r="E25" s="192">
        <v>213</v>
      </c>
      <c r="F25" s="191" t="s">
        <v>65</v>
      </c>
      <c r="G25" s="46"/>
      <c r="H25" s="46"/>
      <c r="I25" s="49">
        <f>'TR-TIBA-09 (1)'!AA41</f>
        <v>691.72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90">
        <v>22</v>
      </c>
      <c r="E26" s="191" t="s">
        <v>8</v>
      </c>
      <c r="F26" s="46"/>
      <c r="G26" s="46"/>
      <c r="H26" s="46"/>
      <c r="I26" s="49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90"/>
      <c r="E27" s="192">
        <v>221</v>
      </c>
      <c r="F27" s="54" t="s">
        <v>4</v>
      </c>
      <c r="G27" s="46"/>
      <c r="H27" s="46"/>
      <c r="I27" s="49">
        <f>'SA-09 (3)'!T44</f>
        <v>74405.91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90"/>
      <c r="E28" s="192">
        <v>222</v>
      </c>
      <c r="F28" s="54" t="s">
        <v>65</v>
      </c>
      <c r="G28" s="46"/>
      <c r="H28" s="46"/>
      <c r="I28" s="49">
        <f>'SA-TIBA-09 (1)'!T43</f>
        <v>48433.65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6.5" customHeight="1">
      <c r="B29" s="50"/>
      <c r="C29" s="51"/>
      <c r="D29" s="190"/>
      <c r="E29" s="873"/>
      <c r="F29" s="52"/>
      <c r="G29" s="52"/>
      <c r="H29" s="52"/>
      <c r="I29" s="53"/>
      <c r="J29" s="6"/>
      <c r="K29" s="43"/>
      <c r="L29" s="4"/>
      <c r="M29" s="4"/>
      <c r="N29" s="4"/>
      <c r="O29" s="4"/>
      <c r="P29" s="4"/>
      <c r="Q29" s="4"/>
      <c r="R29" s="4"/>
      <c r="S29" s="4"/>
    </row>
    <row r="30" spans="2:19" s="36" customFormat="1" ht="19.5">
      <c r="B30" s="44"/>
      <c r="C30" s="48" t="s">
        <v>9</v>
      </c>
      <c r="D30" s="193" t="s">
        <v>62</v>
      </c>
      <c r="E30" s="194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90">
        <v>31</v>
      </c>
      <c r="E31" s="191" t="s">
        <v>4</v>
      </c>
      <c r="F31" s="46"/>
      <c r="G31" s="46"/>
      <c r="H31" s="46"/>
      <c r="I31" s="49">
        <f>+'RE-09 (1)'!X43</f>
        <v>38761.34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8.75" customHeight="1">
      <c r="B32" s="44"/>
      <c r="C32" s="48"/>
      <c r="D32" s="190"/>
      <c r="E32" s="191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 t="s">
        <v>63</v>
      </c>
      <c r="D33" s="193" t="s">
        <v>64</v>
      </c>
      <c r="E33" s="194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90">
        <v>43</v>
      </c>
      <c r="E34" s="191" t="s">
        <v>65</v>
      </c>
      <c r="F34" s="46"/>
      <c r="G34" s="46"/>
      <c r="H34" s="46"/>
      <c r="I34" s="49">
        <f>'SUP-TIBA'!J80</f>
        <v>12173.434140849038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8" customHeight="1">
      <c r="B35" s="44"/>
      <c r="C35" s="48"/>
      <c r="D35" s="190"/>
      <c r="E35" s="191"/>
      <c r="F35" s="46"/>
      <c r="G35" s="46"/>
      <c r="H35" s="923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 t="s">
        <v>243</v>
      </c>
      <c r="D36" s="193" t="s">
        <v>244</v>
      </c>
      <c r="E36" s="194"/>
      <c r="F36" s="46"/>
      <c r="G36" s="46"/>
      <c r="H36" s="46"/>
      <c r="I36" s="49">
        <f>DAG!P31+DAG!P43</f>
        <v>10948.2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20.25" thickBot="1">
      <c r="B37" s="44"/>
      <c r="C37" s="45"/>
      <c r="D37" s="190"/>
      <c r="E37" s="194"/>
      <c r="F37" s="46"/>
      <c r="G37" s="46"/>
      <c r="H37" s="46"/>
      <c r="I37" s="43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20.25" thickBot="1" thickTop="1">
      <c r="B38" s="44"/>
      <c r="C38" s="48"/>
      <c r="D38" s="48"/>
      <c r="F38" s="55" t="s">
        <v>10</v>
      </c>
      <c r="G38" s="56">
        <f>SUM(I17:I36)</f>
        <v>1773005.764140849</v>
      </c>
      <c r="H38" s="124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9.75" customHeight="1" thickTop="1">
      <c r="B39" s="44"/>
      <c r="C39" s="48"/>
      <c r="D39" s="48"/>
      <c r="F39" s="189"/>
      <c r="G39" s="124"/>
      <c r="H39" s="124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8.75">
      <c r="B40" s="44"/>
      <c r="C40" s="195"/>
      <c r="D40" s="1196"/>
      <c r="F40" s="189"/>
      <c r="G40" s="124"/>
      <c r="H40" s="124"/>
      <c r="I40" s="924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8.75">
      <c r="B41" s="44"/>
      <c r="C41" s="195" t="s">
        <v>399</v>
      </c>
      <c r="D41" s="48"/>
      <c r="F41" s="189"/>
      <c r="G41" s="124"/>
      <c r="H41" s="124"/>
      <c r="I41" s="924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8.75">
      <c r="B42" s="44"/>
      <c r="C42" s="195"/>
      <c r="D42" s="48"/>
      <c r="F42" s="189"/>
      <c r="G42" s="124"/>
      <c r="H42" s="124"/>
      <c r="I42" s="924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8.75">
      <c r="B43" s="44"/>
      <c r="C43" s="195" t="s">
        <v>349</v>
      </c>
      <c r="D43" s="48"/>
      <c r="F43" s="189"/>
      <c r="G43" s="124"/>
      <c r="H43" s="124"/>
      <c r="I43" s="924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2" customFormat="1" ht="10.5" customHeight="1" thickBot="1">
      <c r="B44" s="57"/>
      <c r="C44" s="58"/>
      <c r="D44" s="58"/>
      <c r="E44" s="59"/>
      <c r="F44" s="59"/>
      <c r="G44" s="59"/>
      <c r="H44" s="59"/>
      <c r="I44" s="59"/>
      <c r="J44" s="60"/>
      <c r="K44" s="33"/>
      <c r="L44" s="33"/>
      <c r="M44" s="61"/>
      <c r="N44" s="62"/>
      <c r="O44" s="62"/>
      <c r="P44" s="63"/>
      <c r="Q44" s="64"/>
      <c r="R44" s="33"/>
      <c r="S44" s="33"/>
    </row>
    <row r="45" spans="4:19" ht="13.5" thickTop="1">
      <c r="D45" s="4"/>
      <c r="F45" s="4"/>
      <c r="G45" s="4"/>
      <c r="H45" s="4"/>
      <c r="I45" s="4"/>
      <c r="J45" s="4"/>
      <c r="K45" s="4"/>
      <c r="L45" s="4"/>
      <c r="M45" s="15"/>
      <c r="N45" s="65"/>
      <c r="O45" s="65"/>
      <c r="P45" s="4"/>
      <c r="Q45" s="66"/>
      <c r="R45" s="4"/>
      <c r="S45" s="4"/>
    </row>
    <row r="46" spans="4:19" ht="12.75">
      <c r="D46" s="4"/>
      <c r="F46" s="4"/>
      <c r="G46" s="4"/>
      <c r="H46" s="4"/>
      <c r="I46" s="4"/>
      <c r="J46" s="4"/>
      <c r="K46" s="4"/>
      <c r="L46" s="4"/>
      <c r="M46" s="4"/>
      <c r="N46" s="67"/>
      <c r="O46" s="67"/>
      <c r="P46" s="68"/>
      <c r="Q46" s="66"/>
      <c r="R46" s="4"/>
      <c r="S46" s="4"/>
    </row>
    <row r="47" spans="4:19" ht="12.75">
      <c r="D47" s="4"/>
      <c r="E47" s="4"/>
      <c r="F47" s="4"/>
      <c r="G47" s="4"/>
      <c r="H47" s="4"/>
      <c r="I47" s="4"/>
      <c r="J47" s="4"/>
      <c r="K47" s="4"/>
      <c r="L47" s="4"/>
      <c r="M47" s="4"/>
      <c r="N47" s="67"/>
      <c r="O47" s="67"/>
      <c r="P47" s="68"/>
      <c r="Q47" s="66"/>
      <c r="R47" s="4"/>
      <c r="S47" s="4"/>
    </row>
    <row r="48" spans="4:19" ht="12.75">
      <c r="D48" s="4"/>
      <c r="E48" s="4"/>
      <c r="L48" s="4"/>
      <c r="M48" s="4"/>
      <c r="N48" s="4"/>
      <c r="O48" s="4"/>
      <c r="P48" s="4"/>
      <c r="Q48" s="4"/>
      <c r="R48" s="4"/>
      <c r="S48" s="4"/>
    </row>
    <row r="49" spans="4:19" ht="12.75">
      <c r="D49" s="4"/>
      <c r="E49" s="4"/>
      <c r="P49" s="4"/>
      <c r="Q49" s="4"/>
      <c r="R49" s="4"/>
      <c r="S49" s="4"/>
    </row>
    <row r="50" spans="4:19" ht="12.75">
      <c r="D50" s="4"/>
      <c r="E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16:19" ht="12.75">
      <c r="P54" s="4"/>
      <c r="Q54" s="4"/>
      <c r="R54" s="4"/>
      <c r="S54" s="4"/>
    </row>
    <row r="55" spans="16:19" ht="12.75">
      <c r="P55" s="4"/>
      <c r="Q55" s="4"/>
      <c r="R55" s="4"/>
      <c r="S55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W159"/>
  <sheetViews>
    <sheetView zoomScale="75" zoomScaleNormal="75" workbookViewId="0" topLeftCell="C1">
      <selection activeCell="T42" sqref="T4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2" t="s">
        <v>231</v>
      </c>
      <c r="E10" s="374"/>
      <c r="F10" s="104"/>
      <c r="G10" s="107"/>
      <c r="I10" s="107"/>
      <c r="J10" s="107"/>
      <c r="K10" s="107"/>
      <c r="L10" s="107"/>
      <c r="M10" s="107"/>
      <c r="N10" s="107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5"/>
      <c r="E11" s="375"/>
      <c r="F11" s="88"/>
      <c r="G11" s="95"/>
      <c r="H11" s="52"/>
      <c r="I11" s="95"/>
      <c r="J11" s="95"/>
      <c r="K11" s="95"/>
      <c r="L11" s="95"/>
      <c r="M11" s="95"/>
      <c r="N11" s="95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2" t="s">
        <v>75</v>
      </c>
      <c r="E12" s="374"/>
      <c r="F12" s="104"/>
      <c r="G12" s="107"/>
      <c r="I12" s="107"/>
      <c r="J12" s="107"/>
      <c r="K12" s="107"/>
      <c r="L12" s="107"/>
      <c r="M12" s="107"/>
      <c r="N12" s="107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5"/>
      <c r="E13" s="375"/>
      <c r="F13" s="88"/>
      <c r="G13" s="95"/>
      <c r="H13" s="52"/>
      <c r="I13" s="95"/>
      <c r="J13" s="95"/>
      <c r="K13" s="95"/>
      <c r="L13" s="95"/>
      <c r="M13" s="95"/>
      <c r="N13" s="95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'TOT-0908'!B14</f>
        <v>Desde el 01 al 30 de septiembre de 2008</v>
      </c>
      <c r="C14" s="40"/>
      <c r="D14" s="40"/>
      <c r="E14" s="40"/>
      <c r="F14" s="40"/>
      <c r="G14" s="376"/>
      <c r="H14" s="376"/>
      <c r="I14" s="376"/>
      <c r="J14" s="376"/>
      <c r="K14" s="376"/>
      <c r="L14" s="376"/>
      <c r="M14" s="376"/>
      <c r="N14" s="376"/>
      <c r="O14" s="40"/>
      <c r="P14" s="40"/>
      <c r="Q14" s="40"/>
      <c r="R14" s="40"/>
      <c r="S14" s="40"/>
      <c r="T14" s="40"/>
      <c r="U14" s="377"/>
    </row>
    <row r="15" spans="2:21" s="5" customFormat="1" ht="14.25" thickBot="1">
      <c r="B15" s="378"/>
      <c r="C15" s="379"/>
      <c r="D15" s="379"/>
      <c r="E15" s="379"/>
      <c r="F15" s="379"/>
      <c r="G15" s="380"/>
      <c r="H15" s="380"/>
      <c r="I15" s="380"/>
      <c r="J15" s="380"/>
      <c r="K15" s="380"/>
      <c r="L15" s="380"/>
      <c r="M15" s="380"/>
      <c r="N15" s="380"/>
      <c r="O15" s="379"/>
      <c r="P15" s="379"/>
      <c r="Q15" s="379"/>
      <c r="R15" s="379"/>
      <c r="S15" s="379"/>
      <c r="T15" s="379"/>
      <c r="U15" s="381"/>
    </row>
    <row r="16" spans="2:21" s="5" customFormat="1" ht="15" thickBot="1" thickTop="1">
      <c r="B16" s="50"/>
      <c r="C16" s="4"/>
      <c r="D16" s="382"/>
      <c r="E16" s="382"/>
      <c r="F16" s="116" t="s">
        <v>76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77</v>
      </c>
      <c r="E17" s="384">
        <v>63.904</v>
      </c>
      <c r="F17" s="385">
        <v>200</v>
      </c>
      <c r="T17" s="114"/>
      <c r="U17" s="6"/>
    </row>
    <row r="18" spans="2:21" s="5" customFormat="1" ht="16.5" customHeight="1" thickBot="1" thickTop="1">
      <c r="B18" s="50"/>
      <c r="C18" s="4"/>
      <c r="D18" s="386" t="s">
        <v>78</v>
      </c>
      <c r="E18" s="387">
        <v>57.511</v>
      </c>
      <c r="F18" s="38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8" t="s">
        <v>79</v>
      </c>
      <c r="E19" s="387">
        <v>51.126</v>
      </c>
      <c r="F19" s="385">
        <v>40</v>
      </c>
      <c r="I19" s="226"/>
      <c r="J19" s="227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9"/>
      <c r="D20" s="390"/>
      <c r="E20" s="390"/>
      <c r="F20" s="391"/>
      <c r="G20" s="392"/>
      <c r="H20" s="392"/>
      <c r="I20" s="392"/>
      <c r="J20" s="392"/>
      <c r="K20" s="392"/>
      <c r="L20" s="392"/>
      <c r="M20" s="392"/>
      <c r="N20" s="393"/>
      <c r="O20" s="394"/>
      <c r="P20" s="395"/>
      <c r="Q20" s="395"/>
      <c r="R20" s="395"/>
      <c r="S20" s="396"/>
      <c r="T20" s="397"/>
      <c r="U20" s="6"/>
    </row>
    <row r="21" spans="2:21" s="5" customFormat="1" ht="33.75" customHeight="1" thickBot="1" thickTop="1">
      <c r="B21" s="50"/>
      <c r="C21" s="84" t="s">
        <v>12</v>
      </c>
      <c r="D21" s="86" t="s">
        <v>25</v>
      </c>
      <c r="E21" s="398" t="s">
        <v>26</v>
      </c>
      <c r="F21" s="399" t="s">
        <v>13</v>
      </c>
      <c r="G21" s="128" t="s">
        <v>15</v>
      </c>
      <c r="H21" s="85" t="s">
        <v>16</v>
      </c>
      <c r="I21" s="398" t="s">
        <v>17</v>
      </c>
      <c r="J21" s="400" t="s">
        <v>34</v>
      </c>
      <c r="K21" s="400" t="s">
        <v>29</v>
      </c>
      <c r="L21" s="87" t="s">
        <v>18</v>
      </c>
      <c r="M21" s="204" t="s">
        <v>30</v>
      </c>
      <c r="N21" s="134" t="s">
        <v>35</v>
      </c>
      <c r="O21" s="401" t="s">
        <v>67</v>
      </c>
      <c r="P21" s="205" t="s">
        <v>33</v>
      </c>
      <c r="Q21" s="402"/>
      <c r="R21" s="133" t="s">
        <v>21</v>
      </c>
      <c r="S21" s="131" t="s">
        <v>70</v>
      </c>
      <c r="T21" s="120" t="s">
        <v>22</v>
      </c>
      <c r="U21" s="6"/>
    </row>
    <row r="22" spans="2:21" s="5" customFormat="1" ht="16.5" customHeight="1" thickTop="1">
      <c r="B22" s="50"/>
      <c r="C22" s="7"/>
      <c r="D22" s="403"/>
      <c r="E22" s="403"/>
      <c r="F22" s="403"/>
      <c r="G22" s="241"/>
      <c r="H22" s="403"/>
      <c r="I22" s="403"/>
      <c r="J22" s="403"/>
      <c r="K22" s="403"/>
      <c r="L22" s="403"/>
      <c r="M22" s="403"/>
      <c r="N22" s="404"/>
      <c r="O22" s="405"/>
      <c r="P22" s="406"/>
      <c r="Q22" s="407"/>
      <c r="R22" s="408"/>
      <c r="S22" s="403"/>
      <c r="T22" s="409">
        <f>'SA-09 (1)'!T45</f>
        <v>16354.18</v>
      </c>
      <c r="U22" s="6"/>
    </row>
    <row r="23" spans="2:21" s="5" customFormat="1" ht="16.5" customHeight="1">
      <c r="B23" s="50"/>
      <c r="C23" s="297"/>
      <c r="D23" s="410"/>
      <c r="E23" s="410"/>
      <c r="F23" s="410"/>
      <c r="G23" s="411"/>
      <c r="H23" s="410"/>
      <c r="I23" s="410"/>
      <c r="J23" s="410"/>
      <c r="K23" s="410"/>
      <c r="L23" s="410"/>
      <c r="M23" s="410"/>
      <c r="N23" s="412"/>
      <c r="O23" s="413"/>
      <c r="P23" s="215"/>
      <c r="Q23" s="414"/>
      <c r="R23" s="415"/>
      <c r="S23" s="410"/>
      <c r="T23" s="416"/>
      <c r="U23" s="6"/>
    </row>
    <row r="24" spans="2:21" s="5" customFormat="1" ht="16.5" customHeight="1">
      <c r="B24" s="50"/>
      <c r="C24" s="180">
        <v>67</v>
      </c>
      <c r="D24" s="417" t="s">
        <v>272</v>
      </c>
      <c r="E24" s="417" t="s">
        <v>286</v>
      </c>
      <c r="F24" s="418">
        <v>132</v>
      </c>
      <c r="G24" s="129">
        <f aca="true" t="shared" si="0" ref="G24:G43">IF(F24=500,$E$17,IF(F24=220,$E$18,$E$19))</f>
        <v>51.126</v>
      </c>
      <c r="H24" s="419">
        <v>39701.4</v>
      </c>
      <c r="I24" s="176">
        <v>39701.725694444445</v>
      </c>
      <c r="J24" s="420">
        <f aca="true" t="shared" si="1" ref="J24:J43">IF(D24="","",(I24-H24)*24)</f>
        <v>7.816666666651145</v>
      </c>
      <c r="K24" s="421">
        <f aca="true" t="shared" si="2" ref="K24:K43">IF(D24="","",ROUND((I24-H24)*24*60,0))</f>
        <v>469</v>
      </c>
      <c r="L24" s="243" t="s">
        <v>222</v>
      </c>
      <c r="M24" s="178" t="str">
        <f aca="true" t="shared" si="3" ref="M24:M43">IF(D24="","",IF(L24="P","--","NO"))</f>
        <v>--</v>
      </c>
      <c r="N24" s="422">
        <f aca="true" t="shared" si="4" ref="N24:N43">IF(F24=500,$F$17,IF(F24=220,$F$18,$F$19))</f>
        <v>40</v>
      </c>
      <c r="O24" s="423">
        <f aca="true" t="shared" si="5" ref="O24:O43">IF(L24="P",G24*N24*ROUND(K24/60,2)*0.1,"--")</f>
        <v>1599.2212800000002</v>
      </c>
      <c r="P24" s="424" t="str">
        <f aca="true" t="shared" si="6" ref="P24:P43">IF(AND(L24="F",M24="NO"),G24*N24,"--")</f>
        <v>--</v>
      </c>
      <c r="Q24" s="425" t="str">
        <f aca="true" t="shared" si="7" ref="Q24:Q43">IF(L24="F",G24*N24*ROUND(K24/60,2),"--")</f>
        <v>--</v>
      </c>
      <c r="R24" s="185" t="str">
        <f aca="true" t="shared" si="8" ref="R24:R43">IF(L24="RF",G24*N24*ROUND(K24/60,2),"--")</f>
        <v>--</v>
      </c>
      <c r="S24" s="178" t="str">
        <f aca="true" t="shared" si="9" ref="S24:S43">IF(D24="","","SI")</f>
        <v>SI</v>
      </c>
      <c r="T24" s="426">
        <f aca="true" t="shared" si="10" ref="T24:T43">IF(D24="","",SUM(O24:R24)*IF(S24="SI",1,2))</f>
        <v>1599.2212800000002</v>
      </c>
      <c r="U24" s="6"/>
    </row>
    <row r="25" spans="2:21" s="5" customFormat="1" ht="16.5" customHeight="1">
      <c r="B25" s="50"/>
      <c r="C25" s="297">
        <v>68</v>
      </c>
      <c r="D25" s="417" t="s">
        <v>272</v>
      </c>
      <c r="E25" s="417" t="s">
        <v>301</v>
      </c>
      <c r="F25" s="418">
        <v>132</v>
      </c>
      <c r="G25" s="129">
        <f t="shared" si="0"/>
        <v>51.126</v>
      </c>
      <c r="H25" s="419">
        <v>39702.37777777778</v>
      </c>
      <c r="I25" s="176">
        <v>39702.691666666666</v>
      </c>
      <c r="J25" s="420">
        <f t="shared" si="1"/>
        <v>7.533333333267365</v>
      </c>
      <c r="K25" s="421">
        <f t="shared" si="2"/>
        <v>452</v>
      </c>
      <c r="L25" s="243" t="s">
        <v>222</v>
      </c>
      <c r="M25" s="178" t="str">
        <f t="shared" si="3"/>
        <v>--</v>
      </c>
      <c r="N25" s="422">
        <f t="shared" si="4"/>
        <v>40</v>
      </c>
      <c r="O25" s="423">
        <f t="shared" si="5"/>
        <v>1539.9151200000001</v>
      </c>
      <c r="P25" s="424" t="str">
        <f t="shared" si="6"/>
        <v>--</v>
      </c>
      <c r="Q25" s="425" t="str">
        <f t="shared" si="7"/>
        <v>--</v>
      </c>
      <c r="R25" s="185" t="str">
        <f t="shared" si="8"/>
        <v>--</v>
      </c>
      <c r="S25" s="178" t="str">
        <f t="shared" si="9"/>
        <v>SI</v>
      </c>
      <c r="T25" s="426">
        <v>0</v>
      </c>
      <c r="U25" s="6"/>
    </row>
    <row r="26" spans="2:21" s="5" customFormat="1" ht="16.5" customHeight="1">
      <c r="B26" s="50"/>
      <c r="C26" s="180">
        <v>69</v>
      </c>
      <c r="D26" s="417" t="s">
        <v>296</v>
      </c>
      <c r="E26" s="417" t="s">
        <v>302</v>
      </c>
      <c r="F26" s="418">
        <v>132</v>
      </c>
      <c r="G26" s="129">
        <f t="shared" si="0"/>
        <v>51.126</v>
      </c>
      <c r="H26" s="419">
        <v>39704.34305555555</v>
      </c>
      <c r="I26" s="176">
        <v>39704.714583333334</v>
      </c>
      <c r="J26" s="420">
        <f t="shared" si="1"/>
        <v>8.916666666744277</v>
      </c>
      <c r="K26" s="421">
        <f t="shared" si="2"/>
        <v>535</v>
      </c>
      <c r="L26" s="243" t="s">
        <v>222</v>
      </c>
      <c r="M26" s="178" t="str">
        <f t="shared" si="3"/>
        <v>--</v>
      </c>
      <c r="N26" s="422">
        <f t="shared" si="4"/>
        <v>40</v>
      </c>
      <c r="O26" s="423">
        <f t="shared" si="5"/>
        <v>1824.17568</v>
      </c>
      <c r="P26" s="424" t="str">
        <f t="shared" si="6"/>
        <v>--</v>
      </c>
      <c r="Q26" s="425" t="str">
        <f t="shared" si="7"/>
        <v>--</v>
      </c>
      <c r="R26" s="185" t="str">
        <f t="shared" si="8"/>
        <v>--</v>
      </c>
      <c r="S26" s="178" t="str">
        <f t="shared" si="9"/>
        <v>SI</v>
      </c>
      <c r="T26" s="426">
        <f t="shared" si="10"/>
        <v>1824.17568</v>
      </c>
      <c r="U26" s="6"/>
    </row>
    <row r="27" spans="2:21" s="5" customFormat="1" ht="16.5" customHeight="1">
      <c r="B27" s="50"/>
      <c r="C27" s="297">
        <v>70</v>
      </c>
      <c r="D27" s="417" t="s">
        <v>303</v>
      </c>
      <c r="E27" s="417" t="s">
        <v>304</v>
      </c>
      <c r="F27" s="418">
        <v>132</v>
      </c>
      <c r="G27" s="129">
        <f t="shared" si="0"/>
        <v>51.126</v>
      </c>
      <c r="H27" s="419">
        <v>39704.41111111111</v>
      </c>
      <c r="I27" s="176">
        <v>39704.44513888889</v>
      </c>
      <c r="J27" s="420">
        <f t="shared" si="1"/>
        <v>0.8166666667093523</v>
      </c>
      <c r="K27" s="421">
        <f t="shared" si="2"/>
        <v>49</v>
      </c>
      <c r="L27" s="243" t="s">
        <v>252</v>
      </c>
      <c r="M27" s="178" t="s">
        <v>219</v>
      </c>
      <c r="N27" s="422">
        <f t="shared" si="4"/>
        <v>40</v>
      </c>
      <c r="O27" s="423" t="str">
        <f t="shared" si="5"/>
        <v>--</v>
      </c>
      <c r="P27" s="424" t="str">
        <f t="shared" si="6"/>
        <v>--</v>
      </c>
      <c r="Q27" s="425">
        <f t="shared" si="7"/>
        <v>1676.9327999999998</v>
      </c>
      <c r="R27" s="185" t="str">
        <f t="shared" si="8"/>
        <v>--</v>
      </c>
      <c r="S27" s="178" t="str">
        <f t="shared" si="9"/>
        <v>SI</v>
      </c>
      <c r="T27" s="426">
        <f t="shared" si="10"/>
        <v>1676.9327999999998</v>
      </c>
      <c r="U27" s="6"/>
    </row>
    <row r="28" spans="2:21" s="5" customFormat="1" ht="16.5" customHeight="1">
      <c r="B28" s="50"/>
      <c r="C28" s="180">
        <v>71</v>
      </c>
      <c r="D28" s="417" t="s">
        <v>290</v>
      </c>
      <c r="E28" s="417" t="s">
        <v>291</v>
      </c>
      <c r="F28" s="418">
        <v>500</v>
      </c>
      <c r="G28" s="129">
        <f t="shared" si="0"/>
        <v>63.904</v>
      </c>
      <c r="H28" s="419">
        <v>39705.32083333333</v>
      </c>
      <c r="I28" s="176">
        <v>39705.775</v>
      </c>
      <c r="J28" s="420">
        <f t="shared" si="1"/>
        <v>10.90000000008149</v>
      </c>
      <c r="K28" s="421">
        <f t="shared" si="2"/>
        <v>654</v>
      </c>
      <c r="L28" s="243" t="s">
        <v>222</v>
      </c>
      <c r="M28" s="178" t="str">
        <f t="shared" si="3"/>
        <v>--</v>
      </c>
      <c r="N28" s="422">
        <f t="shared" si="4"/>
        <v>200</v>
      </c>
      <c r="O28" s="423">
        <f t="shared" si="5"/>
        <v>13931.072000000004</v>
      </c>
      <c r="P28" s="424" t="str">
        <f t="shared" si="6"/>
        <v>--</v>
      </c>
      <c r="Q28" s="425" t="str">
        <f t="shared" si="7"/>
        <v>--</v>
      </c>
      <c r="R28" s="185" t="str">
        <f t="shared" si="8"/>
        <v>--</v>
      </c>
      <c r="S28" s="178" t="str">
        <f t="shared" si="9"/>
        <v>SI</v>
      </c>
      <c r="T28" s="426">
        <v>0</v>
      </c>
      <c r="U28" s="6"/>
    </row>
    <row r="29" spans="2:21" s="5" customFormat="1" ht="16.5" customHeight="1">
      <c r="B29" s="50"/>
      <c r="C29" s="297">
        <v>72</v>
      </c>
      <c r="D29" s="417" t="s">
        <v>296</v>
      </c>
      <c r="E29" s="417" t="s">
        <v>302</v>
      </c>
      <c r="F29" s="418">
        <v>132</v>
      </c>
      <c r="G29" s="129">
        <f t="shared" si="0"/>
        <v>51.126</v>
      </c>
      <c r="H29" s="419">
        <v>39705.37222222222</v>
      </c>
      <c r="I29" s="176">
        <v>39705.7125</v>
      </c>
      <c r="J29" s="420">
        <f t="shared" si="1"/>
        <v>8.166666666744277</v>
      </c>
      <c r="K29" s="421">
        <f t="shared" si="2"/>
        <v>490</v>
      </c>
      <c r="L29" s="243" t="s">
        <v>222</v>
      </c>
      <c r="M29" s="178" t="str">
        <f t="shared" si="3"/>
        <v>--</v>
      </c>
      <c r="N29" s="422">
        <f t="shared" si="4"/>
        <v>40</v>
      </c>
      <c r="O29" s="423">
        <f t="shared" si="5"/>
        <v>1670.7976800000001</v>
      </c>
      <c r="P29" s="424" t="str">
        <f t="shared" si="6"/>
        <v>--</v>
      </c>
      <c r="Q29" s="425" t="str">
        <f t="shared" si="7"/>
        <v>--</v>
      </c>
      <c r="R29" s="185" t="str">
        <f t="shared" si="8"/>
        <v>--</v>
      </c>
      <c r="S29" s="178" t="str">
        <f t="shared" si="9"/>
        <v>SI</v>
      </c>
      <c r="T29" s="426">
        <f t="shared" si="10"/>
        <v>1670.7976800000001</v>
      </c>
      <c r="U29" s="6"/>
    </row>
    <row r="30" spans="2:21" s="5" customFormat="1" ht="16.5" customHeight="1">
      <c r="B30" s="50"/>
      <c r="C30" s="180">
        <v>73</v>
      </c>
      <c r="D30" s="417" t="s">
        <v>305</v>
      </c>
      <c r="E30" s="417" t="s">
        <v>306</v>
      </c>
      <c r="F30" s="418">
        <v>132</v>
      </c>
      <c r="G30" s="129">
        <f t="shared" si="0"/>
        <v>51.126</v>
      </c>
      <c r="H30" s="419">
        <v>39707.34722222222</v>
      </c>
      <c r="I30" s="176">
        <v>39707.697916666664</v>
      </c>
      <c r="J30" s="420">
        <f t="shared" si="1"/>
        <v>8.41666666668607</v>
      </c>
      <c r="K30" s="421">
        <f t="shared" si="2"/>
        <v>505</v>
      </c>
      <c r="L30" s="243" t="s">
        <v>222</v>
      </c>
      <c r="M30" s="178" t="str">
        <f t="shared" si="3"/>
        <v>--</v>
      </c>
      <c r="N30" s="422">
        <f t="shared" si="4"/>
        <v>40</v>
      </c>
      <c r="O30" s="423">
        <f t="shared" si="5"/>
        <v>1721.9236799999999</v>
      </c>
      <c r="P30" s="424" t="str">
        <f t="shared" si="6"/>
        <v>--</v>
      </c>
      <c r="Q30" s="425" t="str">
        <f t="shared" si="7"/>
        <v>--</v>
      </c>
      <c r="R30" s="185" t="str">
        <f t="shared" si="8"/>
        <v>--</v>
      </c>
      <c r="S30" s="178" t="str">
        <f t="shared" si="9"/>
        <v>SI</v>
      </c>
      <c r="T30" s="426">
        <v>0</v>
      </c>
      <c r="U30" s="6"/>
    </row>
    <row r="31" spans="2:21" s="5" customFormat="1" ht="16.5" customHeight="1">
      <c r="B31" s="50"/>
      <c r="C31" s="297">
        <v>74</v>
      </c>
      <c r="D31" s="417" t="s">
        <v>305</v>
      </c>
      <c r="E31" s="417" t="s">
        <v>306</v>
      </c>
      <c r="F31" s="418">
        <v>132</v>
      </c>
      <c r="G31" s="129">
        <f t="shared" si="0"/>
        <v>51.126</v>
      </c>
      <c r="H31" s="419">
        <v>39708.518055555556</v>
      </c>
      <c r="I31" s="176">
        <v>39708.68680555555</v>
      </c>
      <c r="J31" s="420">
        <f t="shared" si="1"/>
        <v>4.049999999930151</v>
      </c>
      <c r="K31" s="421">
        <f t="shared" si="2"/>
        <v>243</v>
      </c>
      <c r="L31" s="243" t="s">
        <v>222</v>
      </c>
      <c r="M31" s="178" t="str">
        <f t="shared" si="3"/>
        <v>--</v>
      </c>
      <c r="N31" s="422">
        <f t="shared" si="4"/>
        <v>40</v>
      </c>
      <c r="O31" s="423">
        <f t="shared" si="5"/>
        <v>828.2412</v>
      </c>
      <c r="P31" s="424" t="str">
        <f t="shared" si="6"/>
        <v>--</v>
      </c>
      <c r="Q31" s="425" t="str">
        <f t="shared" si="7"/>
        <v>--</v>
      </c>
      <c r="R31" s="185" t="str">
        <f t="shared" si="8"/>
        <v>--</v>
      </c>
      <c r="S31" s="178" t="str">
        <f t="shared" si="9"/>
        <v>SI</v>
      </c>
      <c r="T31" s="426">
        <v>0</v>
      </c>
      <c r="U31" s="6"/>
    </row>
    <row r="32" spans="2:21" s="5" customFormat="1" ht="16.5" customHeight="1">
      <c r="B32" s="50"/>
      <c r="C32" s="180">
        <v>75</v>
      </c>
      <c r="D32" s="417" t="s">
        <v>307</v>
      </c>
      <c r="E32" s="417" t="s">
        <v>308</v>
      </c>
      <c r="F32" s="418">
        <v>132</v>
      </c>
      <c r="G32" s="129">
        <f t="shared" si="0"/>
        <v>51.126</v>
      </c>
      <c r="H32" s="419">
        <v>39709.34722222222</v>
      </c>
      <c r="I32" s="176">
        <v>39709.73611111111</v>
      </c>
      <c r="J32" s="420">
        <f t="shared" si="1"/>
        <v>9.333333333372138</v>
      </c>
      <c r="K32" s="421">
        <f t="shared" si="2"/>
        <v>560</v>
      </c>
      <c r="L32" s="243" t="s">
        <v>222</v>
      </c>
      <c r="M32" s="178" t="str">
        <f t="shared" si="3"/>
        <v>--</v>
      </c>
      <c r="N32" s="422">
        <f t="shared" si="4"/>
        <v>40</v>
      </c>
      <c r="O32" s="423">
        <f t="shared" si="5"/>
        <v>1908.02232</v>
      </c>
      <c r="P32" s="424" t="str">
        <f t="shared" si="6"/>
        <v>--</v>
      </c>
      <c r="Q32" s="425" t="str">
        <f t="shared" si="7"/>
        <v>--</v>
      </c>
      <c r="R32" s="185" t="str">
        <f t="shared" si="8"/>
        <v>--</v>
      </c>
      <c r="S32" s="178" t="str">
        <f t="shared" si="9"/>
        <v>SI</v>
      </c>
      <c r="T32" s="426">
        <v>0</v>
      </c>
      <c r="U32" s="6"/>
    </row>
    <row r="33" spans="2:21" s="5" customFormat="1" ht="16.5" customHeight="1">
      <c r="B33" s="50"/>
      <c r="C33" s="297">
        <v>76</v>
      </c>
      <c r="D33" s="417" t="s">
        <v>279</v>
      </c>
      <c r="E33" s="417" t="s">
        <v>309</v>
      </c>
      <c r="F33" s="418">
        <v>132</v>
      </c>
      <c r="G33" s="129">
        <f t="shared" si="0"/>
        <v>51.126</v>
      </c>
      <c r="H33" s="419">
        <v>39710.3</v>
      </c>
      <c r="I33" s="176">
        <v>39710.60277777778</v>
      </c>
      <c r="J33" s="420">
        <f t="shared" si="1"/>
        <v>7.2666666666045785</v>
      </c>
      <c r="K33" s="421">
        <f t="shared" si="2"/>
        <v>436</v>
      </c>
      <c r="L33" s="243" t="s">
        <v>222</v>
      </c>
      <c r="M33" s="178" t="str">
        <f t="shared" si="3"/>
        <v>--</v>
      </c>
      <c r="N33" s="422">
        <f t="shared" si="4"/>
        <v>40</v>
      </c>
      <c r="O33" s="423">
        <f t="shared" si="5"/>
        <v>1486.74408</v>
      </c>
      <c r="P33" s="424" t="str">
        <f t="shared" si="6"/>
        <v>--</v>
      </c>
      <c r="Q33" s="425" t="str">
        <f t="shared" si="7"/>
        <v>--</v>
      </c>
      <c r="R33" s="185" t="str">
        <f t="shared" si="8"/>
        <v>--</v>
      </c>
      <c r="S33" s="178" t="str">
        <f t="shared" si="9"/>
        <v>SI</v>
      </c>
      <c r="T33" s="426">
        <v>0</v>
      </c>
      <c r="U33" s="6"/>
    </row>
    <row r="34" spans="2:21" s="5" customFormat="1" ht="16.5" customHeight="1">
      <c r="B34" s="50"/>
      <c r="C34" s="180">
        <v>77</v>
      </c>
      <c r="D34" s="417" t="s">
        <v>279</v>
      </c>
      <c r="E34" s="417" t="s">
        <v>310</v>
      </c>
      <c r="F34" s="418">
        <v>132</v>
      </c>
      <c r="G34" s="129">
        <f t="shared" si="0"/>
        <v>51.126</v>
      </c>
      <c r="H34" s="419">
        <v>39710.302083333336</v>
      </c>
      <c r="I34" s="176">
        <v>39710.60972222222</v>
      </c>
      <c r="J34" s="420">
        <f t="shared" si="1"/>
        <v>7.383333333302289</v>
      </c>
      <c r="K34" s="421">
        <f t="shared" si="2"/>
        <v>443</v>
      </c>
      <c r="L34" s="243" t="s">
        <v>222</v>
      </c>
      <c r="M34" s="178" t="str">
        <f t="shared" si="3"/>
        <v>--</v>
      </c>
      <c r="N34" s="422">
        <f t="shared" si="4"/>
        <v>40</v>
      </c>
      <c r="O34" s="423">
        <f t="shared" si="5"/>
        <v>1509.23952</v>
      </c>
      <c r="P34" s="424" t="str">
        <f t="shared" si="6"/>
        <v>--</v>
      </c>
      <c r="Q34" s="425" t="str">
        <f t="shared" si="7"/>
        <v>--</v>
      </c>
      <c r="R34" s="185" t="str">
        <f t="shared" si="8"/>
        <v>--</v>
      </c>
      <c r="S34" s="178" t="str">
        <f t="shared" si="9"/>
        <v>SI</v>
      </c>
      <c r="T34" s="426">
        <f t="shared" si="10"/>
        <v>1509.23952</v>
      </c>
      <c r="U34" s="6"/>
    </row>
    <row r="35" spans="2:21" s="5" customFormat="1" ht="16.5" customHeight="1">
      <c r="B35" s="50"/>
      <c r="C35" s="297">
        <v>78</v>
      </c>
      <c r="D35" s="417" t="s">
        <v>296</v>
      </c>
      <c r="E35" s="417" t="s">
        <v>311</v>
      </c>
      <c r="F35" s="418">
        <v>132</v>
      </c>
      <c r="G35" s="129">
        <f t="shared" si="0"/>
        <v>51.126</v>
      </c>
      <c r="H35" s="419">
        <v>39710.38055555556</v>
      </c>
      <c r="I35" s="176">
        <v>39710.635416666664</v>
      </c>
      <c r="J35" s="420">
        <f t="shared" si="1"/>
        <v>6.116666666523088</v>
      </c>
      <c r="K35" s="421">
        <f t="shared" si="2"/>
        <v>367</v>
      </c>
      <c r="L35" s="243" t="s">
        <v>222</v>
      </c>
      <c r="M35" s="178" t="str">
        <f t="shared" si="3"/>
        <v>--</v>
      </c>
      <c r="N35" s="422">
        <f t="shared" si="4"/>
        <v>40</v>
      </c>
      <c r="O35" s="423">
        <f t="shared" si="5"/>
        <v>1251.56448</v>
      </c>
      <c r="P35" s="424" t="str">
        <f t="shared" si="6"/>
        <v>--</v>
      </c>
      <c r="Q35" s="425" t="str">
        <f t="shared" si="7"/>
        <v>--</v>
      </c>
      <c r="R35" s="185" t="str">
        <f t="shared" si="8"/>
        <v>--</v>
      </c>
      <c r="S35" s="178" t="str">
        <f t="shared" si="9"/>
        <v>SI</v>
      </c>
      <c r="T35" s="426">
        <v>0</v>
      </c>
      <c r="U35" s="6"/>
    </row>
    <row r="36" spans="2:21" s="5" customFormat="1" ht="16.5" customHeight="1">
      <c r="B36" s="50"/>
      <c r="C36" s="180">
        <v>79</v>
      </c>
      <c r="D36" s="417" t="s">
        <v>279</v>
      </c>
      <c r="E36" s="417" t="s">
        <v>309</v>
      </c>
      <c r="F36" s="418">
        <v>132</v>
      </c>
      <c r="G36" s="129">
        <f t="shared" si="0"/>
        <v>51.126</v>
      </c>
      <c r="H36" s="419">
        <v>39711.29305555556</v>
      </c>
      <c r="I36" s="176">
        <v>39711.720138888886</v>
      </c>
      <c r="J36" s="420">
        <f t="shared" si="1"/>
        <v>10.249999999883585</v>
      </c>
      <c r="K36" s="421">
        <f t="shared" si="2"/>
        <v>615</v>
      </c>
      <c r="L36" s="243" t="s">
        <v>222</v>
      </c>
      <c r="M36" s="178" t="str">
        <f t="shared" si="3"/>
        <v>--</v>
      </c>
      <c r="N36" s="422">
        <f t="shared" si="4"/>
        <v>40</v>
      </c>
      <c r="O36" s="423">
        <f t="shared" si="5"/>
        <v>2096.166</v>
      </c>
      <c r="P36" s="424" t="str">
        <f t="shared" si="6"/>
        <v>--</v>
      </c>
      <c r="Q36" s="425" t="str">
        <f t="shared" si="7"/>
        <v>--</v>
      </c>
      <c r="R36" s="185" t="str">
        <f t="shared" si="8"/>
        <v>--</v>
      </c>
      <c r="S36" s="178" t="str">
        <f t="shared" si="9"/>
        <v>SI</v>
      </c>
      <c r="T36" s="426">
        <f t="shared" si="10"/>
        <v>2096.166</v>
      </c>
      <c r="U36" s="6"/>
    </row>
    <row r="37" spans="2:21" s="5" customFormat="1" ht="16.5" customHeight="1">
      <c r="B37" s="50"/>
      <c r="C37" s="297">
        <v>80</v>
      </c>
      <c r="D37" s="417" t="s">
        <v>279</v>
      </c>
      <c r="E37" s="417" t="s">
        <v>310</v>
      </c>
      <c r="F37" s="418">
        <v>132</v>
      </c>
      <c r="G37" s="129">
        <f t="shared" si="0"/>
        <v>51.126</v>
      </c>
      <c r="H37" s="419">
        <v>39711.29375</v>
      </c>
      <c r="I37" s="176">
        <v>39711.72083333333</v>
      </c>
      <c r="J37" s="420">
        <f t="shared" si="1"/>
        <v>10.250000000058208</v>
      </c>
      <c r="K37" s="421">
        <f t="shared" si="2"/>
        <v>615</v>
      </c>
      <c r="L37" s="243" t="s">
        <v>222</v>
      </c>
      <c r="M37" s="178" t="str">
        <f t="shared" si="3"/>
        <v>--</v>
      </c>
      <c r="N37" s="422">
        <f t="shared" si="4"/>
        <v>40</v>
      </c>
      <c r="O37" s="423">
        <f t="shared" si="5"/>
        <v>2096.166</v>
      </c>
      <c r="P37" s="424" t="str">
        <f t="shared" si="6"/>
        <v>--</v>
      </c>
      <c r="Q37" s="425" t="str">
        <f t="shared" si="7"/>
        <v>--</v>
      </c>
      <c r="R37" s="185" t="str">
        <f t="shared" si="8"/>
        <v>--</v>
      </c>
      <c r="S37" s="178" t="str">
        <f t="shared" si="9"/>
        <v>SI</v>
      </c>
      <c r="T37" s="426">
        <f t="shared" si="10"/>
        <v>2096.166</v>
      </c>
      <c r="U37" s="6"/>
    </row>
    <row r="38" spans="2:21" s="5" customFormat="1" ht="16.5" customHeight="1">
      <c r="B38" s="50"/>
      <c r="C38" s="180">
        <v>81</v>
      </c>
      <c r="D38" s="417" t="s">
        <v>272</v>
      </c>
      <c r="E38" s="417" t="s">
        <v>312</v>
      </c>
      <c r="F38" s="418">
        <v>132</v>
      </c>
      <c r="G38" s="129">
        <f t="shared" si="0"/>
        <v>51.126</v>
      </c>
      <c r="H38" s="419">
        <v>39711.40069444444</v>
      </c>
      <c r="I38" s="176">
        <v>39711.61111111111</v>
      </c>
      <c r="J38" s="420">
        <f t="shared" si="1"/>
        <v>5.050000000046566</v>
      </c>
      <c r="K38" s="421">
        <f t="shared" si="2"/>
        <v>303</v>
      </c>
      <c r="L38" s="243" t="s">
        <v>222</v>
      </c>
      <c r="M38" s="178" t="str">
        <f t="shared" si="3"/>
        <v>--</v>
      </c>
      <c r="N38" s="422">
        <f t="shared" si="4"/>
        <v>40</v>
      </c>
      <c r="O38" s="423">
        <f t="shared" si="5"/>
        <v>1032.7452</v>
      </c>
      <c r="P38" s="424" t="str">
        <f t="shared" si="6"/>
        <v>--</v>
      </c>
      <c r="Q38" s="425" t="str">
        <f t="shared" si="7"/>
        <v>--</v>
      </c>
      <c r="R38" s="185" t="str">
        <f t="shared" si="8"/>
        <v>--</v>
      </c>
      <c r="S38" s="178" t="str">
        <f t="shared" si="9"/>
        <v>SI</v>
      </c>
      <c r="T38" s="426">
        <f t="shared" si="10"/>
        <v>1032.7452</v>
      </c>
      <c r="U38" s="6"/>
    </row>
    <row r="39" spans="2:21" s="5" customFormat="1" ht="16.5" customHeight="1">
      <c r="B39" s="50"/>
      <c r="C39" s="297">
        <v>82</v>
      </c>
      <c r="D39" s="417" t="s">
        <v>284</v>
      </c>
      <c r="E39" s="417" t="s">
        <v>313</v>
      </c>
      <c r="F39" s="418">
        <v>132</v>
      </c>
      <c r="G39" s="129">
        <f t="shared" si="0"/>
        <v>51.126</v>
      </c>
      <c r="H39" s="419">
        <v>39712.325</v>
      </c>
      <c r="I39" s="176">
        <v>39712.467361111114</v>
      </c>
      <c r="J39" s="420">
        <f t="shared" si="1"/>
        <v>3.4166666668024845</v>
      </c>
      <c r="K39" s="421">
        <f t="shared" si="2"/>
        <v>205</v>
      </c>
      <c r="L39" s="243" t="s">
        <v>222</v>
      </c>
      <c r="M39" s="178" t="str">
        <f t="shared" si="3"/>
        <v>--</v>
      </c>
      <c r="N39" s="422">
        <f t="shared" si="4"/>
        <v>40</v>
      </c>
      <c r="O39" s="423">
        <f t="shared" si="5"/>
        <v>699.40368</v>
      </c>
      <c r="P39" s="424" t="str">
        <f t="shared" si="6"/>
        <v>--</v>
      </c>
      <c r="Q39" s="425" t="str">
        <f t="shared" si="7"/>
        <v>--</v>
      </c>
      <c r="R39" s="185" t="str">
        <f t="shared" si="8"/>
        <v>--</v>
      </c>
      <c r="S39" s="178" t="str">
        <f t="shared" si="9"/>
        <v>SI</v>
      </c>
      <c r="T39" s="426">
        <v>0</v>
      </c>
      <c r="U39" s="6"/>
    </row>
    <row r="40" spans="2:21" s="5" customFormat="1" ht="16.5" customHeight="1">
      <c r="B40" s="50"/>
      <c r="C40" s="180">
        <v>83</v>
      </c>
      <c r="D40" s="417" t="s">
        <v>284</v>
      </c>
      <c r="E40" s="417" t="s">
        <v>314</v>
      </c>
      <c r="F40" s="418">
        <v>132</v>
      </c>
      <c r="G40" s="129">
        <f t="shared" si="0"/>
        <v>51.126</v>
      </c>
      <c r="H40" s="419">
        <v>39712.32847222222</v>
      </c>
      <c r="I40" s="176">
        <v>39712.467361111114</v>
      </c>
      <c r="J40" s="420">
        <f t="shared" si="1"/>
        <v>3.3333333333721384</v>
      </c>
      <c r="K40" s="421">
        <f t="shared" si="2"/>
        <v>200</v>
      </c>
      <c r="L40" s="243" t="s">
        <v>222</v>
      </c>
      <c r="M40" s="178" t="str">
        <f t="shared" si="3"/>
        <v>--</v>
      </c>
      <c r="N40" s="422">
        <f t="shared" si="4"/>
        <v>40</v>
      </c>
      <c r="O40" s="423">
        <f t="shared" si="5"/>
        <v>680.99832</v>
      </c>
      <c r="P40" s="424" t="str">
        <f t="shared" si="6"/>
        <v>--</v>
      </c>
      <c r="Q40" s="425" t="str">
        <f t="shared" si="7"/>
        <v>--</v>
      </c>
      <c r="R40" s="185" t="str">
        <f t="shared" si="8"/>
        <v>--</v>
      </c>
      <c r="S40" s="178" t="str">
        <f t="shared" si="9"/>
        <v>SI</v>
      </c>
      <c r="T40" s="426">
        <v>0</v>
      </c>
      <c r="U40" s="6"/>
    </row>
    <row r="41" spans="2:21" s="5" customFormat="1" ht="16.5" customHeight="1">
      <c r="B41" s="50"/>
      <c r="C41" s="297">
        <v>84</v>
      </c>
      <c r="D41" s="417" t="s">
        <v>272</v>
      </c>
      <c r="E41" s="417" t="s">
        <v>315</v>
      </c>
      <c r="F41" s="418">
        <v>132</v>
      </c>
      <c r="G41" s="129">
        <f t="shared" si="0"/>
        <v>51.126</v>
      </c>
      <c r="H41" s="419">
        <v>39712.334027777775</v>
      </c>
      <c r="I41" s="176">
        <v>39712.51597222222</v>
      </c>
      <c r="J41" s="420">
        <f t="shared" si="1"/>
        <v>4.366666666755918</v>
      </c>
      <c r="K41" s="421">
        <f t="shared" si="2"/>
        <v>262</v>
      </c>
      <c r="L41" s="243" t="s">
        <v>222</v>
      </c>
      <c r="M41" s="178" t="str">
        <f t="shared" si="3"/>
        <v>--</v>
      </c>
      <c r="N41" s="422">
        <f t="shared" si="4"/>
        <v>40</v>
      </c>
      <c r="O41" s="423">
        <f t="shared" si="5"/>
        <v>893.68248</v>
      </c>
      <c r="P41" s="424" t="str">
        <f t="shared" si="6"/>
        <v>--</v>
      </c>
      <c r="Q41" s="425" t="str">
        <f t="shared" si="7"/>
        <v>--</v>
      </c>
      <c r="R41" s="185" t="str">
        <f t="shared" si="8"/>
        <v>--</v>
      </c>
      <c r="S41" s="178" t="str">
        <f t="shared" si="9"/>
        <v>SI</v>
      </c>
      <c r="T41" s="426">
        <v>0</v>
      </c>
      <c r="U41" s="6"/>
    </row>
    <row r="42" spans="2:21" s="5" customFormat="1" ht="16.5" customHeight="1">
      <c r="B42" s="50"/>
      <c r="C42" s="180">
        <v>85</v>
      </c>
      <c r="D42" s="417" t="s">
        <v>279</v>
      </c>
      <c r="E42" s="417" t="s">
        <v>310</v>
      </c>
      <c r="F42" s="418">
        <v>132</v>
      </c>
      <c r="G42" s="129">
        <f t="shared" si="0"/>
        <v>51.126</v>
      </c>
      <c r="H42" s="419">
        <v>39712.33611111111</v>
      </c>
      <c r="I42" s="176">
        <v>39712.697222222225</v>
      </c>
      <c r="J42" s="420">
        <f t="shared" si="1"/>
        <v>8.666666666802485</v>
      </c>
      <c r="K42" s="421">
        <f t="shared" si="2"/>
        <v>520</v>
      </c>
      <c r="L42" s="243" t="s">
        <v>222</v>
      </c>
      <c r="M42" s="178" t="str">
        <f t="shared" si="3"/>
        <v>--</v>
      </c>
      <c r="N42" s="422">
        <f t="shared" si="4"/>
        <v>40</v>
      </c>
      <c r="O42" s="423">
        <f t="shared" si="5"/>
        <v>1773.04968</v>
      </c>
      <c r="P42" s="424" t="str">
        <f t="shared" si="6"/>
        <v>--</v>
      </c>
      <c r="Q42" s="425" t="str">
        <f t="shared" si="7"/>
        <v>--</v>
      </c>
      <c r="R42" s="185" t="str">
        <f t="shared" si="8"/>
        <v>--</v>
      </c>
      <c r="S42" s="178" t="str">
        <f t="shared" si="9"/>
        <v>SI</v>
      </c>
      <c r="T42" s="426">
        <f t="shared" si="10"/>
        <v>1773.04968</v>
      </c>
      <c r="U42" s="6"/>
    </row>
    <row r="43" spans="2:21" s="5" customFormat="1" ht="16.5" customHeight="1">
      <c r="B43" s="50"/>
      <c r="C43" s="297">
        <v>86</v>
      </c>
      <c r="D43" s="417" t="s">
        <v>279</v>
      </c>
      <c r="E43" s="417" t="s">
        <v>309</v>
      </c>
      <c r="F43" s="418">
        <v>132</v>
      </c>
      <c r="G43" s="129">
        <f t="shared" si="0"/>
        <v>51.126</v>
      </c>
      <c r="H43" s="419">
        <v>39712.336805555555</v>
      </c>
      <c r="I43" s="176">
        <v>39712.69583333333</v>
      </c>
      <c r="J43" s="420">
        <f t="shared" si="1"/>
        <v>8.616666666639503</v>
      </c>
      <c r="K43" s="421">
        <f t="shared" si="2"/>
        <v>517</v>
      </c>
      <c r="L43" s="243" t="s">
        <v>222</v>
      </c>
      <c r="M43" s="178" t="str">
        <f t="shared" si="3"/>
        <v>--</v>
      </c>
      <c r="N43" s="422">
        <f t="shared" si="4"/>
        <v>40</v>
      </c>
      <c r="O43" s="423">
        <f t="shared" si="5"/>
        <v>1762.8244799999998</v>
      </c>
      <c r="P43" s="424" t="str">
        <f t="shared" si="6"/>
        <v>--</v>
      </c>
      <c r="Q43" s="425" t="str">
        <f t="shared" si="7"/>
        <v>--</v>
      </c>
      <c r="R43" s="185" t="str">
        <f t="shared" si="8"/>
        <v>--</v>
      </c>
      <c r="S43" s="178" t="str">
        <f t="shared" si="9"/>
        <v>SI</v>
      </c>
      <c r="T43" s="426">
        <f t="shared" si="10"/>
        <v>1762.8244799999998</v>
      </c>
      <c r="U43" s="6"/>
    </row>
    <row r="44" spans="2:21" s="5" customFormat="1" ht="16.5" customHeight="1" thickBot="1">
      <c r="B44" s="50"/>
      <c r="C44" s="180"/>
      <c r="D44" s="172"/>
      <c r="E44" s="172"/>
      <c r="F44" s="251"/>
      <c r="G44" s="130"/>
      <c r="H44" s="427"/>
      <c r="I44" s="427"/>
      <c r="J44" s="428"/>
      <c r="K44" s="428"/>
      <c r="L44" s="427"/>
      <c r="M44" s="177"/>
      <c r="N44" s="429"/>
      <c r="O44" s="430"/>
      <c r="P44" s="431"/>
      <c r="Q44" s="432"/>
      <c r="R44" s="187"/>
      <c r="S44" s="177"/>
      <c r="T44" s="433"/>
      <c r="U44" s="6"/>
    </row>
    <row r="45" spans="2:21" s="5" customFormat="1" ht="16.5" customHeight="1" thickBot="1" thickTop="1">
      <c r="B45" s="50"/>
      <c r="C45" s="126" t="s">
        <v>23</v>
      </c>
      <c r="D45" s="127"/>
      <c r="E45"/>
      <c r="F45" s="4"/>
      <c r="G45" s="4"/>
      <c r="H45" s="4"/>
      <c r="I45" s="4"/>
      <c r="J45" s="4"/>
      <c r="K45" s="4"/>
      <c r="L45" s="4"/>
      <c r="M45" s="4"/>
      <c r="N45" s="4"/>
      <c r="O45" s="434">
        <f>SUM(O22:O44)</f>
        <v>40305.952880000004</v>
      </c>
      <c r="P45" s="435">
        <f>SUM(P22:P44)</f>
        <v>0</v>
      </c>
      <c r="Q45" s="436">
        <f>SUM(Q22:Q44)</f>
        <v>1676.9327999999998</v>
      </c>
      <c r="R45" s="437">
        <f>SUM(R22:R44)</f>
        <v>0</v>
      </c>
      <c r="S45" s="438"/>
      <c r="T45" s="99">
        <f>ROUND(SUM(T22:T44),2)</f>
        <v>33395.5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202"/>
      <c r="V47" s="202"/>
      <c r="W47" s="202"/>
    </row>
    <row r="48" spans="21:23" ht="16.5" customHeight="1">
      <c r="U48" s="202"/>
      <c r="V48" s="202"/>
      <c r="W48" s="202"/>
    </row>
    <row r="49" spans="21:23" ht="16.5" customHeight="1">
      <c r="U49" s="202"/>
      <c r="V49" s="202"/>
      <c r="W49" s="202"/>
    </row>
    <row r="50" spans="21:23" ht="16.5" customHeight="1">
      <c r="U50" s="202"/>
      <c r="V50" s="202"/>
      <c r="W50" s="202"/>
    </row>
    <row r="51" spans="21:23" ht="16.5" customHeight="1">
      <c r="U51" s="202"/>
      <c r="V51" s="202"/>
      <c r="W51" s="202"/>
    </row>
    <row r="52" spans="4:23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spans="4:23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spans="4:23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</row>
    <row r="55" spans="4:23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spans="4:23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4:23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4:23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4:23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4:23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4:23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4:23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spans="4:23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spans="4:23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4:23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4:23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spans="4:23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spans="4:23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spans="4:23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4:23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spans="4:23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4:23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4:23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spans="4:23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spans="4:23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spans="4:23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spans="4:23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spans="4:23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spans="4:23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4:23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4:23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4:23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4:23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4:23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4:23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4:23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4:23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4:23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4:23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4:23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4:23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4:23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4:23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4:23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4:23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4:23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4:23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4:23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4:23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4:23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4:23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4:23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4:23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4:23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4:23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4:23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4:23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4:23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4:23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4:23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4:23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4:23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4:23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4:23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4:23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4:23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4:23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4:23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4:23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4:23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4:23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4:23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4:23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4:23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4:23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4:23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4:23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4:23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4:23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4:23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4:23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4:23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4:23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4:23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4:23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4:23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4:23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4:23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4:23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4:23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4:23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4:23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4:23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4:23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4:23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4:23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4:23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4:23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4:23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4:23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4:23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4:23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4:23" ht="16.5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4:23" ht="16.5" customHeight="1"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4:23" ht="16.5" customHeight="1"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4:23" ht="16.5" customHeight="1"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4:23" ht="16.5" customHeight="1"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spans="4:23" ht="16.5" customHeight="1"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  <row r="159" spans="4:23" ht="16.5" customHeight="1"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W158"/>
  <sheetViews>
    <sheetView zoomScale="75" zoomScaleNormal="75" workbookViewId="0" topLeftCell="A1">
      <selection activeCell="D40" sqref="D4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2" t="s">
        <v>231</v>
      </c>
      <c r="E10" s="374"/>
      <c r="F10" s="104"/>
      <c r="G10" s="107"/>
      <c r="I10" s="107"/>
      <c r="J10" s="107"/>
      <c r="K10" s="107"/>
      <c r="L10" s="107"/>
      <c r="M10" s="107"/>
      <c r="N10" s="107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5"/>
      <c r="E11" s="375"/>
      <c r="F11" s="88"/>
      <c r="G11" s="95"/>
      <c r="H11" s="52"/>
      <c r="I11" s="95"/>
      <c r="J11" s="95"/>
      <c r="K11" s="95"/>
      <c r="L11" s="95"/>
      <c r="M11" s="95"/>
      <c r="N11" s="95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2" t="s">
        <v>75</v>
      </c>
      <c r="E12" s="374"/>
      <c r="F12" s="104"/>
      <c r="G12" s="107"/>
      <c r="I12" s="107"/>
      <c r="J12" s="107"/>
      <c r="K12" s="107"/>
      <c r="L12" s="107"/>
      <c r="M12" s="107"/>
      <c r="N12" s="107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5"/>
      <c r="E13" s="375"/>
      <c r="F13" s="88"/>
      <c r="G13" s="95"/>
      <c r="H13" s="52"/>
      <c r="I13" s="95"/>
      <c r="J13" s="95"/>
      <c r="K13" s="95"/>
      <c r="L13" s="95"/>
      <c r="M13" s="95"/>
      <c r="N13" s="95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'TOT-0908'!B14</f>
        <v>Desde el 01 al 30 de septiembre de 2008</v>
      </c>
      <c r="C14" s="40"/>
      <c r="D14" s="40"/>
      <c r="E14" s="40"/>
      <c r="F14" s="40"/>
      <c r="G14" s="376"/>
      <c r="H14" s="376"/>
      <c r="I14" s="376"/>
      <c r="J14" s="376"/>
      <c r="K14" s="376"/>
      <c r="L14" s="376"/>
      <c r="M14" s="376"/>
      <c r="N14" s="376"/>
      <c r="O14" s="40"/>
      <c r="P14" s="40"/>
      <c r="Q14" s="40"/>
      <c r="R14" s="40"/>
      <c r="S14" s="40"/>
      <c r="T14" s="40"/>
      <c r="U14" s="377"/>
    </row>
    <row r="15" spans="2:21" s="5" customFormat="1" ht="14.25" thickBot="1">
      <c r="B15" s="378"/>
      <c r="C15" s="379"/>
      <c r="D15" s="379"/>
      <c r="E15" s="379"/>
      <c r="F15" s="379"/>
      <c r="G15" s="380"/>
      <c r="H15" s="380"/>
      <c r="I15" s="380"/>
      <c r="J15" s="380"/>
      <c r="K15" s="380"/>
      <c r="L15" s="380"/>
      <c r="M15" s="380"/>
      <c r="N15" s="380"/>
      <c r="O15" s="379"/>
      <c r="P15" s="379"/>
      <c r="Q15" s="379"/>
      <c r="R15" s="379"/>
      <c r="S15" s="379"/>
      <c r="T15" s="379"/>
      <c r="U15" s="381"/>
    </row>
    <row r="16" spans="2:21" s="5" customFormat="1" ht="15" thickBot="1" thickTop="1">
      <c r="B16" s="50"/>
      <c r="C16" s="4"/>
      <c r="D16" s="382"/>
      <c r="E16" s="382"/>
      <c r="F16" s="116" t="s">
        <v>76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77</v>
      </c>
      <c r="E17" s="384">
        <v>63.904</v>
      </c>
      <c r="F17" s="385">
        <v>200</v>
      </c>
      <c r="T17" s="114"/>
      <c r="U17" s="6"/>
    </row>
    <row r="18" spans="2:21" s="5" customFormat="1" ht="16.5" customHeight="1" thickBot="1" thickTop="1">
      <c r="B18" s="50"/>
      <c r="C18" s="4"/>
      <c r="D18" s="386" t="s">
        <v>78</v>
      </c>
      <c r="E18" s="387">
        <v>57.511</v>
      </c>
      <c r="F18" s="38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8" t="s">
        <v>79</v>
      </c>
      <c r="E19" s="387">
        <v>51.126</v>
      </c>
      <c r="F19" s="385">
        <v>40</v>
      </c>
      <c r="I19" s="226"/>
      <c r="J19" s="227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9"/>
      <c r="D20" s="390"/>
      <c r="E20" s="390"/>
      <c r="F20" s="391"/>
      <c r="G20" s="392"/>
      <c r="H20" s="392"/>
      <c r="I20" s="392"/>
      <c r="J20" s="392"/>
      <c r="K20" s="392"/>
      <c r="L20" s="392"/>
      <c r="M20" s="392"/>
      <c r="N20" s="393"/>
      <c r="O20" s="394"/>
      <c r="P20" s="395"/>
      <c r="Q20" s="395"/>
      <c r="R20" s="395"/>
      <c r="S20" s="396"/>
      <c r="T20" s="397"/>
      <c r="U20" s="6"/>
    </row>
    <row r="21" spans="2:21" s="5" customFormat="1" ht="33.75" customHeight="1" thickBot="1" thickTop="1">
      <c r="B21" s="50"/>
      <c r="C21" s="84" t="s">
        <v>12</v>
      </c>
      <c r="D21" s="86" t="s">
        <v>25</v>
      </c>
      <c r="E21" s="398" t="s">
        <v>26</v>
      </c>
      <c r="F21" s="399" t="s">
        <v>13</v>
      </c>
      <c r="G21" s="128" t="s">
        <v>15</v>
      </c>
      <c r="H21" s="85" t="s">
        <v>16</v>
      </c>
      <c r="I21" s="398" t="s">
        <v>17</v>
      </c>
      <c r="J21" s="400" t="s">
        <v>34</v>
      </c>
      <c r="K21" s="400" t="s">
        <v>29</v>
      </c>
      <c r="L21" s="87" t="s">
        <v>18</v>
      </c>
      <c r="M21" s="204" t="s">
        <v>30</v>
      </c>
      <c r="N21" s="134" t="s">
        <v>35</v>
      </c>
      <c r="O21" s="401" t="s">
        <v>67</v>
      </c>
      <c r="P21" s="205" t="s">
        <v>33</v>
      </c>
      <c r="Q21" s="402"/>
      <c r="R21" s="133" t="s">
        <v>21</v>
      </c>
      <c r="S21" s="131" t="s">
        <v>70</v>
      </c>
      <c r="T21" s="120" t="s">
        <v>22</v>
      </c>
      <c r="U21" s="6"/>
    </row>
    <row r="22" spans="2:21" s="5" customFormat="1" ht="16.5" customHeight="1" thickTop="1">
      <c r="B22" s="50"/>
      <c r="C22" s="7"/>
      <c r="D22" s="403"/>
      <c r="E22" s="403"/>
      <c r="F22" s="403"/>
      <c r="G22" s="241"/>
      <c r="H22" s="403"/>
      <c r="I22" s="403"/>
      <c r="J22" s="403"/>
      <c r="K22" s="403"/>
      <c r="L22" s="403"/>
      <c r="M22" s="403"/>
      <c r="N22" s="404"/>
      <c r="O22" s="405"/>
      <c r="P22" s="406"/>
      <c r="Q22" s="407"/>
      <c r="R22" s="408"/>
      <c r="S22" s="403"/>
      <c r="T22" s="409">
        <f>'SA-09 (2)'!T45</f>
        <v>33395.5</v>
      </c>
      <c r="U22" s="6"/>
    </row>
    <row r="23" spans="2:21" s="5" customFormat="1" ht="16.5" customHeight="1">
      <c r="B23" s="50"/>
      <c r="C23" s="297"/>
      <c r="D23" s="410"/>
      <c r="E23" s="410"/>
      <c r="F23" s="410"/>
      <c r="G23" s="411"/>
      <c r="H23" s="410"/>
      <c r="I23" s="410"/>
      <c r="J23" s="410"/>
      <c r="K23" s="410"/>
      <c r="L23" s="410"/>
      <c r="M23" s="410"/>
      <c r="N23" s="412"/>
      <c r="O23" s="413"/>
      <c r="P23" s="215"/>
      <c r="Q23" s="414"/>
      <c r="R23" s="415"/>
      <c r="S23" s="410"/>
      <c r="T23" s="416"/>
      <c r="U23" s="6"/>
    </row>
    <row r="24" spans="2:21" s="5" customFormat="1" ht="16.5" customHeight="1">
      <c r="B24" s="50"/>
      <c r="C24" s="180">
        <v>87</v>
      </c>
      <c r="D24" s="417" t="s">
        <v>272</v>
      </c>
      <c r="E24" s="417" t="s">
        <v>316</v>
      </c>
      <c r="F24" s="418">
        <v>132</v>
      </c>
      <c r="G24" s="129">
        <f aca="true" t="shared" si="0" ref="G24:G42">IF(F24=500,$E$17,IF(F24=220,$E$18,$E$19))</f>
        <v>51.126</v>
      </c>
      <c r="H24" s="419">
        <v>39712.379166666666</v>
      </c>
      <c r="I24" s="176">
        <v>39712.5625</v>
      </c>
      <c r="J24" s="420">
        <f aca="true" t="shared" si="1" ref="J24:J42">IF(D24="","",(I24-H24)*24)</f>
        <v>4.400000000023283</v>
      </c>
      <c r="K24" s="421">
        <f aca="true" t="shared" si="2" ref="K24:K42">IF(D24="","",ROUND((I24-H24)*24*60,0))</f>
        <v>264</v>
      </c>
      <c r="L24" s="243" t="s">
        <v>222</v>
      </c>
      <c r="M24" s="178" t="str">
        <f aca="true" t="shared" si="3" ref="M24:M42">IF(D24="","",IF(L24="P","--","NO"))</f>
        <v>--</v>
      </c>
      <c r="N24" s="422">
        <f aca="true" t="shared" si="4" ref="N24:N42">IF(F24=500,$F$17,IF(F24=220,$F$18,$F$19))</f>
        <v>40</v>
      </c>
      <c r="O24" s="423">
        <f aca="true" t="shared" si="5" ref="O24:O42">IF(L24="P",G24*N24*ROUND(K24/60,2)*0.1,"--")</f>
        <v>899.8176000000002</v>
      </c>
      <c r="P24" s="424" t="str">
        <f aca="true" t="shared" si="6" ref="P24:P42">IF(AND(L24="F",M24="NO"),G24*N24,"--")</f>
        <v>--</v>
      </c>
      <c r="Q24" s="425" t="str">
        <f aca="true" t="shared" si="7" ref="Q24:Q42">IF(L24="F",G24*N24*ROUND(K24/60,2),"--")</f>
        <v>--</v>
      </c>
      <c r="R24" s="185" t="str">
        <f aca="true" t="shared" si="8" ref="R24:R42">IF(L24="RF",G24*N24*ROUND(K24/60,2),"--")</f>
        <v>--</v>
      </c>
      <c r="S24" s="178" t="str">
        <f aca="true" t="shared" si="9" ref="S24:S42">IF(D24="","","SI")</f>
        <v>SI</v>
      </c>
      <c r="T24" s="426">
        <f aca="true" t="shared" si="10" ref="T24:T42">IF(D24="","",SUM(O24:R24)*IF(S24="SI",1,2))</f>
        <v>899.8176000000002</v>
      </c>
      <c r="U24" s="6"/>
    </row>
    <row r="25" spans="2:21" s="5" customFormat="1" ht="16.5" customHeight="1">
      <c r="B25" s="50"/>
      <c r="C25" s="297">
        <v>88</v>
      </c>
      <c r="D25" s="417" t="s">
        <v>284</v>
      </c>
      <c r="E25" s="417" t="s">
        <v>317</v>
      </c>
      <c r="F25" s="418">
        <v>132</v>
      </c>
      <c r="G25" s="129">
        <f t="shared" si="0"/>
        <v>51.126</v>
      </c>
      <c r="H25" s="419">
        <v>39712.48125</v>
      </c>
      <c r="I25" s="176">
        <v>39712.68541666667</v>
      </c>
      <c r="J25" s="420">
        <f t="shared" si="1"/>
        <v>4.900000000081491</v>
      </c>
      <c r="K25" s="421">
        <f t="shared" si="2"/>
        <v>294</v>
      </c>
      <c r="L25" s="243" t="s">
        <v>222</v>
      </c>
      <c r="M25" s="178" t="str">
        <f t="shared" si="3"/>
        <v>--</v>
      </c>
      <c r="N25" s="422">
        <f t="shared" si="4"/>
        <v>40</v>
      </c>
      <c r="O25" s="423">
        <f t="shared" si="5"/>
        <v>1002.0696</v>
      </c>
      <c r="P25" s="424" t="str">
        <f t="shared" si="6"/>
        <v>--</v>
      </c>
      <c r="Q25" s="425" t="str">
        <f t="shared" si="7"/>
        <v>--</v>
      </c>
      <c r="R25" s="185" t="str">
        <f t="shared" si="8"/>
        <v>--</v>
      </c>
      <c r="S25" s="178" t="str">
        <f t="shared" si="9"/>
        <v>SI</v>
      </c>
      <c r="T25" s="426">
        <v>0</v>
      </c>
      <c r="U25" s="6"/>
    </row>
    <row r="26" spans="2:21" s="5" customFormat="1" ht="16.5" customHeight="1">
      <c r="B26" s="50"/>
      <c r="C26" s="180">
        <v>89</v>
      </c>
      <c r="D26" s="417" t="s">
        <v>307</v>
      </c>
      <c r="E26" s="417" t="s">
        <v>308</v>
      </c>
      <c r="F26" s="418">
        <v>132</v>
      </c>
      <c r="G26" s="129">
        <f t="shared" si="0"/>
        <v>51.126</v>
      </c>
      <c r="H26" s="419">
        <v>39714.35</v>
      </c>
      <c r="I26" s="176">
        <v>39714.510416666664</v>
      </c>
      <c r="J26" s="420">
        <f t="shared" si="1"/>
        <v>3.849999999976717</v>
      </c>
      <c r="K26" s="421">
        <f t="shared" si="2"/>
        <v>231</v>
      </c>
      <c r="L26" s="243" t="s">
        <v>222</v>
      </c>
      <c r="M26" s="178" t="str">
        <f t="shared" si="3"/>
        <v>--</v>
      </c>
      <c r="N26" s="422">
        <f t="shared" si="4"/>
        <v>40</v>
      </c>
      <c r="O26" s="423">
        <f t="shared" si="5"/>
        <v>787.3404</v>
      </c>
      <c r="P26" s="424" t="str">
        <f t="shared" si="6"/>
        <v>--</v>
      </c>
      <c r="Q26" s="425" t="str">
        <f t="shared" si="7"/>
        <v>--</v>
      </c>
      <c r="R26" s="185" t="str">
        <f t="shared" si="8"/>
        <v>--</v>
      </c>
      <c r="S26" s="178" t="str">
        <f t="shared" si="9"/>
        <v>SI</v>
      </c>
      <c r="T26" s="426">
        <v>0</v>
      </c>
      <c r="U26" s="6"/>
    </row>
    <row r="27" spans="2:21" s="5" customFormat="1" ht="16.5" customHeight="1">
      <c r="B27" s="50"/>
      <c r="C27" s="297">
        <v>90</v>
      </c>
      <c r="D27" s="417" t="s">
        <v>281</v>
      </c>
      <c r="E27" s="417" t="s">
        <v>318</v>
      </c>
      <c r="F27" s="418">
        <v>132</v>
      </c>
      <c r="G27" s="129">
        <f t="shared" si="0"/>
        <v>51.126</v>
      </c>
      <c r="H27" s="419">
        <v>39715.376388888886</v>
      </c>
      <c r="I27" s="176">
        <v>39715.58611111111</v>
      </c>
      <c r="J27" s="420">
        <f t="shared" si="1"/>
        <v>5.033333333325572</v>
      </c>
      <c r="K27" s="421">
        <f t="shared" si="2"/>
        <v>302</v>
      </c>
      <c r="L27" s="243" t="s">
        <v>222</v>
      </c>
      <c r="M27" s="178" t="str">
        <f t="shared" si="3"/>
        <v>--</v>
      </c>
      <c r="N27" s="422">
        <f t="shared" si="4"/>
        <v>40</v>
      </c>
      <c r="O27" s="423">
        <f t="shared" si="5"/>
        <v>1028.6551200000001</v>
      </c>
      <c r="P27" s="424" t="str">
        <f t="shared" si="6"/>
        <v>--</v>
      </c>
      <c r="Q27" s="425" t="str">
        <f t="shared" si="7"/>
        <v>--</v>
      </c>
      <c r="R27" s="185" t="str">
        <f t="shared" si="8"/>
        <v>--</v>
      </c>
      <c r="S27" s="178" t="str">
        <f t="shared" si="9"/>
        <v>SI</v>
      </c>
      <c r="T27" s="426">
        <f t="shared" si="10"/>
        <v>1028.6551200000001</v>
      </c>
      <c r="U27" s="6"/>
    </row>
    <row r="28" spans="2:21" s="5" customFormat="1" ht="16.5" customHeight="1">
      <c r="B28" s="50"/>
      <c r="C28" s="180">
        <v>91</v>
      </c>
      <c r="D28" s="417" t="s">
        <v>319</v>
      </c>
      <c r="E28" s="417" t="s">
        <v>320</v>
      </c>
      <c r="F28" s="418">
        <v>500</v>
      </c>
      <c r="G28" s="129">
        <f t="shared" si="0"/>
        <v>63.904</v>
      </c>
      <c r="H28" s="419">
        <v>39715.614583333336</v>
      </c>
      <c r="I28" s="176">
        <v>39715.72430555556</v>
      </c>
      <c r="J28" s="420">
        <f t="shared" si="1"/>
        <v>2.633333333360497</v>
      </c>
      <c r="K28" s="421">
        <f t="shared" si="2"/>
        <v>158</v>
      </c>
      <c r="L28" s="243" t="s">
        <v>252</v>
      </c>
      <c r="M28" s="178" t="s">
        <v>219</v>
      </c>
      <c r="N28" s="422">
        <f t="shared" si="4"/>
        <v>200</v>
      </c>
      <c r="O28" s="423" t="str">
        <f t="shared" si="5"/>
        <v>--</v>
      </c>
      <c r="P28" s="424" t="str">
        <f t="shared" si="6"/>
        <v>--</v>
      </c>
      <c r="Q28" s="425">
        <f t="shared" si="7"/>
        <v>33613.504</v>
      </c>
      <c r="R28" s="185" t="str">
        <f t="shared" si="8"/>
        <v>--</v>
      </c>
      <c r="S28" s="178" t="str">
        <f t="shared" si="9"/>
        <v>SI</v>
      </c>
      <c r="T28" s="426">
        <f t="shared" si="10"/>
        <v>33613.504</v>
      </c>
      <c r="U28" s="6"/>
    </row>
    <row r="29" spans="2:21" s="5" customFormat="1" ht="16.5" customHeight="1">
      <c r="B29" s="50"/>
      <c r="C29" s="297">
        <v>92</v>
      </c>
      <c r="D29" s="417" t="s">
        <v>281</v>
      </c>
      <c r="E29" s="417" t="s">
        <v>318</v>
      </c>
      <c r="F29" s="418">
        <v>132</v>
      </c>
      <c r="G29" s="129">
        <f t="shared" si="0"/>
        <v>51.126</v>
      </c>
      <c r="H29" s="419">
        <v>39716.38055555556</v>
      </c>
      <c r="I29" s="176">
        <v>39716.56805555556</v>
      </c>
      <c r="J29" s="420">
        <f t="shared" si="1"/>
        <v>4.5</v>
      </c>
      <c r="K29" s="421">
        <f t="shared" si="2"/>
        <v>270</v>
      </c>
      <c r="L29" s="243" t="s">
        <v>222</v>
      </c>
      <c r="M29" s="178" t="str">
        <f t="shared" si="3"/>
        <v>--</v>
      </c>
      <c r="N29" s="422">
        <f t="shared" si="4"/>
        <v>40</v>
      </c>
      <c r="O29" s="423">
        <f t="shared" si="5"/>
        <v>920.268</v>
      </c>
      <c r="P29" s="424" t="str">
        <f t="shared" si="6"/>
        <v>--</v>
      </c>
      <c r="Q29" s="425" t="str">
        <f t="shared" si="7"/>
        <v>--</v>
      </c>
      <c r="R29" s="185" t="str">
        <f t="shared" si="8"/>
        <v>--</v>
      </c>
      <c r="S29" s="178" t="str">
        <f t="shared" si="9"/>
        <v>SI</v>
      </c>
      <c r="T29" s="426">
        <f t="shared" si="10"/>
        <v>920.268</v>
      </c>
      <c r="U29" s="6"/>
    </row>
    <row r="30" spans="2:21" s="5" customFormat="1" ht="16.5" customHeight="1">
      <c r="B30" s="50"/>
      <c r="C30" s="180">
        <v>93</v>
      </c>
      <c r="D30" s="417" t="s">
        <v>272</v>
      </c>
      <c r="E30" s="417" t="s">
        <v>316</v>
      </c>
      <c r="F30" s="418">
        <v>132</v>
      </c>
      <c r="G30" s="129">
        <f t="shared" si="0"/>
        <v>51.126</v>
      </c>
      <c r="H30" s="419">
        <v>39716.5375</v>
      </c>
      <c r="I30" s="176">
        <v>39716.63055555556</v>
      </c>
      <c r="J30" s="420">
        <f t="shared" si="1"/>
        <v>2.233333333453629</v>
      </c>
      <c r="K30" s="421">
        <f t="shared" si="2"/>
        <v>134</v>
      </c>
      <c r="L30" s="243" t="s">
        <v>222</v>
      </c>
      <c r="M30" s="178" t="str">
        <f t="shared" si="3"/>
        <v>--</v>
      </c>
      <c r="N30" s="422">
        <f t="shared" si="4"/>
        <v>40</v>
      </c>
      <c r="O30" s="423">
        <f t="shared" si="5"/>
        <v>456.04392</v>
      </c>
      <c r="P30" s="424" t="str">
        <f t="shared" si="6"/>
        <v>--</v>
      </c>
      <c r="Q30" s="425" t="str">
        <f t="shared" si="7"/>
        <v>--</v>
      </c>
      <c r="R30" s="185" t="str">
        <f t="shared" si="8"/>
        <v>--</v>
      </c>
      <c r="S30" s="178" t="str">
        <f t="shared" si="9"/>
        <v>SI</v>
      </c>
      <c r="T30" s="426">
        <f t="shared" si="10"/>
        <v>456.04392</v>
      </c>
      <c r="U30" s="6"/>
    </row>
    <row r="31" spans="2:21" s="5" customFormat="1" ht="16.5" customHeight="1">
      <c r="B31" s="50"/>
      <c r="C31" s="297">
        <v>94</v>
      </c>
      <c r="D31" s="417" t="s">
        <v>272</v>
      </c>
      <c r="E31" s="417" t="s">
        <v>312</v>
      </c>
      <c r="F31" s="418">
        <v>132</v>
      </c>
      <c r="G31" s="129">
        <f t="shared" si="0"/>
        <v>51.126</v>
      </c>
      <c r="H31" s="419">
        <v>39716.63125</v>
      </c>
      <c r="I31" s="176">
        <v>39716.69236111111</v>
      </c>
      <c r="J31" s="420">
        <f t="shared" si="1"/>
        <v>1.4666666667326353</v>
      </c>
      <c r="K31" s="421">
        <f t="shared" si="2"/>
        <v>88</v>
      </c>
      <c r="L31" s="243" t="s">
        <v>222</v>
      </c>
      <c r="M31" s="178" t="str">
        <f t="shared" si="3"/>
        <v>--</v>
      </c>
      <c r="N31" s="422">
        <f t="shared" si="4"/>
        <v>40</v>
      </c>
      <c r="O31" s="423">
        <f t="shared" si="5"/>
        <v>300.62088</v>
      </c>
      <c r="P31" s="424" t="str">
        <f t="shared" si="6"/>
        <v>--</v>
      </c>
      <c r="Q31" s="425" t="str">
        <f t="shared" si="7"/>
        <v>--</v>
      </c>
      <c r="R31" s="185" t="str">
        <f t="shared" si="8"/>
        <v>--</v>
      </c>
      <c r="S31" s="178" t="str">
        <f t="shared" si="9"/>
        <v>SI</v>
      </c>
      <c r="T31" s="426">
        <f t="shared" si="10"/>
        <v>300.62088</v>
      </c>
      <c r="U31" s="6"/>
    </row>
    <row r="32" spans="2:21" s="5" customFormat="1" ht="16.5" customHeight="1">
      <c r="B32" s="50"/>
      <c r="C32" s="180">
        <v>95</v>
      </c>
      <c r="D32" s="417" t="s">
        <v>281</v>
      </c>
      <c r="E32" s="417" t="s">
        <v>318</v>
      </c>
      <c r="F32" s="418">
        <v>132</v>
      </c>
      <c r="G32" s="129">
        <f t="shared" si="0"/>
        <v>51.126</v>
      </c>
      <c r="H32" s="419">
        <v>39717.3625</v>
      </c>
      <c r="I32" s="176">
        <v>39717.55069444444</v>
      </c>
      <c r="J32" s="420">
        <f t="shared" si="1"/>
        <v>4.516666666546371</v>
      </c>
      <c r="K32" s="421">
        <f t="shared" si="2"/>
        <v>271</v>
      </c>
      <c r="L32" s="243" t="s">
        <v>222</v>
      </c>
      <c r="M32" s="178" t="str">
        <f t="shared" si="3"/>
        <v>--</v>
      </c>
      <c r="N32" s="422">
        <f t="shared" si="4"/>
        <v>40</v>
      </c>
      <c r="O32" s="423">
        <f t="shared" si="5"/>
        <v>924.35808</v>
      </c>
      <c r="P32" s="424" t="str">
        <f t="shared" si="6"/>
        <v>--</v>
      </c>
      <c r="Q32" s="425" t="str">
        <f t="shared" si="7"/>
        <v>--</v>
      </c>
      <c r="R32" s="185" t="str">
        <f t="shared" si="8"/>
        <v>--</v>
      </c>
      <c r="S32" s="178" t="str">
        <f t="shared" si="9"/>
        <v>SI</v>
      </c>
      <c r="T32" s="426">
        <f t="shared" si="10"/>
        <v>924.35808</v>
      </c>
      <c r="U32" s="6"/>
    </row>
    <row r="33" spans="2:21" s="5" customFormat="1" ht="16.5" customHeight="1">
      <c r="B33" s="50"/>
      <c r="C33" s="297">
        <v>96</v>
      </c>
      <c r="D33" s="417" t="s">
        <v>281</v>
      </c>
      <c r="E33" s="417" t="s">
        <v>287</v>
      </c>
      <c r="F33" s="418">
        <v>132</v>
      </c>
      <c r="G33" s="129">
        <f t="shared" si="0"/>
        <v>51.126</v>
      </c>
      <c r="H33" s="419">
        <v>39719.31041666667</v>
      </c>
      <c r="I33" s="176">
        <v>39719.59444444445</v>
      </c>
      <c r="J33" s="420">
        <f t="shared" si="1"/>
        <v>6.816666666709352</v>
      </c>
      <c r="K33" s="421">
        <f t="shared" si="2"/>
        <v>409</v>
      </c>
      <c r="L33" s="243" t="s">
        <v>222</v>
      </c>
      <c r="M33" s="178" t="str">
        <f t="shared" si="3"/>
        <v>--</v>
      </c>
      <c r="N33" s="422">
        <f t="shared" si="4"/>
        <v>40</v>
      </c>
      <c r="O33" s="423">
        <f t="shared" si="5"/>
        <v>1394.71728</v>
      </c>
      <c r="P33" s="424" t="str">
        <f t="shared" si="6"/>
        <v>--</v>
      </c>
      <c r="Q33" s="425" t="str">
        <f t="shared" si="7"/>
        <v>--</v>
      </c>
      <c r="R33" s="185" t="str">
        <f t="shared" si="8"/>
        <v>--</v>
      </c>
      <c r="S33" s="178" t="str">
        <f t="shared" si="9"/>
        <v>SI</v>
      </c>
      <c r="T33" s="426">
        <v>0</v>
      </c>
      <c r="U33" s="6"/>
    </row>
    <row r="34" spans="2:21" s="5" customFormat="1" ht="16.5" customHeight="1">
      <c r="B34" s="50"/>
      <c r="C34" s="180">
        <v>97</v>
      </c>
      <c r="D34" s="417" t="s">
        <v>281</v>
      </c>
      <c r="E34" s="417" t="s">
        <v>321</v>
      </c>
      <c r="F34" s="418">
        <v>132</v>
      </c>
      <c r="G34" s="129">
        <f t="shared" si="0"/>
        <v>51.126</v>
      </c>
      <c r="H34" s="419">
        <v>39719.34722222222</v>
      </c>
      <c r="I34" s="176">
        <v>39719.55486111111</v>
      </c>
      <c r="J34" s="420">
        <f t="shared" si="1"/>
        <v>4.983333333337214</v>
      </c>
      <c r="K34" s="421">
        <f t="shared" si="2"/>
        <v>299</v>
      </c>
      <c r="L34" s="243" t="s">
        <v>222</v>
      </c>
      <c r="M34" s="178" t="str">
        <f t="shared" si="3"/>
        <v>--</v>
      </c>
      <c r="N34" s="422">
        <f t="shared" si="4"/>
        <v>40</v>
      </c>
      <c r="O34" s="423">
        <f t="shared" si="5"/>
        <v>1018.4299200000002</v>
      </c>
      <c r="P34" s="424" t="str">
        <f t="shared" si="6"/>
        <v>--</v>
      </c>
      <c r="Q34" s="425" t="str">
        <f t="shared" si="7"/>
        <v>--</v>
      </c>
      <c r="R34" s="185" t="str">
        <f t="shared" si="8"/>
        <v>--</v>
      </c>
      <c r="S34" s="178" t="str">
        <f t="shared" si="9"/>
        <v>SI</v>
      </c>
      <c r="T34" s="426">
        <v>0</v>
      </c>
      <c r="U34" s="6"/>
    </row>
    <row r="35" spans="2:21" s="5" customFormat="1" ht="16.5" customHeight="1">
      <c r="B35" s="50"/>
      <c r="C35" s="297">
        <v>98</v>
      </c>
      <c r="D35" s="417" t="s">
        <v>281</v>
      </c>
      <c r="E35" s="417" t="s">
        <v>321</v>
      </c>
      <c r="F35" s="418">
        <v>132</v>
      </c>
      <c r="G35" s="129">
        <f t="shared" si="0"/>
        <v>51.126</v>
      </c>
      <c r="H35" s="419">
        <v>39720.354166666664</v>
      </c>
      <c r="I35" s="176">
        <v>39720.68541666667</v>
      </c>
      <c r="J35" s="420">
        <f t="shared" si="1"/>
        <v>7.950000000069849</v>
      </c>
      <c r="K35" s="421">
        <f t="shared" si="2"/>
        <v>477</v>
      </c>
      <c r="L35" s="243" t="s">
        <v>222</v>
      </c>
      <c r="M35" s="178" t="str">
        <f t="shared" si="3"/>
        <v>--</v>
      </c>
      <c r="N35" s="422">
        <f t="shared" si="4"/>
        <v>40</v>
      </c>
      <c r="O35" s="423">
        <f t="shared" si="5"/>
        <v>1625.8068</v>
      </c>
      <c r="P35" s="424" t="str">
        <f t="shared" si="6"/>
        <v>--</v>
      </c>
      <c r="Q35" s="425" t="str">
        <f t="shared" si="7"/>
        <v>--</v>
      </c>
      <c r="R35" s="185" t="str">
        <f t="shared" si="8"/>
        <v>--</v>
      </c>
      <c r="S35" s="178" t="str">
        <f t="shared" si="9"/>
        <v>SI</v>
      </c>
      <c r="T35" s="426">
        <f t="shared" si="10"/>
        <v>1625.8068</v>
      </c>
      <c r="U35" s="6"/>
    </row>
    <row r="36" spans="2:21" s="5" customFormat="1" ht="16.5" customHeight="1">
      <c r="B36" s="50"/>
      <c r="C36" s="297">
        <v>100</v>
      </c>
      <c r="D36" s="417" t="s">
        <v>281</v>
      </c>
      <c r="E36" s="417" t="s">
        <v>321</v>
      </c>
      <c r="F36" s="418">
        <v>132</v>
      </c>
      <c r="G36" s="129">
        <f t="shared" si="0"/>
        <v>51.126</v>
      </c>
      <c r="H36" s="419">
        <v>39721.34444444445</v>
      </c>
      <c r="I36" s="176">
        <v>39721.59722222222</v>
      </c>
      <c r="J36" s="420">
        <f t="shared" si="1"/>
        <v>6.066666666534729</v>
      </c>
      <c r="K36" s="421">
        <f t="shared" si="2"/>
        <v>364</v>
      </c>
      <c r="L36" s="243" t="s">
        <v>222</v>
      </c>
      <c r="M36" s="178" t="str">
        <f t="shared" si="3"/>
        <v>--</v>
      </c>
      <c r="N36" s="422">
        <f t="shared" si="4"/>
        <v>40</v>
      </c>
      <c r="O36" s="423">
        <f t="shared" si="5"/>
        <v>1241.3392800000001</v>
      </c>
      <c r="P36" s="424" t="str">
        <f t="shared" si="6"/>
        <v>--</v>
      </c>
      <c r="Q36" s="425" t="str">
        <f t="shared" si="7"/>
        <v>--</v>
      </c>
      <c r="R36" s="185" t="str">
        <f t="shared" si="8"/>
        <v>--</v>
      </c>
      <c r="S36" s="178" t="str">
        <f t="shared" si="9"/>
        <v>SI</v>
      </c>
      <c r="T36" s="426">
        <f t="shared" si="10"/>
        <v>1241.3392800000001</v>
      </c>
      <c r="U36" s="6"/>
    </row>
    <row r="37" spans="2:21" s="5" customFormat="1" ht="16.5" customHeight="1">
      <c r="B37" s="50"/>
      <c r="C37" s="180"/>
      <c r="D37" s="417"/>
      <c r="E37" s="417"/>
      <c r="F37" s="418"/>
      <c r="G37" s="129">
        <f t="shared" si="0"/>
        <v>51.126</v>
      </c>
      <c r="H37" s="419"/>
      <c r="I37" s="176"/>
      <c r="J37" s="420">
        <f t="shared" si="1"/>
      </c>
      <c r="K37" s="421">
        <f t="shared" si="2"/>
      </c>
      <c r="L37" s="243"/>
      <c r="M37" s="178">
        <f t="shared" si="3"/>
      </c>
      <c r="N37" s="422">
        <f t="shared" si="4"/>
        <v>40</v>
      </c>
      <c r="O37" s="423" t="str">
        <f t="shared" si="5"/>
        <v>--</v>
      </c>
      <c r="P37" s="424" t="str">
        <f t="shared" si="6"/>
        <v>--</v>
      </c>
      <c r="Q37" s="425" t="str">
        <f t="shared" si="7"/>
        <v>--</v>
      </c>
      <c r="R37" s="185" t="str">
        <f t="shared" si="8"/>
        <v>--</v>
      </c>
      <c r="S37" s="178">
        <f t="shared" si="9"/>
      </c>
      <c r="T37" s="426">
        <f t="shared" si="10"/>
      </c>
      <c r="U37" s="6"/>
    </row>
    <row r="38" spans="2:21" s="5" customFormat="1" ht="16.5" customHeight="1">
      <c r="B38" s="50"/>
      <c r="C38" s="297"/>
      <c r="D38" s="417"/>
      <c r="E38" s="417"/>
      <c r="F38" s="418"/>
      <c r="G38" s="129">
        <f t="shared" si="0"/>
        <v>51.126</v>
      </c>
      <c r="H38" s="419"/>
      <c r="I38" s="176"/>
      <c r="J38" s="420">
        <f t="shared" si="1"/>
      </c>
      <c r="K38" s="421">
        <f t="shared" si="2"/>
      </c>
      <c r="L38" s="243"/>
      <c r="M38" s="178">
        <f t="shared" si="3"/>
      </c>
      <c r="N38" s="422">
        <f t="shared" si="4"/>
        <v>40</v>
      </c>
      <c r="O38" s="423" t="str">
        <f t="shared" si="5"/>
        <v>--</v>
      </c>
      <c r="P38" s="424" t="str">
        <f t="shared" si="6"/>
        <v>--</v>
      </c>
      <c r="Q38" s="425" t="str">
        <f t="shared" si="7"/>
        <v>--</v>
      </c>
      <c r="R38" s="185" t="str">
        <f t="shared" si="8"/>
        <v>--</v>
      </c>
      <c r="S38" s="178">
        <f t="shared" si="9"/>
      </c>
      <c r="T38" s="426">
        <f t="shared" si="10"/>
      </c>
      <c r="U38" s="6"/>
    </row>
    <row r="39" spans="2:21" s="5" customFormat="1" ht="16.5" customHeight="1">
      <c r="B39" s="50"/>
      <c r="C39" s="180"/>
      <c r="D39" s="417"/>
      <c r="E39" s="417"/>
      <c r="F39" s="418"/>
      <c r="G39" s="129">
        <f t="shared" si="0"/>
        <v>51.126</v>
      </c>
      <c r="H39" s="419"/>
      <c r="I39" s="176"/>
      <c r="J39" s="420">
        <f t="shared" si="1"/>
      </c>
      <c r="K39" s="421">
        <f t="shared" si="2"/>
      </c>
      <c r="L39" s="243"/>
      <c r="M39" s="178">
        <f t="shared" si="3"/>
      </c>
      <c r="N39" s="422">
        <f t="shared" si="4"/>
        <v>40</v>
      </c>
      <c r="O39" s="423" t="str">
        <f t="shared" si="5"/>
        <v>--</v>
      </c>
      <c r="P39" s="424" t="str">
        <f t="shared" si="6"/>
        <v>--</v>
      </c>
      <c r="Q39" s="425" t="str">
        <f t="shared" si="7"/>
        <v>--</v>
      </c>
      <c r="R39" s="185" t="str">
        <f t="shared" si="8"/>
        <v>--</v>
      </c>
      <c r="S39" s="178">
        <f t="shared" si="9"/>
      </c>
      <c r="T39" s="426">
        <f t="shared" si="10"/>
      </c>
      <c r="U39" s="6"/>
    </row>
    <row r="40" spans="2:21" s="5" customFormat="1" ht="16.5" customHeight="1">
      <c r="B40" s="50"/>
      <c r="C40" s="297"/>
      <c r="D40" s="417"/>
      <c r="E40" s="417"/>
      <c r="F40" s="418"/>
      <c r="G40" s="129">
        <f t="shared" si="0"/>
        <v>51.126</v>
      </c>
      <c r="H40" s="419"/>
      <c r="I40" s="176"/>
      <c r="J40" s="420">
        <f t="shared" si="1"/>
      </c>
      <c r="K40" s="421">
        <f t="shared" si="2"/>
      </c>
      <c r="L40" s="243"/>
      <c r="M40" s="178">
        <f t="shared" si="3"/>
      </c>
      <c r="N40" s="422">
        <f t="shared" si="4"/>
        <v>40</v>
      </c>
      <c r="O40" s="423" t="str">
        <f t="shared" si="5"/>
        <v>--</v>
      </c>
      <c r="P40" s="424" t="str">
        <f t="shared" si="6"/>
        <v>--</v>
      </c>
      <c r="Q40" s="425" t="str">
        <f t="shared" si="7"/>
        <v>--</v>
      </c>
      <c r="R40" s="185" t="str">
        <f t="shared" si="8"/>
        <v>--</v>
      </c>
      <c r="S40" s="178">
        <f t="shared" si="9"/>
      </c>
      <c r="T40" s="426">
        <f t="shared" si="10"/>
      </c>
      <c r="U40" s="6"/>
    </row>
    <row r="41" spans="2:21" s="5" customFormat="1" ht="16.5" customHeight="1">
      <c r="B41" s="50"/>
      <c r="C41" s="180"/>
      <c r="D41" s="417"/>
      <c r="E41" s="417"/>
      <c r="F41" s="418"/>
      <c r="G41" s="129">
        <f t="shared" si="0"/>
        <v>51.126</v>
      </c>
      <c r="H41" s="419"/>
      <c r="I41" s="176"/>
      <c r="J41" s="420">
        <f t="shared" si="1"/>
      </c>
      <c r="K41" s="421">
        <f t="shared" si="2"/>
      </c>
      <c r="L41" s="243"/>
      <c r="M41" s="178">
        <f t="shared" si="3"/>
      </c>
      <c r="N41" s="422">
        <f t="shared" si="4"/>
        <v>40</v>
      </c>
      <c r="O41" s="423" t="str">
        <f t="shared" si="5"/>
        <v>--</v>
      </c>
      <c r="P41" s="424" t="str">
        <f t="shared" si="6"/>
        <v>--</v>
      </c>
      <c r="Q41" s="425" t="str">
        <f t="shared" si="7"/>
        <v>--</v>
      </c>
      <c r="R41" s="185" t="str">
        <f t="shared" si="8"/>
        <v>--</v>
      </c>
      <c r="S41" s="178">
        <f t="shared" si="9"/>
      </c>
      <c r="T41" s="426">
        <f t="shared" si="10"/>
      </c>
      <c r="U41" s="6"/>
    </row>
    <row r="42" spans="2:21" s="5" customFormat="1" ht="16.5" customHeight="1">
      <c r="B42" s="50"/>
      <c r="C42" s="297"/>
      <c r="D42" s="417"/>
      <c r="E42" s="417"/>
      <c r="F42" s="418"/>
      <c r="G42" s="129">
        <f t="shared" si="0"/>
        <v>51.126</v>
      </c>
      <c r="H42" s="419"/>
      <c r="I42" s="176"/>
      <c r="J42" s="420">
        <f t="shared" si="1"/>
      </c>
      <c r="K42" s="421">
        <f t="shared" si="2"/>
      </c>
      <c r="L42" s="243"/>
      <c r="M42" s="178">
        <f t="shared" si="3"/>
      </c>
      <c r="N42" s="422">
        <f t="shared" si="4"/>
        <v>40</v>
      </c>
      <c r="O42" s="423" t="str">
        <f t="shared" si="5"/>
        <v>--</v>
      </c>
      <c r="P42" s="424" t="str">
        <f t="shared" si="6"/>
        <v>--</v>
      </c>
      <c r="Q42" s="425" t="str">
        <f t="shared" si="7"/>
        <v>--</v>
      </c>
      <c r="R42" s="185" t="str">
        <f t="shared" si="8"/>
        <v>--</v>
      </c>
      <c r="S42" s="178">
        <f t="shared" si="9"/>
      </c>
      <c r="T42" s="426">
        <f t="shared" si="10"/>
      </c>
      <c r="U42" s="6"/>
    </row>
    <row r="43" spans="2:21" s="5" customFormat="1" ht="16.5" customHeight="1" thickBot="1">
      <c r="B43" s="50"/>
      <c r="C43" s="180"/>
      <c r="D43" s="172"/>
      <c r="E43" s="172"/>
      <c r="F43" s="251"/>
      <c r="G43" s="130"/>
      <c r="H43" s="427"/>
      <c r="I43" s="427"/>
      <c r="J43" s="428"/>
      <c r="K43" s="428"/>
      <c r="L43" s="427"/>
      <c r="M43" s="177"/>
      <c r="N43" s="429"/>
      <c r="O43" s="430"/>
      <c r="P43" s="431"/>
      <c r="Q43" s="432"/>
      <c r="R43" s="187"/>
      <c r="S43" s="177"/>
      <c r="T43" s="433"/>
      <c r="U43" s="6"/>
    </row>
    <row r="44" spans="2:21" s="5" customFormat="1" ht="16.5" customHeight="1" thickBot="1" thickTop="1">
      <c r="B44" s="50"/>
      <c r="C44" s="126" t="s">
        <v>23</v>
      </c>
      <c r="D44" s="127" t="s">
        <v>340</v>
      </c>
      <c r="E44"/>
      <c r="F44" s="4"/>
      <c r="G44" s="4"/>
      <c r="H44" s="4"/>
      <c r="I44" s="4"/>
      <c r="J44" s="4"/>
      <c r="K44" s="4"/>
      <c r="L44" s="4"/>
      <c r="M44" s="4"/>
      <c r="N44" s="4"/>
      <c r="O44" s="434">
        <f>SUM(O22:O43)</f>
        <v>11599.466880000002</v>
      </c>
      <c r="P44" s="435">
        <f>SUM(P22:P43)</f>
        <v>0</v>
      </c>
      <c r="Q44" s="436">
        <f>SUM(Q22:Q43)</f>
        <v>33613.504</v>
      </c>
      <c r="R44" s="437">
        <f>SUM(R22:R43)</f>
        <v>0</v>
      </c>
      <c r="S44" s="438"/>
      <c r="T44" s="99">
        <f>ROUND(SUM(T22:T43),2)</f>
        <v>74405.91</v>
      </c>
      <c r="U44" s="6"/>
    </row>
    <row r="45" spans="2:21" s="5" customFormat="1" ht="16.5" customHeight="1" thickBot="1" thickTop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</row>
    <row r="46" spans="21:23" ht="16.5" customHeight="1" thickTop="1">
      <c r="U46" s="202"/>
      <c r="V46" s="202"/>
      <c r="W46" s="202"/>
    </row>
    <row r="47" spans="21:23" ht="16.5" customHeight="1">
      <c r="U47" s="202"/>
      <c r="V47" s="202"/>
      <c r="W47" s="202"/>
    </row>
    <row r="48" spans="21:23" ht="16.5" customHeight="1">
      <c r="U48" s="202"/>
      <c r="V48" s="202"/>
      <c r="W48" s="202"/>
    </row>
    <row r="49" spans="21:23" ht="16.5" customHeight="1">
      <c r="U49" s="202"/>
      <c r="V49" s="202"/>
      <c r="W49" s="202"/>
    </row>
    <row r="50" spans="21:23" ht="16.5" customHeight="1">
      <c r="U50" s="202"/>
      <c r="V50" s="202"/>
      <c r="W50" s="202"/>
    </row>
    <row r="51" spans="4:23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</row>
    <row r="52" spans="4:23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spans="4:23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spans="4:23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</row>
    <row r="55" spans="4:23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spans="4:23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4:23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4:23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4:23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4:23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4:23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4:23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spans="4:23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spans="4:23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4:23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4:23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spans="4:23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spans="4:23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spans="4:23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4:23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spans="4:23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4:23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4:23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spans="4:23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spans="4:23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spans="4:23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spans="4:23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spans="4:23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spans="4:23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4:23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4:23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4:23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4:23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4:23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4:23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4:23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4:23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4:23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4:23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4:23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4:23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4:23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4:23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4:23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4:23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4:23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4:23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4:23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4:23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4:23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4:23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4:23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4:23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4:23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4:23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4:23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4:23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4:23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4:23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4:23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4:23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4:23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4:23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4:23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4:23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4:23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4:23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4:23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4:23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4:23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4:23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4:23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4:23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4:23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4:23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4:23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4:23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4:23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4:23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4:23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4:23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4:23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4:23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4:23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4:23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4:23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4:23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4:23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4:23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4:23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4:23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4:23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4:23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4:23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4:23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4:23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4:23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4:23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4:23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4:23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4:23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4:23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4:23" ht="16.5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4:23" ht="16.5" customHeight="1"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4:23" ht="16.5" customHeight="1"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4:23" ht="16.5" customHeight="1"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4:23" ht="16.5" customHeight="1"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spans="4:23" ht="16.5" customHeight="1"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A157"/>
  <sheetViews>
    <sheetView zoomScale="75" zoomScaleNormal="75" workbookViewId="0" topLeftCell="C16">
      <selection activeCell="E30" sqref="E3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2"/>
    </row>
    <row r="2" spans="1:25" s="18" customFormat="1" ht="26.25">
      <c r="A2" s="89"/>
      <c r="B2" s="440" t="str">
        <f>+'TOT-0908'!B2</f>
        <v>ANEXO IV al Memorándum D.T.E.E. N°   366  / 2010          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201" t="s">
        <v>80</v>
      </c>
      <c r="E8" s="441"/>
      <c r="F8" s="198"/>
      <c r="G8" s="197"/>
      <c r="H8" s="197"/>
      <c r="I8" s="197"/>
      <c r="J8" s="197"/>
      <c r="K8" s="197"/>
      <c r="L8" s="197"/>
      <c r="M8" s="197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442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81</v>
      </c>
      <c r="F10" s="443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82</v>
      </c>
      <c r="F12" s="443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'TOT-0908'!B14</f>
        <v>Desde el 01 al 30 de septiembre de 2008</v>
      </c>
      <c r="C14" s="444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4"/>
      <c r="Q14" s="444"/>
      <c r="R14" s="444"/>
      <c r="S14" s="444"/>
      <c r="T14" s="444"/>
      <c r="U14" s="444"/>
      <c r="V14" s="444"/>
      <c r="W14" s="444"/>
      <c r="X14" s="444"/>
      <c r="Y14" s="446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5" t="s">
        <v>72</v>
      </c>
      <c r="E16" s="447"/>
      <c r="F16" s="914">
        <v>0.319</v>
      </c>
      <c r="G16" s="382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8" t="s">
        <v>24</v>
      </c>
      <c r="E17" s="449"/>
      <c r="F17" s="915">
        <v>20</v>
      </c>
      <c r="G17" s="382"/>
      <c r="H17"/>
      <c r="I17" s="226"/>
      <c r="J17" s="227"/>
      <c r="K17" s="4"/>
      <c r="L17" s="4"/>
      <c r="M17" s="4"/>
      <c r="O17" s="4"/>
      <c r="P17" s="4"/>
      <c r="Q17" s="4"/>
      <c r="R17" s="114"/>
      <c r="S17" s="114"/>
      <c r="T17" s="114"/>
      <c r="U17" s="114"/>
      <c r="V17" s="114"/>
      <c r="W17" s="114"/>
      <c r="X17" s="114"/>
      <c r="Y17" s="6"/>
    </row>
    <row r="18" spans="2:25" s="5" customFormat="1" ht="16.5" customHeight="1" thickBot="1" thickTop="1">
      <c r="B18" s="50"/>
      <c r="C18" s="66"/>
      <c r="D18" s="450"/>
      <c r="E18" s="451"/>
      <c r="F18" s="451"/>
      <c r="G18" s="217"/>
      <c r="H18" s="217"/>
      <c r="I18" s="217"/>
      <c r="J18" s="217"/>
      <c r="K18" s="217"/>
      <c r="L18" s="217"/>
      <c r="M18" s="217"/>
      <c r="N18" s="217"/>
      <c r="O18" s="452"/>
      <c r="P18" s="453"/>
      <c r="Q18" s="454"/>
      <c r="R18" s="454"/>
      <c r="S18" s="454"/>
      <c r="T18" s="454"/>
      <c r="U18" s="454"/>
      <c r="V18" s="454"/>
      <c r="W18" s="455"/>
      <c r="X18" s="456"/>
      <c r="Y18" s="6"/>
    </row>
    <row r="19" spans="2:25" s="5" customFormat="1" ht="33.75" customHeight="1" thickBot="1" thickTop="1">
      <c r="B19" s="50"/>
      <c r="C19" s="84" t="s">
        <v>12</v>
      </c>
      <c r="D19" s="86" t="s">
        <v>25</v>
      </c>
      <c r="E19" s="85" t="s">
        <v>26</v>
      </c>
      <c r="F19" s="457" t="s">
        <v>27</v>
      </c>
      <c r="G19" s="128" t="s">
        <v>15</v>
      </c>
      <c r="H19" s="85" t="s">
        <v>16</v>
      </c>
      <c r="I19" s="85" t="s">
        <v>17</v>
      </c>
      <c r="J19" s="86" t="s">
        <v>34</v>
      </c>
      <c r="K19" s="86" t="s">
        <v>29</v>
      </c>
      <c r="L19" s="87" t="s">
        <v>18</v>
      </c>
      <c r="M19" s="87" t="s">
        <v>56</v>
      </c>
      <c r="N19" s="85" t="s">
        <v>30</v>
      </c>
      <c r="O19" s="128" t="s">
        <v>35</v>
      </c>
      <c r="P19" s="458" t="s">
        <v>67</v>
      </c>
      <c r="Q19" s="459" t="s">
        <v>237</v>
      </c>
      <c r="R19" s="460"/>
      <c r="S19" s="279" t="s">
        <v>238</v>
      </c>
      <c r="T19" s="280"/>
      <c r="U19" s="461" t="s">
        <v>21</v>
      </c>
      <c r="V19" s="278" t="s">
        <v>20</v>
      </c>
      <c r="W19" s="131" t="s">
        <v>70</v>
      </c>
      <c r="X19" s="462" t="s">
        <v>22</v>
      </c>
      <c r="Y19" s="6"/>
    </row>
    <row r="20" spans="2:25" s="5" customFormat="1" ht="16.5" customHeight="1" thickTop="1">
      <c r="B20" s="50"/>
      <c r="C20" s="463"/>
      <c r="D20" s="464"/>
      <c r="E20" s="464"/>
      <c r="F20" s="464"/>
      <c r="G20" s="354"/>
      <c r="H20" s="465"/>
      <c r="I20" s="465"/>
      <c r="J20" s="463"/>
      <c r="K20" s="463"/>
      <c r="L20" s="464"/>
      <c r="M20" s="207"/>
      <c r="N20" s="463"/>
      <c r="O20" s="466"/>
      <c r="P20" s="467"/>
      <c r="Q20" s="468"/>
      <c r="R20" s="469"/>
      <c r="S20" s="292"/>
      <c r="T20" s="293"/>
      <c r="U20" s="470"/>
      <c r="V20" s="470"/>
      <c r="W20" s="471"/>
      <c r="X20" s="472"/>
      <c r="Y20" s="6"/>
    </row>
    <row r="21" spans="2:25" s="5" customFormat="1" ht="16.5" customHeight="1">
      <c r="B21" s="50"/>
      <c r="C21" s="297"/>
      <c r="D21" s="473"/>
      <c r="E21" s="474"/>
      <c r="F21" s="475"/>
      <c r="G21" s="476"/>
      <c r="H21" s="477"/>
      <c r="I21" s="478"/>
      <c r="J21" s="479"/>
      <c r="K21" s="480"/>
      <c r="L21" s="481"/>
      <c r="M21" s="208"/>
      <c r="N21" s="482"/>
      <c r="O21" s="483"/>
      <c r="P21" s="484"/>
      <c r="Q21" s="485"/>
      <c r="R21" s="486"/>
      <c r="S21" s="306"/>
      <c r="T21" s="307"/>
      <c r="U21" s="487"/>
      <c r="V21" s="487"/>
      <c r="W21" s="482"/>
      <c r="X21" s="488"/>
      <c r="Y21" s="6"/>
    </row>
    <row r="22" spans="2:25" s="5" customFormat="1" ht="16.5" customHeight="1">
      <c r="B22" s="50"/>
      <c r="C22" s="180">
        <v>101</v>
      </c>
      <c r="D22" s="489" t="s">
        <v>266</v>
      </c>
      <c r="E22" s="417" t="s">
        <v>322</v>
      </c>
      <c r="F22" s="490">
        <v>245</v>
      </c>
      <c r="G22" s="314">
        <f aca="true" t="shared" si="0" ref="G22:G41">F22*$F$16</f>
        <v>78.155</v>
      </c>
      <c r="H22" s="419">
        <v>39692</v>
      </c>
      <c r="I22" s="211">
        <v>39692.7</v>
      </c>
      <c r="J22" s="420">
        <f aca="true" t="shared" si="1" ref="J22:J41">IF(D22="","",(I22-H22)*24)</f>
        <v>16.79999999993015</v>
      </c>
      <c r="K22" s="421">
        <f aca="true" t="shared" si="2" ref="K22:K41">IF(D22="","",ROUND((I22-H22)*24*60,0))</f>
        <v>1008</v>
      </c>
      <c r="L22" s="243" t="s">
        <v>222</v>
      </c>
      <c r="M22" s="244" t="str">
        <f aca="true" t="shared" si="3" ref="M22:M41">IF(D22="","","--")</f>
        <v>--</v>
      </c>
      <c r="N22" s="178" t="str">
        <f aca="true" t="shared" si="4" ref="N22:N41">IF(D22="","",IF(OR(L22="P",L22="RP"),"--","NO"))</f>
        <v>--</v>
      </c>
      <c r="O22" s="491">
        <f aca="true" t="shared" si="5" ref="O22:O41">IF(OR(L22="P",L22="RP"),$F$17/10,$F$17)</f>
        <v>2</v>
      </c>
      <c r="P22" s="492">
        <f aca="true" t="shared" si="6" ref="P22:P41">IF(L22="P",G22*O22*ROUND(K22/60,2),"--")</f>
        <v>2626.0080000000003</v>
      </c>
      <c r="Q22" s="493" t="str">
        <f aca="true" t="shared" si="7" ref="Q22:Q41">IF(AND(L22="F",N22="NO"),G22*O22,"--")</f>
        <v>--</v>
      </c>
      <c r="R22" s="494" t="str">
        <f aca="true" t="shared" si="8" ref="R22:R41">IF(L22="F",G22*O22*ROUND(K22/60,2),"--")</f>
        <v>--</v>
      </c>
      <c r="S22" s="321" t="str">
        <f aca="true" t="shared" si="9" ref="S22:S41">IF(AND(L22="R",N22="NO"),G22*O22*M22/100,"--")</f>
        <v>--</v>
      </c>
      <c r="T22" s="967" t="s">
        <v>219</v>
      </c>
      <c r="U22" s="495" t="str">
        <f aca="true" t="shared" si="10" ref="U22:U41">IF(L22="RF",G22*O22*ROUND(K22/60,2),"--")</f>
        <v>--</v>
      </c>
      <c r="V22" s="318" t="str">
        <f aca="true" t="shared" si="11" ref="V22:V41">IF(L22="RP",G22*O22*M22/100*ROUND(K22/60,2),"--")</f>
        <v>--</v>
      </c>
      <c r="W22" s="178" t="str">
        <f aca="true" t="shared" si="12" ref="W22:W41">IF(D22="","","SI")</f>
        <v>SI</v>
      </c>
      <c r="X22" s="426">
        <f aca="true" t="shared" si="13" ref="X22:X41">IF(D22="","",SUM(P22:V22)*IF(W22="SI",1,2)*IF(AND(M22&lt;&gt;"--",L22="RF"),M22/100,1))</f>
        <v>2626.0080000000003</v>
      </c>
      <c r="Y22" s="6"/>
    </row>
    <row r="23" spans="2:25" s="5" customFormat="1" ht="16.5" customHeight="1">
      <c r="B23" s="50"/>
      <c r="C23" s="297">
        <v>102</v>
      </c>
      <c r="D23" s="489" t="s">
        <v>266</v>
      </c>
      <c r="E23" s="417" t="s">
        <v>323</v>
      </c>
      <c r="F23" s="490">
        <v>245</v>
      </c>
      <c r="G23" s="314">
        <f t="shared" si="0"/>
        <v>78.155</v>
      </c>
      <c r="H23" s="419">
        <v>39692</v>
      </c>
      <c r="I23" s="211">
        <v>39692.825694444444</v>
      </c>
      <c r="J23" s="420">
        <f t="shared" si="1"/>
        <v>19.816666666651145</v>
      </c>
      <c r="K23" s="421">
        <f t="shared" si="2"/>
        <v>1189</v>
      </c>
      <c r="L23" s="243" t="s">
        <v>222</v>
      </c>
      <c r="M23" s="244" t="str">
        <f t="shared" si="3"/>
        <v>--</v>
      </c>
      <c r="N23" s="178" t="str">
        <f t="shared" si="4"/>
        <v>--</v>
      </c>
      <c r="O23" s="491">
        <f t="shared" si="5"/>
        <v>2</v>
      </c>
      <c r="P23" s="492">
        <f t="shared" si="6"/>
        <v>3098.0642000000003</v>
      </c>
      <c r="Q23" s="493" t="str">
        <f t="shared" si="7"/>
        <v>--</v>
      </c>
      <c r="R23" s="494" t="str">
        <f t="shared" si="8"/>
        <v>--</v>
      </c>
      <c r="S23" s="321" t="str">
        <f t="shared" si="9"/>
        <v>--</v>
      </c>
      <c r="T23" s="967" t="s">
        <v>219</v>
      </c>
      <c r="U23" s="495" t="str">
        <f t="shared" si="10"/>
        <v>--</v>
      </c>
      <c r="V23" s="318" t="str">
        <f t="shared" si="11"/>
        <v>--</v>
      </c>
      <c r="W23" s="178" t="str">
        <f t="shared" si="12"/>
        <v>SI</v>
      </c>
      <c r="X23" s="426">
        <f t="shared" si="13"/>
        <v>3098.0642000000003</v>
      </c>
      <c r="Y23" s="6"/>
    </row>
    <row r="24" spans="2:25" s="5" customFormat="1" ht="16.5" customHeight="1">
      <c r="B24" s="50"/>
      <c r="C24" s="297">
        <v>103</v>
      </c>
      <c r="D24" s="489" t="s">
        <v>266</v>
      </c>
      <c r="E24" s="417" t="s">
        <v>324</v>
      </c>
      <c r="F24" s="490">
        <v>245</v>
      </c>
      <c r="G24" s="314">
        <f t="shared" si="0"/>
        <v>78.155</v>
      </c>
      <c r="H24" s="419">
        <v>39703.25347222222</v>
      </c>
      <c r="I24" s="211">
        <v>39703.67222222222</v>
      </c>
      <c r="J24" s="420">
        <f t="shared" si="1"/>
        <v>10.050000000104774</v>
      </c>
      <c r="K24" s="421">
        <f t="shared" si="2"/>
        <v>603</v>
      </c>
      <c r="L24" s="243" t="s">
        <v>222</v>
      </c>
      <c r="M24" s="244" t="str">
        <f t="shared" si="3"/>
        <v>--</v>
      </c>
      <c r="N24" s="178" t="str">
        <f t="shared" si="4"/>
        <v>--</v>
      </c>
      <c r="O24" s="491">
        <f t="shared" si="5"/>
        <v>2</v>
      </c>
      <c r="P24" s="492">
        <f t="shared" si="6"/>
        <v>1570.9155</v>
      </c>
      <c r="Q24" s="493" t="str">
        <f t="shared" si="7"/>
        <v>--</v>
      </c>
      <c r="R24" s="494" t="str">
        <f t="shared" si="8"/>
        <v>--</v>
      </c>
      <c r="S24" s="321" t="str">
        <f t="shared" si="9"/>
        <v>--</v>
      </c>
      <c r="T24" s="967" t="s">
        <v>219</v>
      </c>
      <c r="U24" s="495" t="str">
        <f t="shared" si="10"/>
        <v>--</v>
      </c>
      <c r="V24" s="318" t="str">
        <f t="shared" si="11"/>
        <v>--</v>
      </c>
      <c r="W24" s="178" t="str">
        <f t="shared" si="12"/>
        <v>SI</v>
      </c>
      <c r="X24" s="426">
        <f t="shared" si="13"/>
        <v>1570.9155</v>
      </c>
      <c r="Y24" s="496"/>
    </row>
    <row r="25" spans="2:25" s="5" customFormat="1" ht="16.5" customHeight="1">
      <c r="B25" s="50"/>
      <c r="C25" s="297">
        <v>104</v>
      </c>
      <c r="D25" s="489" t="s">
        <v>266</v>
      </c>
      <c r="E25" s="417" t="s">
        <v>325</v>
      </c>
      <c r="F25" s="490">
        <v>245</v>
      </c>
      <c r="G25" s="314">
        <f t="shared" si="0"/>
        <v>78.155</v>
      </c>
      <c r="H25" s="419">
        <v>39706.245833333334</v>
      </c>
      <c r="I25" s="211">
        <v>39706.569444444445</v>
      </c>
      <c r="J25" s="420">
        <f t="shared" si="1"/>
        <v>7.766666666662786</v>
      </c>
      <c r="K25" s="421">
        <f t="shared" si="2"/>
        <v>466</v>
      </c>
      <c r="L25" s="243" t="s">
        <v>222</v>
      </c>
      <c r="M25" s="244" t="str">
        <f t="shared" si="3"/>
        <v>--</v>
      </c>
      <c r="N25" s="178" t="str">
        <f t="shared" si="4"/>
        <v>--</v>
      </c>
      <c r="O25" s="491">
        <f t="shared" si="5"/>
        <v>2</v>
      </c>
      <c r="P25" s="492">
        <f t="shared" si="6"/>
        <v>1214.5286999999998</v>
      </c>
      <c r="Q25" s="493" t="str">
        <f t="shared" si="7"/>
        <v>--</v>
      </c>
      <c r="R25" s="494" t="str">
        <f t="shared" si="8"/>
        <v>--</v>
      </c>
      <c r="S25" s="321" t="str">
        <f t="shared" si="9"/>
        <v>--</v>
      </c>
      <c r="T25" s="967" t="s">
        <v>219</v>
      </c>
      <c r="U25" s="495" t="str">
        <f t="shared" si="10"/>
        <v>--</v>
      </c>
      <c r="V25" s="318" t="str">
        <f t="shared" si="11"/>
        <v>--</v>
      </c>
      <c r="W25" s="178" t="str">
        <f t="shared" si="12"/>
        <v>SI</v>
      </c>
      <c r="X25" s="426">
        <f t="shared" si="13"/>
        <v>1214.5286999999998</v>
      </c>
      <c r="Y25" s="496"/>
    </row>
    <row r="26" spans="2:25" s="5" customFormat="1" ht="16.5" customHeight="1">
      <c r="B26" s="50"/>
      <c r="C26" s="297">
        <v>105</v>
      </c>
      <c r="D26" s="489" t="s">
        <v>269</v>
      </c>
      <c r="E26" s="417" t="s">
        <v>326</v>
      </c>
      <c r="F26" s="490">
        <v>150</v>
      </c>
      <c r="G26" s="314">
        <f t="shared" si="0"/>
        <v>47.85</v>
      </c>
      <c r="H26" s="419">
        <v>39709.91111111111</v>
      </c>
      <c r="I26" s="211">
        <v>39709.93402777778</v>
      </c>
      <c r="J26" s="420">
        <f t="shared" si="1"/>
        <v>0.5500000000465661</v>
      </c>
      <c r="K26" s="421">
        <f t="shared" si="2"/>
        <v>33</v>
      </c>
      <c r="L26" s="243" t="s">
        <v>252</v>
      </c>
      <c r="M26" s="244" t="str">
        <f t="shared" si="3"/>
        <v>--</v>
      </c>
      <c r="N26" s="178" t="s">
        <v>219</v>
      </c>
      <c r="O26" s="491">
        <f t="shared" si="5"/>
        <v>20</v>
      </c>
      <c r="P26" s="492" t="str">
        <f t="shared" si="6"/>
        <v>--</v>
      </c>
      <c r="Q26" s="493" t="str">
        <f t="shared" si="7"/>
        <v>--</v>
      </c>
      <c r="R26" s="494">
        <f t="shared" si="8"/>
        <v>526.35</v>
      </c>
      <c r="S26" s="321" t="str">
        <f t="shared" si="9"/>
        <v>--</v>
      </c>
      <c r="T26" s="967" t="s">
        <v>219</v>
      </c>
      <c r="U26" s="495" t="str">
        <f t="shared" si="10"/>
        <v>--</v>
      </c>
      <c r="V26" s="318" t="str">
        <f t="shared" si="11"/>
        <v>--</v>
      </c>
      <c r="W26" s="178" t="str">
        <f t="shared" si="12"/>
        <v>SI</v>
      </c>
      <c r="X26" s="426">
        <f t="shared" si="13"/>
        <v>526.35</v>
      </c>
      <c r="Y26" s="496"/>
    </row>
    <row r="27" spans="2:25" s="5" customFormat="1" ht="16.5" customHeight="1">
      <c r="B27" s="50"/>
      <c r="C27" s="297">
        <v>106</v>
      </c>
      <c r="D27" s="489" t="s">
        <v>266</v>
      </c>
      <c r="E27" s="417" t="s">
        <v>325</v>
      </c>
      <c r="F27" s="490">
        <v>245</v>
      </c>
      <c r="G27" s="314">
        <f t="shared" si="0"/>
        <v>78.155</v>
      </c>
      <c r="H27" s="419">
        <v>39710.34305555555</v>
      </c>
      <c r="I27" s="211">
        <v>39711.70972222222</v>
      </c>
      <c r="J27" s="420">
        <f t="shared" si="1"/>
        <v>32.800000000046566</v>
      </c>
      <c r="K27" s="421">
        <f t="shared" si="2"/>
        <v>1968</v>
      </c>
      <c r="L27" s="243" t="s">
        <v>222</v>
      </c>
      <c r="M27" s="244" t="str">
        <f t="shared" si="3"/>
        <v>--</v>
      </c>
      <c r="N27" s="178" t="str">
        <f t="shared" si="4"/>
        <v>--</v>
      </c>
      <c r="O27" s="491">
        <f t="shared" si="5"/>
        <v>2</v>
      </c>
      <c r="P27" s="492">
        <f t="shared" si="6"/>
        <v>5126.968</v>
      </c>
      <c r="Q27" s="493" t="str">
        <f t="shared" si="7"/>
        <v>--</v>
      </c>
      <c r="R27" s="494" t="str">
        <f t="shared" si="8"/>
        <v>--</v>
      </c>
      <c r="S27" s="321" t="str">
        <f t="shared" si="9"/>
        <v>--</v>
      </c>
      <c r="T27" s="967" t="s">
        <v>219</v>
      </c>
      <c r="U27" s="495" t="str">
        <f t="shared" si="10"/>
        <v>--</v>
      </c>
      <c r="V27" s="318" t="str">
        <f t="shared" si="11"/>
        <v>--</v>
      </c>
      <c r="W27" s="178" t="str">
        <f t="shared" si="12"/>
        <v>SI</v>
      </c>
      <c r="X27" s="426">
        <f t="shared" si="13"/>
        <v>5126.968</v>
      </c>
      <c r="Y27" s="496"/>
    </row>
    <row r="28" spans="2:25" s="5" customFormat="1" ht="16.5" customHeight="1">
      <c r="B28" s="50"/>
      <c r="C28" s="297">
        <v>107</v>
      </c>
      <c r="D28" s="489" t="s">
        <v>266</v>
      </c>
      <c r="E28" s="417" t="s">
        <v>324</v>
      </c>
      <c r="F28" s="490">
        <v>245</v>
      </c>
      <c r="G28" s="314">
        <f t="shared" si="0"/>
        <v>78.155</v>
      </c>
      <c r="H28" s="419">
        <v>39710.34375</v>
      </c>
      <c r="I28" s="211">
        <v>39711.708333333336</v>
      </c>
      <c r="J28" s="420">
        <f t="shared" si="1"/>
        <v>32.75000000005821</v>
      </c>
      <c r="K28" s="421">
        <f t="shared" si="2"/>
        <v>1965</v>
      </c>
      <c r="L28" s="243" t="s">
        <v>222</v>
      </c>
      <c r="M28" s="244" t="str">
        <f t="shared" si="3"/>
        <v>--</v>
      </c>
      <c r="N28" s="178" t="str">
        <f t="shared" si="4"/>
        <v>--</v>
      </c>
      <c r="O28" s="491">
        <f t="shared" si="5"/>
        <v>2</v>
      </c>
      <c r="P28" s="492">
        <f t="shared" si="6"/>
        <v>5119.1525</v>
      </c>
      <c r="Q28" s="493" t="str">
        <f t="shared" si="7"/>
        <v>--</v>
      </c>
      <c r="R28" s="494" t="str">
        <f t="shared" si="8"/>
        <v>--</v>
      </c>
      <c r="S28" s="321" t="str">
        <f t="shared" si="9"/>
        <v>--</v>
      </c>
      <c r="T28" s="967" t="s">
        <v>219</v>
      </c>
      <c r="U28" s="495" t="str">
        <f t="shared" si="10"/>
        <v>--</v>
      </c>
      <c r="V28" s="318" t="str">
        <f t="shared" si="11"/>
        <v>--</v>
      </c>
      <c r="W28" s="178" t="str">
        <f t="shared" si="12"/>
        <v>SI</v>
      </c>
      <c r="X28" s="426">
        <f t="shared" si="13"/>
        <v>5119.1525</v>
      </c>
      <c r="Y28" s="496"/>
    </row>
    <row r="29" spans="2:25" s="5" customFormat="1" ht="16.5" customHeight="1">
      <c r="B29" s="50"/>
      <c r="C29" s="297">
        <v>108</v>
      </c>
      <c r="D29" s="489" t="s">
        <v>266</v>
      </c>
      <c r="E29" s="417" t="s">
        <v>327</v>
      </c>
      <c r="F29" s="490">
        <v>245</v>
      </c>
      <c r="G29" s="314">
        <f t="shared" si="0"/>
        <v>78.155</v>
      </c>
      <c r="H29" s="419">
        <v>39712.18958333333</v>
      </c>
      <c r="I29" s="211">
        <v>39712.21319444444</v>
      </c>
      <c r="J29" s="420">
        <f t="shared" si="1"/>
        <v>0.566666666592937</v>
      </c>
      <c r="K29" s="421">
        <f t="shared" si="2"/>
        <v>34</v>
      </c>
      <c r="L29" s="243" t="s">
        <v>222</v>
      </c>
      <c r="M29" s="244" t="str">
        <f t="shared" si="3"/>
        <v>--</v>
      </c>
      <c r="N29" s="178" t="str">
        <f t="shared" si="4"/>
        <v>--</v>
      </c>
      <c r="O29" s="491">
        <f t="shared" si="5"/>
        <v>2</v>
      </c>
      <c r="P29" s="492">
        <f t="shared" si="6"/>
        <v>89.0967</v>
      </c>
      <c r="Q29" s="493" t="str">
        <f t="shared" si="7"/>
        <v>--</v>
      </c>
      <c r="R29" s="494" t="str">
        <f t="shared" si="8"/>
        <v>--</v>
      </c>
      <c r="S29" s="321" t="str">
        <f t="shared" si="9"/>
        <v>--</v>
      </c>
      <c r="T29" s="967" t="s">
        <v>219</v>
      </c>
      <c r="U29" s="495" t="str">
        <f t="shared" si="10"/>
        <v>--</v>
      </c>
      <c r="V29" s="318" t="str">
        <f t="shared" si="11"/>
        <v>--</v>
      </c>
      <c r="W29" s="178" t="str">
        <f t="shared" si="12"/>
        <v>SI</v>
      </c>
      <c r="X29" s="426">
        <f t="shared" si="13"/>
        <v>89.0967</v>
      </c>
      <c r="Y29" s="496"/>
    </row>
    <row r="30" spans="2:25" s="5" customFormat="1" ht="16.5" customHeight="1">
      <c r="B30" s="50"/>
      <c r="C30" s="297">
        <v>109</v>
      </c>
      <c r="D30" s="489" t="s">
        <v>266</v>
      </c>
      <c r="E30" s="417" t="s">
        <v>328</v>
      </c>
      <c r="F30" s="490">
        <v>245</v>
      </c>
      <c r="G30" s="314">
        <f t="shared" si="0"/>
        <v>78.155</v>
      </c>
      <c r="H30" s="419">
        <v>39712.18958333333</v>
      </c>
      <c r="I30" s="211">
        <v>39712.21111111111</v>
      </c>
      <c r="J30" s="420">
        <f t="shared" si="1"/>
        <v>0.5166666666045785</v>
      </c>
      <c r="K30" s="421">
        <f t="shared" si="2"/>
        <v>31</v>
      </c>
      <c r="L30" s="243" t="s">
        <v>222</v>
      </c>
      <c r="M30" s="244" t="str">
        <f t="shared" si="3"/>
        <v>--</v>
      </c>
      <c r="N30" s="178" t="str">
        <f t="shared" si="4"/>
        <v>--</v>
      </c>
      <c r="O30" s="491">
        <f t="shared" si="5"/>
        <v>2</v>
      </c>
      <c r="P30" s="492">
        <f t="shared" si="6"/>
        <v>81.2812</v>
      </c>
      <c r="Q30" s="493" t="str">
        <f t="shared" si="7"/>
        <v>--</v>
      </c>
      <c r="R30" s="494" t="str">
        <f t="shared" si="8"/>
        <v>--</v>
      </c>
      <c r="S30" s="321" t="str">
        <f t="shared" si="9"/>
        <v>--</v>
      </c>
      <c r="T30" s="967" t="s">
        <v>219</v>
      </c>
      <c r="U30" s="495" t="str">
        <f t="shared" si="10"/>
        <v>--</v>
      </c>
      <c r="V30" s="318" t="str">
        <f t="shared" si="11"/>
        <v>--</v>
      </c>
      <c r="W30" s="178" t="str">
        <f t="shared" si="12"/>
        <v>SI</v>
      </c>
      <c r="X30" s="426">
        <f t="shared" si="13"/>
        <v>81.2812</v>
      </c>
      <c r="Y30" s="6"/>
    </row>
    <row r="31" spans="2:25" s="5" customFormat="1" ht="16.5" customHeight="1">
      <c r="B31" s="50"/>
      <c r="C31" s="297">
        <v>110</v>
      </c>
      <c r="D31" s="489" t="s">
        <v>266</v>
      </c>
      <c r="E31" s="417" t="s">
        <v>327</v>
      </c>
      <c r="F31" s="490">
        <v>245</v>
      </c>
      <c r="G31" s="314">
        <f t="shared" si="0"/>
        <v>78.155</v>
      </c>
      <c r="H31" s="419">
        <v>39713.25625</v>
      </c>
      <c r="I31" s="211">
        <v>39713.58472222222</v>
      </c>
      <c r="J31" s="420">
        <f t="shared" si="1"/>
        <v>7.883333333360497</v>
      </c>
      <c r="K31" s="421">
        <f t="shared" si="2"/>
        <v>473</v>
      </c>
      <c r="L31" s="243" t="s">
        <v>222</v>
      </c>
      <c r="M31" s="244" t="str">
        <f t="shared" si="3"/>
        <v>--</v>
      </c>
      <c r="N31" s="178" t="str">
        <f t="shared" si="4"/>
        <v>--</v>
      </c>
      <c r="O31" s="491">
        <f t="shared" si="5"/>
        <v>2</v>
      </c>
      <c r="P31" s="492">
        <f t="shared" si="6"/>
        <v>1231.7228</v>
      </c>
      <c r="Q31" s="493" t="str">
        <f t="shared" si="7"/>
        <v>--</v>
      </c>
      <c r="R31" s="494" t="str">
        <f t="shared" si="8"/>
        <v>--</v>
      </c>
      <c r="S31" s="321" t="str">
        <f t="shared" si="9"/>
        <v>--</v>
      </c>
      <c r="T31" s="967" t="s">
        <v>219</v>
      </c>
      <c r="U31" s="495" t="str">
        <f t="shared" si="10"/>
        <v>--</v>
      </c>
      <c r="V31" s="318" t="str">
        <f t="shared" si="11"/>
        <v>--</v>
      </c>
      <c r="W31" s="178" t="str">
        <f t="shared" si="12"/>
        <v>SI</v>
      </c>
      <c r="X31" s="426">
        <f t="shared" si="13"/>
        <v>1231.7228</v>
      </c>
      <c r="Y31" s="6"/>
    </row>
    <row r="32" spans="2:25" s="5" customFormat="1" ht="16.5" customHeight="1">
      <c r="B32" s="50"/>
      <c r="C32" s="297">
        <v>111</v>
      </c>
      <c r="D32" s="489" t="s">
        <v>266</v>
      </c>
      <c r="E32" s="417" t="s">
        <v>328</v>
      </c>
      <c r="F32" s="490">
        <v>245</v>
      </c>
      <c r="G32" s="314">
        <f t="shared" si="0"/>
        <v>78.155</v>
      </c>
      <c r="H32" s="419">
        <v>39714.254166666666</v>
      </c>
      <c r="I32" s="211">
        <v>39714.57152777778</v>
      </c>
      <c r="J32" s="420">
        <f t="shared" si="1"/>
        <v>7.616666666697711</v>
      </c>
      <c r="K32" s="421">
        <f t="shared" si="2"/>
        <v>457</v>
      </c>
      <c r="L32" s="243" t="s">
        <v>222</v>
      </c>
      <c r="M32" s="244" t="str">
        <f t="shared" si="3"/>
        <v>--</v>
      </c>
      <c r="N32" s="178" t="str">
        <f t="shared" si="4"/>
        <v>--</v>
      </c>
      <c r="O32" s="491">
        <f t="shared" si="5"/>
        <v>2</v>
      </c>
      <c r="P32" s="492">
        <f t="shared" si="6"/>
        <v>1191.0822</v>
      </c>
      <c r="Q32" s="493" t="str">
        <f t="shared" si="7"/>
        <v>--</v>
      </c>
      <c r="R32" s="494" t="str">
        <f t="shared" si="8"/>
        <v>--</v>
      </c>
      <c r="S32" s="321" t="str">
        <f t="shared" si="9"/>
        <v>--</v>
      </c>
      <c r="T32" s="967" t="s">
        <v>219</v>
      </c>
      <c r="U32" s="495" t="str">
        <f t="shared" si="10"/>
        <v>--</v>
      </c>
      <c r="V32" s="318" t="str">
        <f t="shared" si="11"/>
        <v>--</v>
      </c>
      <c r="W32" s="178" t="str">
        <f t="shared" si="12"/>
        <v>SI</v>
      </c>
      <c r="X32" s="426">
        <f t="shared" si="13"/>
        <v>1191.0822</v>
      </c>
      <c r="Y32" s="6"/>
    </row>
    <row r="33" spans="2:25" s="5" customFormat="1" ht="16.5" customHeight="1">
      <c r="B33" s="50"/>
      <c r="C33" s="297">
        <v>112</v>
      </c>
      <c r="D33" s="489" t="s">
        <v>266</v>
      </c>
      <c r="E33" s="417" t="s">
        <v>328</v>
      </c>
      <c r="F33" s="490">
        <v>245</v>
      </c>
      <c r="G33" s="314">
        <f t="shared" si="0"/>
        <v>78.155</v>
      </c>
      <c r="H33" s="419">
        <v>39718.30347222222</v>
      </c>
      <c r="I33" s="211">
        <v>39719.75902777778</v>
      </c>
      <c r="J33" s="420">
        <f t="shared" si="1"/>
        <v>34.933333333348855</v>
      </c>
      <c r="K33" s="421">
        <f t="shared" si="2"/>
        <v>2096</v>
      </c>
      <c r="L33" s="243" t="s">
        <v>222</v>
      </c>
      <c r="M33" s="244" t="str">
        <f t="shared" si="3"/>
        <v>--</v>
      </c>
      <c r="N33" s="178" t="str">
        <f t="shared" si="4"/>
        <v>--</v>
      </c>
      <c r="O33" s="491">
        <f t="shared" si="5"/>
        <v>2</v>
      </c>
      <c r="P33" s="492">
        <f t="shared" si="6"/>
        <v>5459.9083</v>
      </c>
      <c r="Q33" s="493" t="str">
        <f t="shared" si="7"/>
        <v>--</v>
      </c>
      <c r="R33" s="494" t="str">
        <f t="shared" si="8"/>
        <v>--</v>
      </c>
      <c r="S33" s="321" t="str">
        <f t="shared" si="9"/>
        <v>--</v>
      </c>
      <c r="T33" s="967" t="s">
        <v>219</v>
      </c>
      <c r="U33" s="495" t="str">
        <f t="shared" si="10"/>
        <v>--</v>
      </c>
      <c r="V33" s="318" t="str">
        <f t="shared" si="11"/>
        <v>--</v>
      </c>
      <c r="W33" s="178" t="str">
        <f t="shared" si="12"/>
        <v>SI</v>
      </c>
      <c r="X33" s="426">
        <f t="shared" si="13"/>
        <v>5459.9083</v>
      </c>
      <c r="Y33" s="6"/>
    </row>
    <row r="34" spans="2:25" s="5" customFormat="1" ht="16.5" customHeight="1">
      <c r="B34" s="50"/>
      <c r="C34" s="297">
        <v>113</v>
      </c>
      <c r="D34" s="489" t="s">
        <v>266</v>
      </c>
      <c r="E34" s="417" t="s">
        <v>327</v>
      </c>
      <c r="F34" s="490">
        <v>245</v>
      </c>
      <c r="G34" s="314">
        <f t="shared" si="0"/>
        <v>78.155</v>
      </c>
      <c r="H34" s="419">
        <v>39718.30347222222</v>
      </c>
      <c r="I34" s="211">
        <v>39719.756944444445</v>
      </c>
      <c r="J34" s="420">
        <f t="shared" si="1"/>
        <v>34.8833333333605</v>
      </c>
      <c r="K34" s="421">
        <f t="shared" si="2"/>
        <v>2093</v>
      </c>
      <c r="L34" s="243" t="s">
        <v>222</v>
      </c>
      <c r="M34" s="244" t="str">
        <f t="shared" si="3"/>
        <v>--</v>
      </c>
      <c r="N34" s="178" t="str">
        <f t="shared" si="4"/>
        <v>--</v>
      </c>
      <c r="O34" s="491">
        <f t="shared" si="5"/>
        <v>2</v>
      </c>
      <c r="P34" s="492">
        <f t="shared" si="6"/>
        <v>5452.0928</v>
      </c>
      <c r="Q34" s="493" t="str">
        <f t="shared" si="7"/>
        <v>--</v>
      </c>
      <c r="R34" s="494" t="str">
        <f t="shared" si="8"/>
        <v>--</v>
      </c>
      <c r="S34" s="321" t="str">
        <f t="shared" si="9"/>
        <v>--</v>
      </c>
      <c r="T34" s="967" t="s">
        <v>219</v>
      </c>
      <c r="U34" s="495" t="str">
        <f t="shared" si="10"/>
        <v>--</v>
      </c>
      <c r="V34" s="318" t="str">
        <f t="shared" si="11"/>
        <v>--</v>
      </c>
      <c r="W34" s="178" t="str">
        <f t="shared" si="12"/>
        <v>SI</v>
      </c>
      <c r="X34" s="426">
        <f t="shared" si="13"/>
        <v>5452.0928</v>
      </c>
      <c r="Y34" s="6"/>
    </row>
    <row r="35" spans="2:25" s="5" customFormat="1" ht="16.5" customHeight="1">
      <c r="B35" s="50"/>
      <c r="C35" s="297">
        <v>114</v>
      </c>
      <c r="D35" s="489" t="s">
        <v>266</v>
      </c>
      <c r="E35" s="417" t="s">
        <v>323</v>
      </c>
      <c r="F35" s="490">
        <v>245</v>
      </c>
      <c r="G35" s="314">
        <f t="shared" si="0"/>
        <v>78.155</v>
      </c>
      <c r="H35" s="419">
        <v>39720.40694444445</v>
      </c>
      <c r="I35" s="211">
        <v>39721.99930555555</v>
      </c>
      <c r="J35" s="420">
        <f t="shared" si="1"/>
        <v>38.21666666655801</v>
      </c>
      <c r="K35" s="421">
        <f t="shared" si="2"/>
        <v>2293</v>
      </c>
      <c r="L35" s="243" t="s">
        <v>222</v>
      </c>
      <c r="M35" s="244" t="str">
        <f t="shared" si="3"/>
        <v>--</v>
      </c>
      <c r="N35" s="178" t="str">
        <f t="shared" si="4"/>
        <v>--</v>
      </c>
      <c r="O35" s="491">
        <f t="shared" si="5"/>
        <v>2</v>
      </c>
      <c r="P35" s="492">
        <f t="shared" si="6"/>
        <v>5974.1682</v>
      </c>
      <c r="Q35" s="493" t="str">
        <f t="shared" si="7"/>
        <v>--</v>
      </c>
      <c r="R35" s="494" t="str">
        <f t="shared" si="8"/>
        <v>--</v>
      </c>
      <c r="S35" s="321" t="str">
        <f t="shared" si="9"/>
        <v>--</v>
      </c>
      <c r="T35" s="967" t="s">
        <v>219</v>
      </c>
      <c r="U35" s="495" t="str">
        <f t="shared" si="10"/>
        <v>--</v>
      </c>
      <c r="V35" s="318" t="str">
        <f t="shared" si="11"/>
        <v>--</v>
      </c>
      <c r="W35" s="178" t="str">
        <f t="shared" si="12"/>
        <v>SI</v>
      </c>
      <c r="X35" s="426">
        <f t="shared" si="13"/>
        <v>5974.1682</v>
      </c>
      <c r="Y35" s="6"/>
    </row>
    <row r="36" spans="2:25" s="5" customFormat="1" ht="16.5" customHeight="1">
      <c r="B36" s="50"/>
      <c r="C36" s="297"/>
      <c r="D36" s="489"/>
      <c r="E36" s="417"/>
      <c r="F36" s="490"/>
      <c r="G36" s="314">
        <f t="shared" si="0"/>
        <v>0</v>
      </c>
      <c r="H36" s="419"/>
      <c r="I36" s="211"/>
      <c r="J36" s="420">
        <f t="shared" si="1"/>
      </c>
      <c r="K36" s="421">
        <f t="shared" si="2"/>
      </c>
      <c r="L36" s="243"/>
      <c r="M36" s="244">
        <f t="shared" si="3"/>
      </c>
      <c r="N36" s="178">
        <f t="shared" si="4"/>
      </c>
      <c r="O36" s="491">
        <f t="shared" si="5"/>
        <v>20</v>
      </c>
      <c r="P36" s="492" t="str">
        <f t="shared" si="6"/>
        <v>--</v>
      </c>
      <c r="Q36" s="493" t="str">
        <f t="shared" si="7"/>
        <v>--</v>
      </c>
      <c r="R36" s="494" t="str">
        <f t="shared" si="8"/>
        <v>--</v>
      </c>
      <c r="S36" s="321" t="str">
        <f t="shared" si="9"/>
        <v>--</v>
      </c>
      <c r="T36" s="322" t="str">
        <f>IF(L36="R",G36*O36*M36/100*ROUND(K36/60,2),"--")</f>
        <v>--</v>
      </c>
      <c r="U36" s="495" t="str">
        <f t="shared" si="10"/>
        <v>--</v>
      </c>
      <c r="V36" s="318" t="str">
        <f t="shared" si="11"/>
        <v>--</v>
      </c>
      <c r="W36" s="178">
        <f t="shared" si="12"/>
      </c>
      <c r="X36" s="426">
        <f t="shared" si="13"/>
      </c>
      <c r="Y36" s="6"/>
    </row>
    <row r="37" spans="2:25" s="5" customFormat="1" ht="16.5" customHeight="1">
      <c r="B37" s="50"/>
      <c r="C37" s="180"/>
      <c r="D37" s="489"/>
      <c r="E37" s="417"/>
      <c r="F37" s="490"/>
      <c r="G37" s="314">
        <f t="shared" si="0"/>
        <v>0</v>
      </c>
      <c r="H37" s="419"/>
      <c r="I37" s="211"/>
      <c r="J37" s="420">
        <f t="shared" si="1"/>
      </c>
      <c r="K37" s="421">
        <f t="shared" si="2"/>
      </c>
      <c r="L37" s="243"/>
      <c r="M37" s="244">
        <f>IF(D37="","","--")</f>
      </c>
      <c r="N37" s="178">
        <f>IF(D37="","",IF(OR(L37="P",L37="RP"),"--","NO"))</f>
      </c>
      <c r="O37" s="491">
        <f t="shared" si="5"/>
        <v>20</v>
      </c>
      <c r="P37" s="492" t="str">
        <f t="shared" si="6"/>
        <v>--</v>
      </c>
      <c r="Q37" s="493" t="str">
        <f t="shared" si="7"/>
        <v>--</v>
      </c>
      <c r="R37" s="494" t="str">
        <f t="shared" si="8"/>
        <v>--</v>
      </c>
      <c r="S37" s="321" t="str">
        <f t="shared" si="9"/>
        <v>--</v>
      </c>
      <c r="T37" s="322" t="str">
        <f>IF(L37="R",G37*O37*M37/100*ROUND(K37/60,2),"--")</f>
        <v>--</v>
      </c>
      <c r="U37" s="495" t="str">
        <f t="shared" si="10"/>
        <v>--</v>
      </c>
      <c r="V37" s="318" t="str">
        <f t="shared" si="11"/>
        <v>--</v>
      </c>
      <c r="W37" s="178">
        <f t="shared" si="12"/>
      </c>
      <c r="X37" s="426">
        <f t="shared" si="13"/>
      </c>
      <c r="Y37" s="6"/>
    </row>
    <row r="38" spans="2:25" s="5" customFormat="1" ht="16.5" customHeight="1">
      <c r="B38" s="50"/>
      <c r="C38" s="297"/>
      <c r="D38" s="489"/>
      <c r="E38" s="417"/>
      <c r="F38" s="490"/>
      <c r="G38" s="314">
        <f t="shared" si="0"/>
        <v>0</v>
      </c>
      <c r="H38" s="419"/>
      <c r="I38" s="211"/>
      <c r="J38" s="420">
        <f t="shared" si="1"/>
      </c>
      <c r="K38" s="421">
        <f t="shared" si="2"/>
      </c>
      <c r="L38" s="243"/>
      <c r="M38" s="244">
        <f>IF(D38="","","--")</f>
      </c>
      <c r="N38" s="178">
        <f>IF(D38="","",IF(OR(L38="P",L38="RP"),"--","NO"))</f>
      </c>
      <c r="O38" s="491">
        <f t="shared" si="5"/>
        <v>20</v>
      </c>
      <c r="P38" s="492" t="str">
        <f t="shared" si="6"/>
        <v>--</v>
      </c>
      <c r="Q38" s="493" t="str">
        <f>IF(AND(L38="F",N39="NO"),G38*O38,"--")</f>
        <v>--</v>
      </c>
      <c r="R38" s="494" t="str">
        <f t="shared" si="8"/>
        <v>--</v>
      </c>
      <c r="S38" s="321" t="str">
        <f>IF(AND(L38="R",N39="NO"),G38*O38*M39/100,"--")</f>
        <v>--</v>
      </c>
      <c r="T38" s="322" t="str">
        <f>IF(L38="R",G38*O38*M39/100*ROUND(K38/60,2),"--")</f>
        <v>--</v>
      </c>
      <c r="U38" s="495" t="str">
        <f t="shared" si="10"/>
        <v>--</v>
      </c>
      <c r="V38" s="318" t="str">
        <f>IF(L38="RP",G38*O38*M39/100*ROUND(K38/60,2),"--")</f>
        <v>--</v>
      </c>
      <c r="W38" s="178">
        <f t="shared" si="12"/>
      </c>
      <c r="X38" s="426">
        <f>IF(D38="","",SUM(P38:V38)*IF(W38="SI",1,2)*IF(AND(M39&lt;&gt;"--",L38="RF"),M39/100,1))</f>
      </c>
      <c r="Y38" s="6"/>
    </row>
    <row r="39" spans="2:25" s="5" customFormat="1" ht="16.5" customHeight="1">
      <c r="B39" s="50"/>
      <c r="C39" s="10"/>
      <c r="D39" s="489"/>
      <c r="E39" s="417"/>
      <c r="F39" s="490"/>
      <c r="G39" s="314"/>
      <c r="H39" s="419"/>
      <c r="I39" s="211"/>
      <c r="J39" s="420"/>
      <c r="K39" s="421"/>
      <c r="L39" s="243"/>
      <c r="M39" s="244">
        <f>IF(D39="","","--")</f>
      </c>
      <c r="N39" s="178">
        <f>IF(D39="","",IF(OR(L39="P",L39="RP"),"--","NO"))</f>
      </c>
      <c r="O39" s="491"/>
      <c r="P39" s="492"/>
      <c r="Q39" s="493"/>
      <c r="R39" s="494"/>
      <c r="S39" s="321"/>
      <c r="T39" s="322"/>
      <c r="U39" s="495"/>
      <c r="V39" s="318"/>
      <c r="W39" s="178"/>
      <c r="X39" s="426"/>
      <c r="Y39" s="6"/>
    </row>
    <row r="40" spans="2:25" s="5" customFormat="1" ht="16.5" customHeight="1">
      <c r="B40" s="50"/>
      <c r="C40" s="180"/>
      <c r="D40" s="489"/>
      <c r="E40" s="417"/>
      <c r="F40" s="490"/>
      <c r="G40" s="314">
        <f t="shared" si="0"/>
        <v>0</v>
      </c>
      <c r="H40" s="419"/>
      <c r="I40" s="211"/>
      <c r="J40" s="420">
        <f t="shared" si="1"/>
      </c>
      <c r="K40" s="421">
        <f t="shared" si="2"/>
      </c>
      <c r="L40" s="243"/>
      <c r="M40" s="244">
        <f>IF(D40="","","--")</f>
      </c>
      <c r="N40" s="178">
        <f>IF(D40="","",IF(OR(L40="P",L40="RP"),"--","NO"))</f>
      </c>
      <c r="O40" s="491">
        <f t="shared" si="5"/>
        <v>20</v>
      </c>
      <c r="P40" s="492" t="str">
        <f t="shared" si="6"/>
        <v>--</v>
      </c>
      <c r="Q40" s="493" t="str">
        <f t="shared" si="7"/>
        <v>--</v>
      </c>
      <c r="R40" s="494" t="str">
        <f t="shared" si="8"/>
        <v>--</v>
      </c>
      <c r="S40" s="321" t="str">
        <f t="shared" si="9"/>
        <v>--</v>
      </c>
      <c r="T40" s="322" t="str">
        <f>IF(L40="R",G40*O40*M40/100*ROUND(K40/60,2),"--")</f>
        <v>--</v>
      </c>
      <c r="U40" s="495" t="str">
        <f t="shared" si="10"/>
        <v>--</v>
      </c>
      <c r="V40" s="318" t="str">
        <f t="shared" si="11"/>
        <v>--</v>
      </c>
      <c r="W40" s="178">
        <f t="shared" si="12"/>
      </c>
      <c r="X40" s="426">
        <f t="shared" si="13"/>
      </c>
      <c r="Y40" s="6"/>
    </row>
    <row r="41" spans="2:25" s="5" customFormat="1" ht="16.5" customHeight="1">
      <c r="B41" s="50"/>
      <c r="C41" s="297"/>
      <c r="D41" s="489"/>
      <c r="E41" s="417"/>
      <c r="F41" s="490"/>
      <c r="G41" s="314">
        <f t="shared" si="0"/>
        <v>0</v>
      </c>
      <c r="H41" s="419"/>
      <c r="I41" s="211"/>
      <c r="J41" s="420">
        <f t="shared" si="1"/>
      </c>
      <c r="K41" s="421">
        <f t="shared" si="2"/>
      </c>
      <c r="L41" s="243"/>
      <c r="M41" s="244">
        <f t="shared" si="3"/>
      </c>
      <c r="N41" s="178">
        <f t="shared" si="4"/>
      </c>
      <c r="O41" s="491">
        <f t="shared" si="5"/>
        <v>20</v>
      </c>
      <c r="P41" s="492" t="str">
        <f t="shared" si="6"/>
        <v>--</v>
      </c>
      <c r="Q41" s="493" t="str">
        <f t="shared" si="7"/>
        <v>--</v>
      </c>
      <c r="R41" s="494" t="str">
        <f t="shared" si="8"/>
        <v>--</v>
      </c>
      <c r="S41" s="321" t="str">
        <f t="shared" si="9"/>
        <v>--</v>
      </c>
      <c r="T41" s="322" t="str">
        <f>IF(L41="R",G41*O41*M41/100*ROUND(K41/60,2),"--")</f>
        <v>--</v>
      </c>
      <c r="U41" s="495" t="str">
        <f t="shared" si="10"/>
        <v>--</v>
      </c>
      <c r="V41" s="318" t="str">
        <f t="shared" si="11"/>
        <v>--</v>
      </c>
      <c r="W41" s="178">
        <f t="shared" si="12"/>
      </c>
      <c r="X41" s="426">
        <f t="shared" si="13"/>
      </c>
      <c r="Y41" s="6"/>
    </row>
    <row r="42" spans="2:25" s="5" customFormat="1" ht="16.5" customHeight="1" thickBot="1">
      <c r="B42" s="50"/>
      <c r="C42" s="180"/>
      <c r="D42" s="497"/>
      <c r="E42" s="172"/>
      <c r="F42" s="498"/>
      <c r="G42" s="130"/>
      <c r="H42" s="427"/>
      <c r="I42" s="427"/>
      <c r="J42" s="428"/>
      <c r="K42" s="428"/>
      <c r="L42" s="427"/>
      <c r="M42" s="216"/>
      <c r="N42" s="177"/>
      <c r="O42" s="499"/>
      <c r="P42" s="500"/>
      <c r="Q42" s="501"/>
      <c r="R42" s="502"/>
      <c r="S42" s="339"/>
      <c r="T42" s="340"/>
      <c r="U42" s="503"/>
      <c r="V42" s="503"/>
      <c r="W42" s="177"/>
      <c r="X42" s="504"/>
      <c r="Y42" s="6"/>
    </row>
    <row r="43" spans="2:25" s="5" customFormat="1" ht="16.5" customHeight="1" thickBot="1" thickTop="1">
      <c r="B43" s="50"/>
      <c r="C43" s="126" t="s">
        <v>23</v>
      </c>
      <c r="D43" s="127" t="s">
        <v>340</v>
      </c>
      <c r="G43" s="4"/>
      <c r="H43" s="4"/>
      <c r="I43" s="4"/>
      <c r="J43" s="4"/>
      <c r="K43" s="4"/>
      <c r="L43" s="4"/>
      <c r="M43" s="4"/>
      <c r="N43" s="4"/>
      <c r="O43" s="4"/>
      <c r="P43" s="505">
        <f aca="true" t="shared" si="14" ref="P43:V43">SUM(P20:P42)</f>
        <v>38234.9891</v>
      </c>
      <c r="Q43" s="506">
        <f t="shared" si="14"/>
        <v>0</v>
      </c>
      <c r="R43" s="507">
        <f t="shared" si="14"/>
        <v>526.35</v>
      </c>
      <c r="S43" s="349">
        <f t="shared" si="14"/>
        <v>0</v>
      </c>
      <c r="T43" s="350">
        <f t="shared" si="14"/>
        <v>0</v>
      </c>
      <c r="U43" s="508">
        <f t="shared" si="14"/>
        <v>0</v>
      </c>
      <c r="V43" s="508">
        <f t="shared" si="14"/>
        <v>0</v>
      </c>
      <c r="X43" s="99">
        <f>ROUND(SUM(X20:X42),2)</f>
        <v>38761.34</v>
      </c>
      <c r="Y43" s="509"/>
    </row>
    <row r="44" spans="2:25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4:27" ht="16.5" customHeight="1" thickTop="1">
      <c r="D45" s="203"/>
      <c r="E45" s="203"/>
      <c r="F45" s="203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</row>
    <row r="46" spans="4:27" ht="16.5" customHeight="1">
      <c r="D46" s="203"/>
      <c r="E46" s="203"/>
      <c r="F46" s="203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</row>
    <row r="47" spans="4:27" ht="16.5" customHeight="1">
      <c r="D47" s="203"/>
      <c r="E47" s="203"/>
      <c r="F47" s="203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</row>
    <row r="48" spans="4:27" ht="16.5" customHeight="1">
      <c r="D48" s="203"/>
      <c r="E48" s="203"/>
      <c r="F48" s="203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</row>
    <row r="49" spans="4:27" ht="16.5" customHeight="1">
      <c r="D49" s="203"/>
      <c r="E49" s="203"/>
      <c r="F49" s="203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4:27" ht="16.5" customHeight="1">
      <c r="D50" s="203"/>
      <c r="E50" s="203"/>
      <c r="F50" s="203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</row>
    <row r="51" spans="4:27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</row>
    <row r="52" spans="4:27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4:27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</row>
    <row r="54" spans="4:27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</row>
    <row r="55" spans="4:27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</row>
    <row r="56" spans="4:27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</row>
    <row r="57" spans="4:27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</row>
    <row r="58" spans="4:27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</row>
    <row r="59" spans="4:27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</row>
    <row r="60" spans="4:27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</row>
    <row r="61" spans="4:27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</row>
    <row r="62" spans="4:27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</row>
    <row r="63" spans="4:27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</row>
    <row r="64" spans="4:27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</row>
    <row r="65" spans="4:27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</row>
    <row r="66" spans="4:27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</row>
    <row r="67" spans="4:27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</row>
    <row r="68" spans="4:27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</row>
    <row r="69" spans="4:27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</row>
    <row r="70" spans="4:27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</row>
    <row r="71" spans="4:27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</row>
    <row r="72" spans="4:27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</row>
    <row r="73" spans="4:27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</row>
    <row r="74" spans="4:27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4:27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</row>
    <row r="76" spans="4:27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</row>
    <row r="77" spans="4:27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</row>
    <row r="78" spans="4:27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</row>
    <row r="79" spans="4:27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</row>
    <row r="80" spans="4:27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4:27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</row>
    <row r="82" spans="4:27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</row>
    <row r="83" spans="4:27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</row>
    <row r="84" spans="4:27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</row>
    <row r="85" spans="4:27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</row>
    <row r="86" spans="4:27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</row>
    <row r="87" spans="4:27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</row>
    <row r="88" spans="4:27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</row>
    <row r="89" spans="4:27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</row>
    <row r="90" spans="4:27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</row>
    <row r="91" spans="4:27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</row>
    <row r="92" spans="4:27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</row>
    <row r="93" spans="4:27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</row>
    <row r="94" spans="4:27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</row>
    <row r="95" spans="4:27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</row>
    <row r="96" spans="4:27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</row>
    <row r="97" spans="4:27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</row>
    <row r="98" spans="4:27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</row>
    <row r="99" spans="4:27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</row>
    <row r="100" spans="4:27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</row>
    <row r="101" spans="4:27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</row>
    <row r="102" spans="4:27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</row>
    <row r="103" spans="4:27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</row>
    <row r="104" spans="4:27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</row>
    <row r="105" spans="4:27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</row>
    <row r="106" spans="4:27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</row>
    <row r="107" spans="4:27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</row>
    <row r="108" spans="4:27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</row>
    <row r="109" spans="4:27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</row>
    <row r="110" spans="4:27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</row>
    <row r="111" spans="4:27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</row>
    <row r="112" spans="4:27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</row>
    <row r="113" spans="4:27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</row>
    <row r="114" spans="4:27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</row>
    <row r="115" spans="4:27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</row>
    <row r="116" spans="4:27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</row>
    <row r="117" spans="4:27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</row>
    <row r="118" spans="4:27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</row>
    <row r="119" spans="4:27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</row>
    <row r="120" spans="4:27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</row>
    <row r="121" spans="4:27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</row>
    <row r="122" spans="4:27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</row>
    <row r="123" spans="4:27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</row>
    <row r="124" spans="4:27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</row>
    <row r="125" spans="4:27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</row>
    <row r="126" spans="4:27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</row>
    <row r="127" spans="4:27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</row>
    <row r="128" spans="4:27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</row>
    <row r="129" spans="4:27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</row>
    <row r="130" spans="4:27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</row>
    <row r="131" spans="4:27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</row>
    <row r="132" spans="4:27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</row>
    <row r="133" spans="4:27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</row>
    <row r="134" spans="4:27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</row>
    <row r="135" spans="4:27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</row>
    <row r="136" spans="4:27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</row>
    <row r="137" spans="4:27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</row>
    <row r="138" spans="4:27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</row>
    <row r="139" spans="4:27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</row>
    <row r="140" spans="4:27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</row>
    <row r="141" spans="4:27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</row>
    <row r="142" spans="4:27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</row>
    <row r="143" spans="4:27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</row>
    <row r="144" spans="4:27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</row>
    <row r="145" spans="4:27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</row>
    <row r="146" spans="4:27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</row>
    <row r="147" spans="4:27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</row>
    <row r="148" spans="4:27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</row>
    <row r="149" spans="4:27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</row>
    <row r="150" spans="4:27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</row>
    <row r="151" spans="4:27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</row>
    <row r="152" spans="4:27" ht="16.5" customHeight="1">
      <c r="D152" s="202"/>
      <c r="E152" s="202"/>
      <c r="F152" s="202"/>
      <c r="Z152" s="202"/>
      <c r="AA152" s="202"/>
    </row>
    <row r="153" spans="4:6" ht="16.5" customHeight="1">
      <c r="D153" s="202"/>
      <c r="E153" s="202"/>
      <c r="F153" s="202"/>
    </row>
    <row r="154" spans="4:6" ht="16.5" customHeight="1">
      <c r="D154" s="202"/>
      <c r="E154" s="202"/>
      <c r="F154" s="202"/>
    </row>
    <row r="155" spans="4:6" ht="16.5" customHeight="1">
      <c r="D155" s="202"/>
      <c r="E155" s="202"/>
      <c r="F155" s="202"/>
    </row>
    <row r="156" spans="4:6" ht="16.5" customHeight="1">
      <c r="D156" s="202"/>
      <c r="E156" s="202"/>
      <c r="F156" s="202"/>
    </row>
    <row r="157" spans="4:6" ht="16.5" customHeight="1">
      <c r="D157" s="202"/>
      <c r="E157" s="202"/>
      <c r="F157" s="20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154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66" t="str">
        <f>+'TOT-0908'!B2</f>
        <v>ANEXO IV al Memorándum D.T.E.E. N°   366  / 2010          </v>
      </c>
      <c r="C2" s="266"/>
      <c r="D2" s="266"/>
      <c r="E2" s="19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67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67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68" t="s">
        <v>66</v>
      </c>
      <c r="E8" s="104"/>
      <c r="F8" s="104"/>
      <c r="G8" s="269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70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26" customFormat="1" ht="33" customHeight="1">
      <c r="A10" s="949"/>
      <c r="B10" s="957"/>
      <c r="C10" s="949"/>
      <c r="D10" s="958" t="s">
        <v>232</v>
      </c>
      <c r="E10" s="949"/>
      <c r="F10" s="959"/>
      <c r="G10" s="960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60"/>
      <c r="S10" s="960"/>
      <c r="T10" s="960"/>
      <c r="U10" s="960"/>
      <c r="V10" s="960"/>
      <c r="W10" s="960"/>
      <c r="X10" s="960"/>
      <c r="Y10" s="960"/>
      <c r="Z10" s="960"/>
      <c r="AA10" s="960"/>
      <c r="AB10" s="928"/>
    </row>
    <row r="11" spans="1:28" s="929" customFormat="1" ht="33" customHeight="1">
      <c r="A11" s="953"/>
      <c r="B11" s="961"/>
      <c r="C11" s="953"/>
      <c r="D11" s="962" t="s">
        <v>236</v>
      </c>
      <c r="E11" s="963"/>
      <c r="F11" s="963"/>
      <c r="G11" s="964"/>
      <c r="H11" s="963"/>
      <c r="I11" s="963"/>
      <c r="J11" s="963"/>
      <c r="K11" s="963"/>
      <c r="L11" s="963"/>
      <c r="M11" s="953"/>
      <c r="N11" s="953"/>
      <c r="O11" s="953"/>
      <c r="P11" s="953"/>
      <c r="Q11" s="95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32"/>
    </row>
    <row r="12" spans="1:28" s="36" customFormat="1" ht="19.5">
      <c r="A12" s="108"/>
      <c r="B12" s="37" t="str">
        <f>+'TOT-0908'!B14</f>
        <v>Desde el 01 al 30 de septiembre de 2008</v>
      </c>
      <c r="C12" s="271"/>
      <c r="D12" s="111"/>
      <c r="E12" s="111"/>
      <c r="F12" s="111"/>
      <c r="G12" s="111"/>
      <c r="H12" s="111"/>
      <c r="I12" s="111"/>
      <c r="J12" s="111"/>
      <c r="K12" s="111"/>
      <c r="L12" s="111"/>
      <c r="M12" s="271"/>
      <c r="N12" s="271"/>
      <c r="O12" s="271"/>
      <c r="P12" s="271"/>
      <c r="Q12" s="27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272"/>
    </row>
    <row r="13" spans="1:28" s="5" customFormat="1" ht="13.5" thickBot="1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88"/>
      <c r="B14" s="93"/>
      <c r="C14" s="88"/>
      <c r="D14" s="273" t="s">
        <v>72</v>
      </c>
      <c r="E14" s="274"/>
      <c r="F14" s="275">
        <v>0.118</v>
      </c>
      <c r="H14" s="88"/>
      <c r="I14" s="88"/>
      <c r="J14" s="88"/>
      <c r="K14" s="88"/>
      <c r="L14" s="88"/>
      <c r="M14" s="88"/>
      <c r="N14" s="8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88"/>
      <c r="B15" s="93"/>
      <c r="C15" s="88"/>
      <c r="D15" s="109" t="s">
        <v>24</v>
      </c>
      <c r="E15" s="110"/>
      <c r="F15" s="913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7"/>
      <c r="V15" s="97"/>
      <c r="W15" s="97"/>
      <c r="X15" s="97"/>
      <c r="Y15" s="97"/>
      <c r="Z15" s="97"/>
      <c r="AA15" s="88"/>
      <c r="AB15" s="17"/>
    </row>
    <row r="16" spans="1:28" s="5" customFormat="1" ht="16.5" customHeight="1" thickBot="1" thickTop="1">
      <c r="A16" s="88"/>
      <c r="B16" s="93"/>
      <c r="C16" s="88"/>
      <c r="D16" s="15"/>
      <c r="E16" s="15"/>
      <c r="F16" s="15"/>
      <c r="G16" s="9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88"/>
      <c r="B17" s="93"/>
      <c r="C17" s="122" t="s">
        <v>12</v>
      </c>
      <c r="D17" s="118" t="s">
        <v>25</v>
      </c>
      <c r="E17" s="117" t="s">
        <v>26</v>
      </c>
      <c r="F17" s="119" t="s">
        <v>27</v>
      </c>
      <c r="G17" s="120" t="s">
        <v>13</v>
      </c>
      <c r="H17" s="128" t="s">
        <v>15</v>
      </c>
      <c r="I17" s="117" t="s">
        <v>16</v>
      </c>
      <c r="J17" s="117" t="s">
        <v>17</v>
      </c>
      <c r="K17" s="118" t="s">
        <v>28</v>
      </c>
      <c r="L17" s="118" t="s">
        <v>29</v>
      </c>
      <c r="M17" s="87" t="s">
        <v>18</v>
      </c>
      <c r="N17" s="87" t="s">
        <v>56</v>
      </c>
      <c r="O17" s="121" t="s">
        <v>30</v>
      </c>
      <c r="P17" s="117" t="s">
        <v>31</v>
      </c>
      <c r="Q17" s="276" t="s">
        <v>35</v>
      </c>
      <c r="R17" s="277" t="s">
        <v>19</v>
      </c>
      <c r="S17" s="278" t="s">
        <v>20</v>
      </c>
      <c r="T17" s="231" t="s">
        <v>73</v>
      </c>
      <c r="U17" s="233"/>
      <c r="V17" s="279" t="s">
        <v>74</v>
      </c>
      <c r="W17" s="280"/>
      <c r="X17" s="281" t="s">
        <v>21</v>
      </c>
      <c r="Y17" s="282" t="s">
        <v>69</v>
      </c>
      <c r="Z17" s="131" t="s">
        <v>70</v>
      </c>
      <c r="AA17" s="120" t="s">
        <v>22</v>
      </c>
      <c r="AB17" s="17"/>
    </row>
    <row r="18" spans="1:28" s="5" customFormat="1" ht="16.5" customHeight="1" thickTop="1">
      <c r="A18" s="88"/>
      <c r="B18" s="93"/>
      <c r="C18" s="283"/>
      <c r="D18" s="283"/>
      <c r="E18" s="283"/>
      <c r="F18" s="283"/>
      <c r="G18" s="284"/>
      <c r="H18" s="285"/>
      <c r="I18" s="283"/>
      <c r="J18" s="283"/>
      <c r="K18" s="283"/>
      <c r="L18" s="283"/>
      <c r="M18" s="283"/>
      <c r="N18" s="206"/>
      <c r="O18" s="286"/>
      <c r="P18" s="283"/>
      <c r="Q18" s="287"/>
      <c r="R18" s="288"/>
      <c r="S18" s="289"/>
      <c r="T18" s="290"/>
      <c r="U18" s="291"/>
      <c r="V18" s="292"/>
      <c r="W18" s="293"/>
      <c r="X18" s="294"/>
      <c r="Y18" s="295"/>
      <c r="Z18" s="286"/>
      <c r="AA18" s="296"/>
      <c r="AB18" s="17"/>
    </row>
    <row r="19" spans="1:28" s="5" customFormat="1" ht="16.5" customHeight="1">
      <c r="A19" s="88"/>
      <c r="B19" s="93"/>
      <c r="C19" s="297"/>
      <c r="D19" s="297"/>
      <c r="E19" s="297"/>
      <c r="F19" s="297"/>
      <c r="G19" s="298"/>
      <c r="H19" s="299"/>
      <c r="I19" s="297"/>
      <c r="J19" s="297"/>
      <c r="K19" s="297"/>
      <c r="L19" s="297"/>
      <c r="M19" s="297"/>
      <c r="N19" s="208"/>
      <c r="O19" s="300"/>
      <c r="P19" s="297"/>
      <c r="Q19" s="301"/>
      <c r="R19" s="302"/>
      <c r="S19" s="303"/>
      <c r="T19" s="304"/>
      <c r="U19" s="305"/>
      <c r="V19" s="306"/>
      <c r="W19" s="307"/>
      <c r="X19" s="308"/>
      <c r="Y19" s="309"/>
      <c r="Z19" s="300"/>
      <c r="AA19" s="310"/>
      <c r="AB19" s="17"/>
    </row>
    <row r="20" spans="1:28" s="5" customFormat="1" ht="16.5" customHeight="1">
      <c r="A20" s="88"/>
      <c r="B20" s="93"/>
      <c r="C20" s="180">
        <v>115</v>
      </c>
      <c r="D20" s="174" t="s">
        <v>335</v>
      </c>
      <c r="E20" s="311" t="s">
        <v>337</v>
      </c>
      <c r="F20" s="312">
        <v>300</v>
      </c>
      <c r="G20" s="968" t="s">
        <v>278</v>
      </c>
      <c r="H20" s="314">
        <f aca="true" t="shared" si="0" ref="H20:H39">F20*$F$14</f>
        <v>35.4</v>
      </c>
      <c r="I20" s="181">
        <v>39712.34375</v>
      </c>
      <c r="J20" s="181">
        <v>39712.75069444445</v>
      </c>
      <c r="K20" s="315">
        <f aca="true" t="shared" si="1" ref="K20:K39">IF(D20="","",(J20-I20)*24)</f>
        <v>9.766666666720994</v>
      </c>
      <c r="L20" s="14">
        <f aca="true" t="shared" si="2" ref="L20:L39">IF(D20="","",ROUND((J20-I20)*24*60,0))</f>
        <v>586</v>
      </c>
      <c r="M20" s="182" t="s">
        <v>222</v>
      </c>
      <c r="N20" s="244" t="str">
        <f aca="true" t="shared" si="3" ref="N20:N39">IF(D20="","","--")</f>
        <v>--</v>
      </c>
      <c r="O20" s="179" t="str">
        <f>IF(D20="","",IF(OR(M20="P",M20="RP"),"--","NO"))</f>
        <v>--</v>
      </c>
      <c r="P20" s="178" t="str">
        <f aca="true" t="shared" si="4" ref="P20:P39">IF(D20="","","NO")</f>
        <v>NO</v>
      </c>
      <c r="Q20" s="372">
        <f aca="true" t="shared" si="5" ref="Q20:Q39">$F$15*IF(OR(M20="P",M20="RP"),0.1,1)*IF(P20="SI",1,0.1)</f>
        <v>2</v>
      </c>
      <c r="R20" s="355">
        <f aca="true" t="shared" si="6" ref="R20:R39">IF(M20="P",H20*Q20*ROUND(L20/60,2),"--")</f>
        <v>691.7159999999999</v>
      </c>
      <c r="S20" s="356" t="str">
        <f aca="true" t="shared" si="7" ref="S20:S39">IF(M20="RP",H20*Q20*N20/100*ROUND(L20/60,2),"--")</f>
        <v>--</v>
      </c>
      <c r="T20" s="357" t="str">
        <f aca="true" t="shared" si="8" ref="T20:T39">IF(AND(M20="F",O20="NO"),H20*Q20,"--")</f>
        <v>--</v>
      </c>
      <c r="U20" s="358" t="str">
        <f aca="true" t="shared" si="9" ref="U20:U39">IF(M20="F",H20*Q20*ROUND(L20/60,2),"--")</f>
        <v>--</v>
      </c>
      <c r="V20" s="359" t="str">
        <f aca="true" t="shared" si="10" ref="V20:V39">IF(AND(M20="R",O20="NO"),H20*Q20*N20/100,"--")</f>
        <v>--</v>
      </c>
      <c r="W20" s="360" t="str">
        <f aca="true" t="shared" si="11" ref="W20:W39">IF(M20="R",H20*Q20*N20/100*ROUND(L20/60,2),"--")</f>
        <v>--</v>
      </c>
      <c r="X20" s="361" t="str">
        <f aca="true" t="shared" si="12" ref="X20:X39">IF(M20="RF",H20*Q20*ROUND(L20/60,2),"--")</f>
        <v>--</v>
      </c>
      <c r="Y20" s="362" t="str">
        <f aca="true" t="shared" si="13" ref="Y20:Y39">IF(M20="RR",H20*Q20*N20/100*ROUND(L20/60,2),"--")</f>
        <v>--</v>
      </c>
      <c r="Z20" s="184" t="str">
        <f aca="true" t="shared" si="14" ref="Z20:Z39">IF(D20="","","SI")</f>
        <v>SI</v>
      </c>
      <c r="AA20" s="326">
        <f aca="true" t="shared" si="15" ref="AA20:AA39">IF(D20="","",SUM(R20:Y20)*IF(Z20="SI",1,2)*IF(AND(N22&lt;&gt;"--",M22="RF"),N22/100,1))</f>
        <v>691.7159999999999</v>
      </c>
      <c r="AB20" s="17"/>
    </row>
    <row r="21" spans="1:28" s="5" customFormat="1" ht="16.5" customHeight="1">
      <c r="A21" s="88"/>
      <c r="B21" s="93"/>
      <c r="C21" s="297"/>
      <c r="D21" s="174"/>
      <c r="E21" s="311"/>
      <c r="F21" s="312"/>
      <c r="G21" s="313"/>
      <c r="H21" s="314">
        <f t="shared" si="0"/>
        <v>0</v>
      </c>
      <c r="I21" s="181"/>
      <c r="J21" s="181"/>
      <c r="K21" s="315">
        <f t="shared" si="1"/>
      </c>
      <c r="L21" s="14">
        <f t="shared" si="2"/>
      </c>
      <c r="M21" s="182"/>
      <c r="N21" s="244">
        <f t="shared" si="3"/>
      </c>
      <c r="O21" s="179">
        <f aca="true" t="shared" si="16" ref="O21:O39">IF(D21="","",IF(M21="P","--","NO"))</f>
      </c>
      <c r="P21" s="178">
        <f t="shared" si="4"/>
      </c>
      <c r="Q21" s="372">
        <f t="shared" si="5"/>
        <v>20</v>
      </c>
      <c r="R21" s="355" t="str">
        <f t="shared" si="6"/>
        <v>--</v>
      </c>
      <c r="S21" s="356" t="str">
        <f t="shared" si="7"/>
        <v>--</v>
      </c>
      <c r="T21" s="357" t="str">
        <f t="shared" si="8"/>
        <v>--</v>
      </c>
      <c r="U21" s="358" t="str">
        <f t="shared" si="9"/>
        <v>--</v>
      </c>
      <c r="V21" s="359" t="str">
        <f t="shared" si="10"/>
        <v>--</v>
      </c>
      <c r="W21" s="360" t="str">
        <f t="shared" si="11"/>
        <v>--</v>
      </c>
      <c r="X21" s="361" t="str">
        <f t="shared" si="12"/>
        <v>--</v>
      </c>
      <c r="Y21" s="362" t="str">
        <f t="shared" si="13"/>
        <v>--</v>
      </c>
      <c r="Z21" s="184">
        <f t="shared" si="14"/>
      </c>
      <c r="AA21" s="326">
        <f t="shared" si="15"/>
      </c>
      <c r="AB21" s="17"/>
    </row>
    <row r="22" spans="1:28" s="5" customFormat="1" ht="16.5" customHeight="1">
      <c r="A22" s="88"/>
      <c r="B22" s="93"/>
      <c r="C22" s="180"/>
      <c r="D22" s="174"/>
      <c r="E22" s="311"/>
      <c r="F22" s="312"/>
      <c r="G22" s="313"/>
      <c r="H22" s="314">
        <f t="shared" si="0"/>
        <v>0</v>
      </c>
      <c r="I22" s="181"/>
      <c r="J22" s="181"/>
      <c r="K22" s="315">
        <f t="shared" si="1"/>
      </c>
      <c r="L22" s="14">
        <f t="shared" si="2"/>
      </c>
      <c r="M22" s="182"/>
      <c r="N22" s="244">
        <f t="shared" si="3"/>
      </c>
      <c r="O22" s="179">
        <f t="shared" si="16"/>
      </c>
      <c r="P22" s="178">
        <f t="shared" si="4"/>
      </c>
      <c r="Q22" s="372">
        <f t="shared" si="5"/>
        <v>20</v>
      </c>
      <c r="R22" s="355" t="str">
        <f t="shared" si="6"/>
        <v>--</v>
      </c>
      <c r="S22" s="356" t="str">
        <f t="shared" si="7"/>
        <v>--</v>
      </c>
      <c r="T22" s="357" t="str">
        <f t="shared" si="8"/>
        <v>--</v>
      </c>
      <c r="U22" s="358" t="str">
        <f t="shared" si="9"/>
        <v>--</v>
      </c>
      <c r="V22" s="359" t="str">
        <f t="shared" si="10"/>
        <v>--</v>
      </c>
      <c r="W22" s="360" t="str">
        <f t="shared" si="11"/>
        <v>--</v>
      </c>
      <c r="X22" s="361" t="str">
        <f t="shared" si="12"/>
        <v>--</v>
      </c>
      <c r="Y22" s="362" t="str">
        <f t="shared" si="13"/>
        <v>--</v>
      </c>
      <c r="Z22" s="184">
        <f t="shared" si="14"/>
      </c>
      <c r="AA22" s="326">
        <f t="shared" si="15"/>
      </c>
      <c r="AB22" s="17"/>
    </row>
    <row r="23" spans="1:28" s="5" customFormat="1" ht="16.5" customHeight="1">
      <c r="A23" s="88"/>
      <c r="B23" s="93"/>
      <c r="C23" s="297"/>
      <c r="D23" s="174"/>
      <c r="E23" s="311"/>
      <c r="F23" s="312"/>
      <c r="G23" s="313"/>
      <c r="H23" s="314">
        <f t="shared" si="0"/>
        <v>0</v>
      </c>
      <c r="I23" s="181"/>
      <c r="J23" s="181"/>
      <c r="K23" s="315">
        <f t="shared" si="1"/>
      </c>
      <c r="L23" s="14">
        <f t="shared" si="2"/>
      </c>
      <c r="M23" s="182"/>
      <c r="N23" s="244">
        <f t="shared" si="3"/>
      </c>
      <c r="O23" s="179">
        <f t="shared" si="16"/>
      </c>
      <c r="P23" s="178">
        <f t="shared" si="4"/>
      </c>
      <c r="Q23" s="372">
        <f t="shared" si="5"/>
        <v>20</v>
      </c>
      <c r="R23" s="355" t="str">
        <f t="shared" si="6"/>
        <v>--</v>
      </c>
      <c r="S23" s="356" t="str">
        <f t="shared" si="7"/>
        <v>--</v>
      </c>
      <c r="T23" s="357" t="str">
        <f t="shared" si="8"/>
        <v>--</v>
      </c>
      <c r="U23" s="358" t="str">
        <f t="shared" si="9"/>
        <v>--</v>
      </c>
      <c r="V23" s="359" t="str">
        <f t="shared" si="10"/>
        <v>--</v>
      </c>
      <c r="W23" s="360" t="str">
        <f t="shared" si="11"/>
        <v>--</v>
      </c>
      <c r="X23" s="361" t="str">
        <f t="shared" si="12"/>
        <v>--</v>
      </c>
      <c r="Y23" s="362" t="str">
        <f t="shared" si="13"/>
        <v>--</v>
      </c>
      <c r="Z23" s="184">
        <f t="shared" si="14"/>
      </c>
      <c r="AA23" s="326">
        <f t="shared" si="15"/>
      </c>
      <c r="AB23" s="17"/>
    </row>
    <row r="24" spans="1:28" s="5" customFormat="1" ht="16.5" customHeight="1">
      <c r="A24" s="88"/>
      <c r="B24" s="93"/>
      <c r="C24" s="180"/>
      <c r="D24" s="174"/>
      <c r="E24" s="311"/>
      <c r="F24" s="312"/>
      <c r="G24" s="313"/>
      <c r="H24" s="314">
        <f t="shared" si="0"/>
        <v>0</v>
      </c>
      <c r="I24" s="181"/>
      <c r="J24" s="181"/>
      <c r="K24" s="315">
        <f t="shared" si="1"/>
      </c>
      <c r="L24" s="14">
        <f t="shared" si="2"/>
      </c>
      <c r="M24" s="182"/>
      <c r="N24" s="244">
        <f t="shared" si="3"/>
      </c>
      <c r="O24" s="179">
        <f t="shared" si="16"/>
      </c>
      <c r="P24" s="178">
        <f t="shared" si="4"/>
      </c>
      <c r="Q24" s="372">
        <f t="shared" si="5"/>
        <v>20</v>
      </c>
      <c r="R24" s="355" t="str">
        <f t="shared" si="6"/>
        <v>--</v>
      </c>
      <c r="S24" s="356" t="str">
        <f t="shared" si="7"/>
        <v>--</v>
      </c>
      <c r="T24" s="357" t="str">
        <f t="shared" si="8"/>
        <v>--</v>
      </c>
      <c r="U24" s="358" t="str">
        <f t="shared" si="9"/>
        <v>--</v>
      </c>
      <c r="V24" s="359" t="str">
        <f t="shared" si="10"/>
        <v>--</v>
      </c>
      <c r="W24" s="360" t="str">
        <f t="shared" si="11"/>
        <v>--</v>
      </c>
      <c r="X24" s="361" t="str">
        <f t="shared" si="12"/>
        <v>--</v>
      </c>
      <c r="Y24" s="362" t="str">
        <f t="shared" si="13"/>
        <v>--</v>
      </c>
      <c r="Z24" s="184">
        <f t="shared" si="14"/>
      </c>
      <c r="AA24" s="326">
        <f t="shared" si="15"/>
      </c>
      <c r="AB24" s="17"/>
    </row>
    <row r="25" spans="1:28" s="5" customFormat="1" ht="16.5" customHeight="1">
      <c r="A25" s="88"/>
      <c r="B25" s="93"/>
      <c r="C25" s="297"/>
      <c r="D25" s="174"/>
      <c r="E25" s="311"/>
      <c r="F25" s="312"/>
      <c r="G25" s="313"/>
      <c r="H25" s="314">
        <f t="shared" si="0"/>
        <v>0</v>
      </c>
      <c r="I25" s="181"/>
      <c r="J25" s="181"/>
      <c r="K25" s="315">
        <f t="shared" si="1"/>
      </c>
      <c r="L25" s="14">
        <f t="shared" si="2"/>
      </c>
      <c r="M25" s="182"/>
      <c r="N25" s="244">
        <f t="shared" si="3"/>
      </c>
      <c r="O25" s="179">
        <f t="shared" si="16"/>
      </c>
      <c r="P25" s="178">
        <f t="shared" si="4"/>
      </c>
      <c r="Q25" s="372">
        <f t="shared" si="5"/>
        <v>20</v>
      </c>
      <c r="R25" s="355" t="str">
        <f t="shared" si="6"/>
        <v>--</v>
      </c>
      <c r="S25" s="356" t="str">
        <f t="shared" si="7"/>
        <v>--</v>
      </c>
      <c r="T25" s="357" t="str">
        <f t="shared" si="8"/>
        <v>--</v>
      </c>
      <c r="U25" s="358" t="str">
        <f t="shared" si="9"/>
        <v>--</v>
      </c>
      <c r="V25" s="359" t="str">
        <f t="shared" si="10"/>
        <v>--</v>
      </c>
      <c r="W25" s="360" t="str">
        <f t="shared" si="11"/>
        <v>--</v>
      </c>
      <c r="X25" s="361" t="str">
        <f t="shared" si="12"/>
        <v>--</v>
      </c>
      <c r="Y25" s="362" t="str">
        <f t="shared" si="13"/>
        <v>--</v>
      </c>
      <c r="Z25" s="184">
        <f t="shared" si="14"/>
      </c>
      <c r="AA25" s="326">
        <f t="shared" si="15"/>
      </c>
      <c r="AB25" s="17"/>
    </row>
    <row r="26" spans="1:29" s="5" customFormat="1" ht="16.5" customHeight="1">
      <c r="A26" s="88"/>
      <c r="B26" s="93"/>
      <c r="C26" s="180"/>
      <c r="D26" s="174"/>
      <c r="E26" s="311"/>
      <c r="F26" s="312"/>
      <c r="G26" s="313"/>
      <c r="H26" s="314">
        <f t="shared" si="0"/>
        <v>0</v>
      </c>
      <c r="I26" s="181"/>
      <c r="J26" s="181"/>
      <c r="K26" s="315">
        <f t="shared" si="1"/>
      </c>
      <c r="L26" s="14">
        <f t="shared" si="2"/>
      </c>
      <c r="M26" s="182"/>
      <c r="N26" s="244">
        <f t="shared" si="3"/>
      </c>
      <c r="O26" s="179">
        <f t="shared" si="16"/>
      </c>
      <c r="P26" s="178">
        <f t="shared" si="4"/>
      </c>
      <c r="Q26" s="372">
        <f t="shared" si="5"/>
        <v>20</v>
      </c>
      <c r="R26" s="355" t="str">
        <f t="shared" si="6"/>
        <v>--</v>
      </c>
      <c r="S26" s="356" t="str">
        <f t="shared" si="7"/>
        <v>--</v>
      </c>
      <c r="T26" s="357" t="str">
        <f t="shared" si="8"/>
        <v>--</v>
      </c>
      <c r="U26" s="358" t="str">
        <f t="shared" si="9"/>
        <v>--</v>
      </c>
      <c r="V26" s="359" t="str">
        <f t="shared" si="10"/>
        <v>--</v>
      </c>
      <c r="W26" s="360" t="str">
        <f t="shared" si="11"/>
        <v>--</v>
      </c>
      <c r="X26" s="361" t="str">
        <f t="shared" si="12"/>
        <v>--</v>
      </c>
      <c r="Y26" s="362" t="str">
        <f t="shared" si="13"/>
        <v>--</v>
      </c>
      <c r="Z26" s="184">
        <f t="shared" si="14"/>
      </c>
      <c r="AA26" s="326">
        <f t="shared" si="15"/>
      </c>
      <c r="AB26" s="17"/>
      <c r="AC26" s="15"/>
    </row>
    <row r="27" spans="1:28" s="5" customFormat="1" ht="16.5" customHeight="1">
      <c r="A27" s="88"/>
      <c r="B27" s="93"/>
      <c r="C27" s="297"/>
      <c r="D27" s="174"/>
      <c r="E27" s="311"/>
      <c r="F27" s="312"/>
      <c r="G27" s="313"/>
      <c r="H27" s="314">
        <f t="shared" si="0"/>
        <v>0</v>
      </c>
      <c r="I27" s="181"/>
      <c r="J27" s="181"/>
      <c r="K27" s="315">
        <f t="shared" si="1"/>
      </c>
      <c r="L27" s="14">
        <f t="shared" si="2"/>
      </c>
      <c r="M27" s="182"/>
      <c r="N27" s="244">
        <f t="shared" si="3"/>
      </c>
      <c r="O27" s="179">
        <f t="shared" si="16"/>
      </c>
      <c r="P27" s="178">
        <f t="shared" si="4"/>
      </c>
      <c r="Q27" s="372">
        <f t="shared" si="5"/>
        <v>20</v>
      </c>
      <c r="R27" s="355" t="str">
        <f t="shared" si="6"/>
        <v>--</v>
      </c>
      <c r="S27" s="356" t="str">
        <f t="shared" si="7"/>
        <v>--</v>
      </c>
      <c r="T27" s="357" t="str">
        <f t="shared" si="8"/>
        <v>--</v>
      </c>
      <c r="U27" s="358" t="str">
        <f t="shared" si="9"/>
        <v>--</v>
      </c>
      <c r="V27" s="359" t="str">
        <f t="shared" si="10"/>
        <v>--</v>
      </c>
      <c r="W27" s="360" t="str">
        <f t="shared" si="11"/>
        <v>--</v>
      </c>
      <c r="X27" s="361" t="str">
        <f t="shared" si="12"/>
        <v>--</v>
      </c>
      <c r="Y27" s="362" t="str">
        <f t="shared" si="13"/>
        <v>--</v>
      </c>
      <c r="Z27" s="184">
        <f t="shared" si="14"/>
      </c>
      <c r="AA27" s="326">
        <f t="shared" si="15"/>
      </c>
      <c r="AB27" s="17"/>
    </row>
    <row r="28" spans="1:28" s="5" customFormat="1" ht="16.5" customHeight="1">
      <c r="A28" s="88"/>
      <c r="B28" s="93"/>
      <c r="C28" s="180"/>
      <c r="D28" s="174"/>
      <c r="E28" s="311"/>
      <c r="F28" s="312"/>
      <c r="G28" s="313"/>
      <c r="H28" s="314">
        <f t="shared" si="0"/>
        <v>0</v>
      </c>
      <c r="I28" s="181"/>
      <c r="J28" s="181"/>
      <c r="K28" s="315">
        <f t="shared" si="1"/>
      </c>
      <c r="L28" s="14">
        <f t="shared" si="2"/>
      </c>
      <c r="M28" s="182"/>
      <c r="N28" s="244">
        <f t="shared" si="3"/>
      </c>
      <c r="O28" s="179">
        <f t="shared" si="16"/>
      </c>
      <c r="P28" s="178">
        <f t="shared" si="4"/>
      </c>
      <c r="Q28" s="372">
        <f t="shared" si="5"/>
        <v>20</v>
      </c>
      <c r="R28" s="355" t="str">
        <f t="shared" si="6"/>
        <v>--</v>
      </c>
      <c r="S28" s="356" t="str">
        <f t="shared" si="7"/>
        <v>--</v>
      </c>
      <c r="T28" s="357" t="str">
        <f t="shared" si="8"/>
        <v>--</v>
      </c>
      <c r="U28" s="358" t="str">
        <f t="shared" si="9"/>
        <v>--</v>
      </c>
      <c r="V28" s="359" t="str">
        <f t="shared" si="10"/>
        <v>--</v>
      </c>
      <c r="W28" s="360" t="str">
        <f t="shared" si="11"/>
        <v>--</v>
      </c>
      <c r="X28" s="361" t="str">
        <f t="shared" si="12"/>
        <v>--</v>
      </c>
      <c r="Y28" s="362" t="str">
        <f t="shared" si="13"/>
        <v>--</v>
      </c>
      <c r="Z28" s="184">
        <f t="shared" si="14"/>
      </c>
      <c r="AA28" s="326">
        <f t="shared" si="15"/>
      </c>
      <c r="AB28" s="17"/>
    </row>
    <row r="29" spans="1:28" s="5" customFormat="1" ht="16.5" customHeight="1">
      <c r="A29" s="88"/>
      <c r="B29" s="93"/>
      <c r="C29" s="297"/>
      <c r="D29" s="174"/>
      <c r="E29" s="311"/>
      <c r="F29" s="312"/>
      <c r="G29" s="313"/>
      <c r="H29" s="314">
        <f t="shared" si="0"/>
        <v>0</v>
      </c>
      <c r="I29" s="181"/>
      <c r="J29" s="181"/>
      <c r="K29" s="315">
        <f t="shared" si="1"/>
      </c>
      <c r="L29" s="14">
        <f t="shared" si="2"/>
      </c>
      <c r="M29" s="182"/>
      <c r="N29" s="244">
        <f t="shared" si="3"/>
      </c>
      <c r="O29" s="179">
        <f t="shared" si="16"/>
      </c>
      <c r="P29" s="178">
        <f t="shared" si="4"/>
      </c>
      <c r="Q29" s="372">
        <f t="shared" si="5"/>
        <v>20</v>
      </c>
      <c r="R29" s="355" t="str">
        <f t="shared" si="6"/>
        <v>--</v>
      </c>
      <c r="S29" s="356" t="str">
        <f t="shared" si="7"/>
        <v>--</v>
      </c>
      <c r="T29" s="357" t="str">
        <f t="shared" si="8"/>
        <v>--</v>
      </c>
      <c r="U29" s="358" t="str">
        <f t="shared" si="9"/>
        <v>--</v>
      </c>
      <c r="V29" s="359" t="str">
        <f t="shared" si="10"/>
        <v>--</v>
      </c>
      <c r="W29" s="360" t="str">
        <f t="shared" si="11"/>
        <v>--</v>
      </c>
      <c r="X29" s="361" t="str">
        <f t="shared" si="12"/>
        <v>--</v>
      </c>
      <c r="Y29" s="362" t="str">
        <f t="shared" si="13"/>
        <v>--</v>
      </c>
      <c r="Z29" s="184">
        <f t="shared" si="14"/>
      </c>
      <c r="AA29" s="326">
        <f t="shared" si="15"/>
      </c>
      <c r="AB29" s="17"/>
    </row>
    <row r="30" spans="1:28" s="5" customFormat="1" ht="16.5" customHeight="1">
      <c r="A30" s="88"/>
      <c r="B30" s="93"/>
      <c r="C30" s="180"/>
      <c r="D30" s="174"/>
      <c r="E30" s="327"/>
      <c r="F30" s="312"/>
      <c r="G30" s="313"/>
      <c r="H30" s="314">
        <f t="shared" si="0"/>
        <v>0</v>
      </c>
      <c r="I30" s="181"/>
      <c r="J30" s="181"/>
      <c r="K30" s="315">
        <f t="shared" si="1"/>
      </c>
      <c r="L30" s="14">
        <f t="shared" si="2"/>
      </c>
      <c r="M30" s="182"/>
      <c r="N30" s="244">
        <f t="shared" si="3"/>
      </c>
      <c r="O30" s="179">
        <f t="shared" si="16"/>
      </c>
      <c r="P30" s="178">
        <f t="shared" si="4"/>
      </c>
      <c r="Q30" s="372">
        <f t="shared" si="5"/>
        <v>20</v>
      </c>
      <c r="R30" s="355" t="str">
        <f t="shared" si="6"/>
        <v>--</v>
      </c>
      <c r="S30" s="356" t="str">
        <f t="shared" si="7"/>
        <v>--</v>
      </c>
      <c r="T30" s="357" t="str">
        <f t="shared" si="8"/>
        <v>--</v>
      </c>
      <c r="U30" s="358" t="str">
        <f t="shared" si="9"/>
        <v>--</v>
      </c>
      <c r="V30" s="359" t="str">
        <f t="shared" si="10"/>
        <v>--</v>
      </c>
      <c r="W30" s="360" t="str">
        <f t="shared" si="11"/>
        <v>--</v>
      </c>
      <c r="X30" s="361" t="str">
        <f t="shared" si="12"/>
        <v>--</v>
      </c>
      <c r="Y30" s="362" t="str">
        <f t="shared" si="13"/>
        <v>--</v>
      </c>
      <c r="Z30" s="184">
        <f t="shared" si="14"/>
      </c>
      <c r="AA30" s="326">
        <f t="shared" si="15"/>
      </c>
      <c r="AB30" s="17"/>
    </row>
    <row r="31" spans="1:28" s="5" customFormat="1" ht="16.5" customHeight="1">
      <c r="A31" s="88"/>
      <c r="B31" s="93"/>
      <c r="C31" s="297"/>
      <c r="D31" s="174"/>
      <c r="E31" s="327"/>
      <c r="F31" s="312"/>
      <c r="G31" s="313"/>
      <c r="H31" s="314">
        <f t="shared" si="0"/>
        <v>0</v>
      </c>
      <c r="I31" s="181"/>
      <c r="J31" s="181"/>
      <c r="K31" s="315">
        <f t="shared" si="1"/>
      </c>
      <c r="L31" s="14">
        <f t="shared" si="2"/>
      </c>
      <c r="M31" s="182"/>
      <c r="N31" s="244">
        <f t="shared" si="3"/>
      </c>
      <c r="O31" s="179">
        <f t="shared" si="16"/>
      </c>
      <c r="P31" s="178">
        <f t="shared" si="4"/>
      </c>
      <c r="Q31" s="372">
        <f t="shared" si="5"/>
        <v>20</v>
      </c>
      <c r="R31" s="355" t="str">
        <f t="shared" si="6"/>
        <v>--</v>
      </c>
      <c r="S31" s="356" t="str">
        <f t="shared" si="7"/>
        <v>--</v>
      </c>
      <c r="T31" s="357" t="str">
        <f t="shared" si="8"/>
        <v>--</v>
      </c>
      <c r="U31" s="358" t="str">
        <f t="shared" si="9"/>
        <v>--</v>
      </c>
      <c r="V31" s="359" t="str">
        <f t="shared" si="10"/>
        <v>--</v>
      </c>
      <c r="W31" s="360" t="str">
        <f t="shared" si="11"/>
        <v>--</v>
      </c>
      <c r="X31" s="361" t="str">
        <f t="shared" si="12"/>
        <v>--</v>
      </c>
      <c r="Y31" s="362" t="str">
        <f t="shared" si="13"/>
        <v>--</v>
      </c>
      <c r="Z31" s="184">
        <f t="shared" si="14"/>
      </c>
      <c r="AA31" s="326">
        <f t="shared" si="15"/>
      </c>
      <c r="AB31" s="17"/>
    </row>
    <row r="32" spans="1:28" s="5" customFormat="1" ht="16.5" customHeight="1">
      <c r="A32" s="88"/>
      <c r="B32" s="93"/>
      <c r="C32" s="180"/>
      <c r="D32" s="174"/>
      <c r="E32" s="327"/>
      <c r="F32" s="312"/>
      <c r="G32" s="313"/>
      <c r="H32" s="314">
        <f t="shared" si="0"/>
        <v>0</v>
      </c>
      <c r="I32" s="181"/>
      <c r="J32" s="181"/>
      <c r="K32" s="315">
        <f t="shared" si="1"/>
      </c>
      <c r="L32" s="14">
        <f t="shared" si="2"/>
      </c>
      <c r="M32" s="182"/>
      <c r="N32" s="244">
        <f t="shared" si="3"/>
      </c>
      <c r="O32" s="179">
        <f t="shared" si="16"/>
      </c>
      <c r="P32" s="178">
        <f t="shared" si="4"/>
      </c>
      <c r="Q32" s="372">
        <f t="shared" si="5"/>
        <v>20</v>
      </c>
      <c r="R32" s="355" t="str">
        <f t="shared" si="6"/>
        <v>--</v>
      </c>
      <c r="S32" s="356" t="str">
        <f t="shared" si="7"/>
        <v>--</v>
      </c>
      <c r="T32" s="357" t="str">
        <f t="shared" si="8"/>
        <v>--</v>
      </c>
      <c r="U32" s="358" t="str">
        <f t="shared" si="9"/>
        <v>--</v>
      </c>
      <c r="V32" s="359" t="str">
        <f t="shared" si="10"/>
        <v>--</v>
      </c>
      <c r="W32" s="360" t="str">
        <f t="shared" si="11"/>
        <v>--</v>
      </c>
      <c r="X32" s="361" t="str">
        <f t="shared" si="12"/>
        <v>--</v>
      </c>
      <c r="Y32" s="362" t="str">
        <f t="shared" si="13"/>
        <v>--</v>
      </c>
      <c r="Z32" s="184">
        <f t="shared" si="14"/>
      </c>
      <c r="AA32" s="326">
        <f t="shared" si="15"/>
      </c>
      <c r="AB32" s="17"/>
    </row>
    <row r="33" spans="1:28" s="5" customFormat="1" ht="16.5" customHeight="1">
      <c r="A33" s="88"/>
      <c r="B33" s="93"/>
      <c r="C33" s="297"/>
      <c r="D33" s="174"/>
      <c r="E33" s="327"/>
      <c r="F33" s="312"/>
      <c r="G33" s="313"/>
      <c r="H33" s="314">
        <f t="shared" si="0"/>
        <v>0</v>
      </c>
      <c r="I33" s="181"/>
      <c r="J33" s="181"/>
      <c r="K33" s="315">
        <f t="shared" si="1"/>
      </c>
      <c r="L33" s="14">
        <f t="shared" si="2"/>
      </c>
      <c r="M33" s="182"/>
      <c r="N33" s="244">
        <f t="shared" si="3"/>
      </c>
      <c r="O33" s="179">
        <f t="shared" si="16"/>
      </c>
      <c r="P33" s="178">
        <f t="shared" si="4"/>
      </c>
      <c r="Q33" s="372">
        <f t="shared" si="5"/>
        <v>20</v>
      </c>
      <c r="R33" s="355" t="str">
        <f t="shared" si="6"/>
        <v>--</v>
      </c>
      <c r="S33" s="356" t="str">
        <f t="shared" si="7"/>
        <v>--</v>
      </c>
      <c r="T33" s="357" t="str">
        <f t="shared" si="8"/>
        <v>--</v>
      </c>
      <c r="U33" s="358" t="str">
        <f t="shared" si="9"/>
        <v>--</v>
      </c>
      <c r="V33" s="359" t="str">
        <f t="shared" si="10"/>
        <v>--</v>
      </c>
      <c r="W33" s="360" t="str">
        <f t="shared" si="11"/>
        <v>--</v>
      </c>
      <c r="X33" s="361" t="str">
        <f t="shared" si="12"/>
        <v>--</v>
      </c>
      <c r="Y33" s="362" t="str">
        <f t="shared" si="13"/>
        <v>--</v>
      </c>
      <c r="Z33" s="184">
        <f t="shared" si="14"/>
      </c>
      <c r="AA33" s="326">
        <f t="shared" si="15"/>
      </c>
      <c r="AB33" s="17"/>
    </row>
    <row r="34" spans="1:28" s="5" customFormat="1" ht="16.5" customHeight="1">
      <c r="A34" s="88"/>
      <c r="B34" s="93"/>
      <c r="C34" s="180"/>
      <c r="D34" s="174"/>
      <c r="E34" s="327"/>
      <c r="F34" s="312"/>
      <c r="G34" s="313"/>
      <c r="H34" s="314">
        <f t="shared" si="0"/>
        <v>0</v>
      </c>
      <c r="I34" s="181"/>
      <c r="J34" s="181"/>
      <c r="K34" s="315">
        <f t="shared" si="1"/>
      </c>
      <c r="L34" s="14">
        <f t="shared" si="2"/>
      </c>
      <c r="M34" s="182"/>
      <c r="N34" s="244">
        <f t="shared" si="3"/>
      </c>
      <c r="O34" s="179">
        <f t="shared" si="16"/>
      </c>
      <c r="P34" s="178">
        <f t="shared" si="4"/>
      </c>
      <c r="Q34" s="372">
        <f t="shared" si="5"/>
        <v>20</v>
      </c>
      <c r="R34" s="355" t="str">
        <f t="shared" si="6"/>
        <v>--</v>
      </c>
      <c r="S34" s="356" t="str">
        <f t="shared" si="7"/>
        <v>--</v>
      </c>
      <c r="T34" s="357" t="str">
        <f t="shared" si="8"/>
        <v>--</v>
      </c>
      <c r="U34" s="358" t="str">
        <f t="shared" si="9"/>
        <v>--</v>
      </c>
      <c r="V34" s="359" t="str">
        <f t="shared" si="10"/>
        <v>--</v>
      </c>
      <c r="W34" s="360" t="str">
        <f t="shared" si="11"/>
        <v>--</v>
      </c>
      <c r="X34" s="361" t="str">
        <f t="shared" si="12"/>
        <v>--</v>
      </c>
      <c r="Y34" s="362" t="str">
        <f t="shared" si="13"/>
        <v>--</v>
      </c>
      <c r="Z34" s="184">
        <f t="shared" si="14"/>
      </c>
      <c r="AA34" s="326">
        <f t="shared" si="15"/>
      </c>
      <c r="AB34" s="17"/>
    </row>
    <row r="35" spans="1:28" s="5" customFormat="1" ht="16.5" customHeight="1">
      <c r="A35" s="88"/>
      <c r="B35" s="93"/>
      <c r="C35" s="297"/>
      <c r="D35" s="174"/>
      <c r="E35" s="327"/>
      <c r="F35" s="312"/>
      <c r="G35" s="313"/>
      <c r="H35" s="314">
        <f t="shared" si="0"/>
        <v>0</v>
      </c>
      <c r="I35" s="181"/>
      <c r="J35" s="181"/>
      <c r="K35" s="315">
        <f t="shared" si="1"/>
      </c>
      <c r="L35" s="14">
        <f t="shared" si="2"/>
      </c>
      <c r="M35" s="182"/>
      <c r="N35" s="244">
        <f t="shared" si="3"/>
      </c>
      <c r="O35" s="179">
        <f t="shared" si="16"/>
      </c>
      <c r="P35" s="178">
        <f t="shared" si="4"/>
      </c>
      <c r="Q35" s="372">
        <f t="shared" si="5"/>
        <v>20</v>
      </c>
      <c r="R35" s="355" t="str">
        <f t="shared" si="6"/>
        <v>--</v>
      </c>
      <c r="S35" s="356" t="str">
        <f t="shared" si="7"/>
        <v>--</v>
      </c>
      <c r="T35" s="357" t="str">
        <f t="shared" si="8"/>
        <v>--</v>
      </c>
      <c r="U35" s="358" t="str">
        <f t="shared" si="9"/>
        <v>--</v>
      </c>
      <c r="V35" s="359" t="str">
        <f t="shared" si="10"/>
        <v>--</v>
      </c>
      <c r="W35" s="360" t="str">
        <f t="shared" si="11"/>
        <v>--</v>
      </c>
      <c r="X35" s="361" t="str">
        <f t="shared" si="12"/>
        <v>--</v>
      </c>
      <c r="Y35" s="362" t="str">
        <f t="shared" si="13"/>
        <v>--</v>
      </c>
      <c r="Z35" s="184">
        <f t="shared" si="14"/>
      </c>
      <c r="AA35" s="326">
        <f t="shared" si="15"/>
      </c>
      <c r="AB35" s="17"/>
    </row>
    <row r="36" spans="1:28" s="5" customFormat="1" ht="16.5" customHeight="1">
      <c r="A36" s="88"/>
      <c r="B36" s="93"/>
      <c r="C36" s="180"/>
      <c r="D36" s="174"/>
      <c r="E36" s="327"/>
      <c r="F36" s="312"/>
      <c r="G36" s="313"/>
      <c r="H36" s="314">
        <f t="shared" si="0"/>
        <v>0</v>
      </c>
      <c r="I36" s="181"/>
      <c r="J36" s="181"/>
      <c r="K36" s="315">
        <f t="shared" si="1"/>
      </c>
      <c r="L36" s="14">
        <f t="shared" si="2"/>
      </c>
      <c r="M36" s="182"/>
      <c r="N36" s="244">
        <f t="shared" si="3"/>
      </c>
      <c r="O36" s="179">
        <f t="shared" si="16"/>
      </c>
      <c r="P36" s="178">
        <f t="shared" si="4"/>
      </c>
      <c r="Q36" s="372">
        <f t="shared" si="5"/>
        <v>20</v>
      </c>
      <c r="R36" s="355" t="str">
        <f t="shared" si="6"/>
        <v>--</v>
      </c>
      <c r="S36" s="356" t="str">
        <f t="shared" si="7"/>
        <v>--</v>
      </c>
      <c r="T36" s="357" t="str">
        <f t="shared" si="8"/>
        <v>--</v>
      </c>
      <c r="U36" s="358" t="str">
        <f t="shared" si="9"/>
        <v>--</v>
      </c>
      <c r="V36" s="359" t="str">
        <f t="shared" si="10"/>
        <v>--</v>
      </c>
      <c r="W36" s="360" t="str">
        <f t="shared" si="11"/>
        <v>--</v>
      </c>
      <c r="X36" s="361" t="str">
        <f t="shared" si="12"/>
        <v>--</v>
      </c>
      <c r="Y36" s="362" t="str">
        <f t="shared" si="13"/>
        <v>--</v>
      </c>
      <c r="Z36" s="184">
        <f t="shared" si="14"/>
      </c>
      <c r="AA36" s="326">
        <f t="shared" si="15"/>
      </c>
      <c r="AB36" s="17"/>
    </row>
    <row r="37" spans="1:28" s="5" customFormat="1" ht="16.5" customHeight="1">
      <c r="A37" s="88"/>
      <c r="B37" s="93"/>
      <c r="C37" s="297"/>
      <c r="D37" s="174"/>
      <c r="E37" s="327"/>
      <c r="F37" s="312"/>
      <c r="G37" s="313"/>
      <c r="H37" s="314">
        <f t="shared" si="0"/>
        <v>0</v>
      </c>
      <c r="I37" s="181"/>
      <c r="J37" s="181"/>
      <c r="K37" s="315">
        <f t="shared" si="1"/>
      </c>
      <c r="L37" s="14">
        <f t="shared" si="2"/>
      </c>
      <c r="M37" s="182"/>
      <c r="N37" s="244">
        <f t="shared" si="3"/>
      </c>
      <c r="O37" s="179">
        <f t="shared" si="16"/>
      </c>
      <c r="P37" s="178">
        <f t="shared" si="4"/>
      </c>
      <c r="Q37" s="372">
        <f t="shared" si="5"/>
        <v>20</v>
      </c>
      <c r="R37" s="355" t="str">
        <f t="shared" si="6"/>
        <v>--</v>
      </c>
      <c r="S37" s="356" t="str">
        <f t="shared" si="7"/>
        <v>--</v>
      </c>
      <c r="T37" s="357" t="str">
        <f t="shared" si="8"/>
        <v>--</v>
      </c>
      <c r="U37" s="358" t="str">
        <f t="shared" si="9"/>
        <v>--</v>
      </c>
      <c r="V37" s="359" t="str">
        <f t="shared" si="10"/>
        <v>--</v>
      </c>
      <c r="W37" s="360" t="str">
        <f t="shared" si="11"/>
        <v>--</v>
      </c>
      <c r="X37" s="361" t="str">
        <f t="shared" si="12"/>
        <v>--</v>
      </c>
      <c r="Y37" s="362" t="str">
        <f t="shared" si="13"/>
        <v>--</v>
      </c>
      <c r="Z37" s="184">
        <f t="shared" si="14"/>
      </c>
      <c r="AA37" s="326">
        <f t="shared" si="15"/>
      </c>
      <c r="AB37" s="17"/>
    </row>
    <row r="38" spans="1:28" s="5" customFormat="1" ht="16.5" customHeight="1">
      <c r="A38" s="88"/>
      <c r="B38" s="93"/>
      <c r="C38" s="180"/>
      <c r="D38" s="174"/>
      <c r="E38" s="327"/>
      <c r="F38" s="312"/>
      <c r="G38" s="313"/>
      <c r="H38" s="314">
        <f t="shared" si="0"/>
        <v>0</v>
      </c>
      <c r="I38" s="181"/>
      <c r="J38" s="181"/>
      <c r="K38" s="315">
        <f t="shared" si="1"/>
      </c>
      <c r="L38" s="14">
        <f t="shared" si="2"/>
      </c>
      <c r="M38" s="182"/>
      <c r="N38" s="244">
        <f t="shared" si="3"/>
      </c>
      <c r="O38" s="179">
        <f t="shared" si="16"/>
      </c>
      <c r="P38" s="178">
        <f t="shared" si="4"/>
      </c>
      <c r="Q38" s="372">
        <f t="shared" si="5"/>
        <v>20</v>
      </c>
      <c r="R38" s="355" t="str">
        <f t="shared" si="6"/>
        <v>--</v>
      </c>
      <c r="S38" s="356" t="str">
        <f t="shared" si="7"/>
        <v>--</v>
      </c>
      <c r="T38" s="357" t="str">
        <f t="shared" si="8"/>
        <v>--</v>
      </c>
      <c r="U38" s="358" t="str">
        <f t="shared" si="9"/>
        <v>--</v>
      </c>
      <c r="V38" s="359" t="str">
        <f t="shared" si="10"/>
        <v>--</v>
      </c>
      <c r="W38" s="360" t="str">
        <f t="shared" si="11"/>
        <v>--</v>
      </c>
      <c r="X38" s="361" t="str">
        <f t="shared" si="12"/>
        <v>--</v>
      </c>
      <c r="Y38" s="362" t="str">
        <f t="shared" si="13"/>
        <v>--</v>
      </c>
      <c r="Z38" s="184">
        <f t="shared" si="14"/>
      </c>
      <c r="AA38" s="326">
        <f t="shared" si="15"/>
      </c>
      <c r="AB38" s="17"/>
    </row>
    <row r="39" spans="1:28" s="5" customFormat="1" ht="16.5" customHeight="1">
      <c r="A39" s="88"/>
      <c r="B39" s="93"/>
      <c r="C39" s="297"/>
      <c r="D39" s="174"/>
      <c r="E39" s="327"/>
      <c r="F39" s="312"/>
      <c r="G39" s="313"/>
      <c r="H39" s="314">
        <f t="shared" si="0"/>
        <v>0</v>
      </c>
      <c r="I39" s="181"/>
      <c r="J39" s="181"/>
      <c r="K39" s="315">
        <f t="shared" si="1"/>
      </c>
      <c r="L39" s="14">
        <f t="shared" si="2"/>
      </c>
      <c r="M39" s="182"/>
      <c r="N39" s="244">
        <f t="shared" si="3"/>
      </c>
      <c r="O39" s="179">
        <f t="shared" si="16"/>
      </c>
      <c r="P39" s="178">
        <f t="shared" si="4"/>
      </c>
      <c r="Q39" s="372">
        <f t="shared" si="5"/>
        <v>20</v>
      </c>
      <c r="R39" s="355" t="str">
        <f t="shared" si="6"/>
        <v>--</v>
      </c>
      <c r="S39" s="356" t="str">
        <f t="shared" si="7"/>
        <v>--</v>
      </c>
      <c r="T39" s="357" t="str">
        <f t="shared" si="8"/>
        <v>--</v>
      </c>
      <c r="U39" s="358" t="str">
        <f t="shared" si="9"/>
        <v>--</v>
      </c>
      <c r="V39" s="359" t="str">
        <f t="shared" si="10"/>
        <v>--</v>
      </c>
      <c r="W39" s="360" t="str">
        <f t="shared" si="11"/>
        <v>--</v>
      </c>
      <c r="X39" s="361" t="str">
        <f t="shared" si="12"/>
        <v>--</v>
      </c>
      <c r="Y39" s="362" t="str">
        <f t="shared" si="13"/>
        <v>--</v>
      </c>
      <c r="Z39" s="184">
        <f t="shared" si="14"/>
      </c>
      <c r="AA39" s="326">
        <f t="shared" si="15"/>
      </c>
      <c r="AB39" s="17"/>
    </row>
    <row r="40" spans="1:28" s="5" customFormat="1" ht="16.5" customHeight="1" thickBot="1">
      <c r="A40" s="88"/>
      <c r="B40" s="93"/>
      <c r="C40" s="180"/>
      <c r="D40" s="328"/>
      <c r="E40" s="329"/>
      <c r="F40" s="328"/>
      <c r="G40" s="330"/>
      <c r="H40" s="130"/>
      <c r="I40" s="183"/>
      <c r="J40" s="331"/>
      <c r="K40" s="332"/>
      <c r="L40" s="333"/>
      <c r="M40" s="188"/>
      <c r="N40" s="216"/>
      <c r="O40" s="186"/>
      <c r="P40" s="188"/>
      <c r="Q40" s="373"/>
      <c r="R40" s="363"/>
      <c r="S40" s="364"/>
      <c r="T40" s="365"/>
      <c r="U40" s="366"/>
      <c r="V40" s="367"/>
      <c r="W40" s="368"/>
      <c r="X40" s="369"/>
      <c r="Y40" s="370"/>
      <c r="Z40" s="371"/>
      <c r="AA40" s="344"/>
      <c r="AB40" s="17"/>
    </row>
    <row r="41" spans="1:28" s="5" customFormat="1" ht="16.5" customHeight="1" thickBot="1" thickTop="1">
      <c r="A41" s="88"/>
      <c r="B41" s="93"/>
      <c r="C41" s="126" t="s">
        <v>23</v>
      </c>
      <c r="D41" s="127" t="s">
        <v>341</v>
      </c>
      <c r="E41" s="15"/>
      <c r="F41" s="15"/>
      <c r="G41" s="15"/>
      <c r="H41" s="15"/>
      <c r="I41" s="15"/>
      <c r="J41" s="97"/>
      <c r="K41" s="15"/>
      <c r="L41" s="15"/>
      <c r="M41" s="15"/>
      <c r="N41" s="15"/>
      <c r="O41" s="15"/>
      <c r="P41" s="15"/>
      <c r="Q41" s="15"/>
      <c r="R41" s="345">
        <f aca="true" t="shared" si="17" ref="R41:Y41">SUM(R18:R40)</f>
        <v>691.7159999999999</v>
      </c>
      <c r="S41" s="346">
        <f t="shared" si="17"/>
        <v>0</v>
      </c>
      <c r="T41" s="347">
        <f t="shared" si="17"/>
        <v>0</v>
      </c>
      <c r="U41" s="348">
        <f t="shared" si="17"/>
        <v>0</v>
      </c>
      <c r="V41" s="349">
        <f t="shared" si="17"/>
        <v>0</v>
      </c>
      <c r="W41" s="350">
        <f t="shared" si="17"/>
        <v>0</v>
      </c>
      <c r="X41" s="351">
        <f t="shared" si="17"/>
        <v>0</v>
      </c>
      <c r="Y41" s="352">
        <f t="shared" si="17"/>
        <v>0</v>
      </c>
      <c r="Z41" s="88"/>
      <c r="AA41" s="353">
        <f>ROUND(SUM(AA18:AA40),2)</f>
        <v>691.72</v>
      </c>
      <c r="AB41" s="17"/>
    </row>
    <row r="42" spans="1:28" s="5" customFormat="1" ht="16.5" customHeight="1" thickBot="1" thickTop="1">
      <c r="A42" s="88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2"/>
    </row>
    <row r="43" spans="1:29" ht="16.5" customHeight="1" thickTop="1">
      <c r="A43" s="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</row>
    <row r="44" spans="1:29" ht="16.5" customHeight="1">
      <c r="A44" s="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</row>
    <row r="45" spans="1:29" ht="16.5" customHeight="1">
      <c r="A45" s="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6.5" customHeight="1">
      <c r="A46" s="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</row>
    <row r="47" spans="4:29" ht="16.5" customHeight="1"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</row>
    <row r="48" spans="4:29" ht="16.5" customHeight="1"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</row>
    <row r="49" spans="4:29" ht="16.5" customHeight="1"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</row>
    <row r="50" spans="4:29" ht="16.5" customHeight="1"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</row>
    <row r="51" spans="4:29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</row>
    <row r="52" spans="4:29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</row>
    <row r="53" spans="4:29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</row>
    <row r="54" spans="4:29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</row>
    <row r="55" spans="4:29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</row>
    <row r="56" spans="4:29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</row>
    <row r="57" spans="4:29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</row>
    <row r="58" spans="4:29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</row>
    <row r="59" spans="4:29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</row>
    <row r="60" spans="4:29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</row>
    <row r="61" spans="4:29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</row>
    <row r="62" spans="4:29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</row>
    <row r="63" spans="4:29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</row>
    <row r="64" spans="4:29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</row>
    <row r="65" spans="4:29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4:29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</row>
    <row r="67" spans="4:29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</row>
    <row r="68" spans="4:29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</row>
    <row r="69" spans="4:29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4:29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</row>
    <row r="71" spans="4:29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</row>
    <row r="72" spans="4:29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</row>
    <row r="73" spans="4:29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</row>
    <row r="74" spans="4:29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4:29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</row>
    <row r="76" spans="4:29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</row>
    <row r="77" spans="4:29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</row>
    <row r="78" spans="4:29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4:29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</row>
    <row r="80" spans="4:29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</row>
    <row r="81" spans="4:29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</row>
    <row r="82" spans="4:29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</row>
    <row r="83" spans="4:29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</row>
    <row r="84" spans="4:29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</row>
    <row r="85" spans="4:29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</row>
    <row r="86" spans="4:29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4:29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</row>
    <row r="88" spans="4:29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</row>
    <row r="89" spans="4:29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</row>
    <row r="90" spans="4:29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</row>
    <row r="91" spans="4:29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</row>
    <row r="92" spans="4:29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</row>
    <row r="93" spans="4:29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</row>
    <row r="94" spans="4:29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4:29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4:29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4:29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4:29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4:29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4:29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4:29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4:29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4:29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</row>
    <row r="104" spans="4:29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</row>
    <row r="105" spans="4:29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</row>
    <row r="106" spans="4:29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</row>
    <row r="107" spans="4:29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</row>
    <row r="108" spans="4:29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4:29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</row>
    <row r="110" spans="4:29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4:29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4:29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</row>
    <row r="113" spans="4:29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</row>
    <row r="114" spans="4:29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</row>
    <row r="115" spans="4:29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</row>
    <row r="116" spans="4:29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</row>
    <row r="117" spans="4:29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</row>
    <row r="118" spans="4:29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</row>
    <row r="119" spans="4:29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</row>
    <row r="120" spans="4:29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4:29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4:29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4:29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</row>
    <row r="124" spans="4:29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</row>
    <row r="125" spans="4:29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</row>
    <row r="126" spans="4:29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</row>
    <row r="127" spans="4:29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</row>
    <row r="128" spans="4:29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</row>
    <row r="129" spans="4:29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</row>
    <row r="130" spans="4:29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</row>
    <row r="131" spans="4:29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4:29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4:29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4:29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4:29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4:29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4:29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4:29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4:29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4:29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</row>
    <row r="141" spans="4:29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</row>
    <row r="142" spans="4:29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</row>
    <row r="143" spans="4:29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</row>
    <row r="144" spans="4:29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</row>
    <row r="145" spans="4:29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</row>
    <row r="146" spans="4:29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</row>
    <row r="147" spans="4:29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</row>
    <row r="148" spans="4:29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4:29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</row>
    <row r="150" spans="4:29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</row>
    <row r="151" ht="16.5" customHeight="1">
      <c r="AC151" s="202"/>
    </row>
    <row r="152" ht="16.5" customHeight="1">
      <c r="AC152" s="202"/>
    </row>
    <row r="153" ht="16.5" customHeight="1">
      <c r="AC153" s="202"/>
    </row>
    <row r="154" ht="16.5" customHeight="1">
      <c r="AC154" s="202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W157"/>
  <sheetViews>
    <sheetView zoomScale="75" zoomScaleNormal="75" workbookViewId="0" topLeftCell="A1">
      <selection activeCell="B12" sqref="B1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26" customFormat="1" ht="33" customHeight="1">
      <c r="B10" s="927"/>
      <c r="C10" s="925"/>
      <c r="D10" s="947" t="s">
        <v>231</v>
      </c>
      <c r="E10" s="948"/>
      <c r="F10" s="949"/>
      <c r="G10" s="950"/>
      <c r="I10" s="950"/>
      <c r="J10" s="950"/>
      <c r="K10" s="950"/>
      <c r="L10" s="950"/>
      <c r="M10" s="950"/>
      <c r="N10" s="950"/>
      <c r="O10" s="925"/>
      <c r="P10" s="925"/>
      <c r="Q10" s="925"/>
      <c r="R10" s="925"/>
      <c r="S10" s="925"/>
      <c r="T10" s="925"/>
      <c r="U10" s="951"/>
    </row>
    <row r="11" spans="2:21" s="929" customFormat="1" ht="33" customHeight="1">
      <c r="B11" s="930"/>
      <c r="C11" s="931"/>
      <c r="D11" s="947" t="s">
        <v>235</v>
      </c>
      <c r="E11" s="952"/>
      <c r="F11" s="953"/>
      <c r="G11" s="954"/>
      <c r="H11" s="955"/>
      <c r="I11" s="954"/>
      <c r="J11" s="954"/>
      <c r="K11" s="954"/>
      <c r="L11" s="954"/>
      <c r="M11" s="954"/>
      <c r="N11" s="954"/>
      <c r="O11" s="931"/>
      <c r="P11" s="931"/>
      <c r="Q11" s="931"/>
      <c r="R11" s="931"/>
      <c r="S11" s="931"/>
      <c r="T11" s="931"/>
      <c r="U11" s="956"/>
    </row>
    <row r="12" spans="2:21" s="5" customFormat="1" ht="19.5">
      <c r="B12" s="37" t="str">
        <f>'TOT-0908'!B14</f>
        <v>Desde el 01 al 30 de septiembre de 2008</v>
      </c>
      <c r="C12" s="40"/>
      <c r="D12" s="40"/>
      <c r="E12" s="40"/>
      <c r="F12" s="40"/>
      <c r="G12" s="376"/>
      <c r="H12" s="376"/>
      <c r="I12" s="376"/>
      <c r="J12" s="376"/>
      <c r="K12" s="376"/>
      <c r="L12" s="376"/>
      <c r="M12" s="376"/>
      <c r="N12" s="376"/>
      <c r="O12" s="40"/>
      <c r="P12" s="40"/>
      <c r="Q12" s="40"/>
      <c r="R12" s="40"/>
      <c r="S12" s="40"/>
      <c r="T12" s="40"/>
      <c r="U12" s="377"/>
    </row>
    <row r="13" spans="2:21" s="5" customFormat="1" ht="14.25" thickBot="1">
      <c r="B13" s="378"/>
      <c r="C13" s="379"/>
      <c r="D13" s="379"/>
      <c r="E13" s="379"/>
      <c r="F13" s="379"/>
      <c r="G13" s="380"/>
      <c r="H13" s="380"/>
      <c r="I13" s="380"/>
      <c r="J13" s="380"/>
      <c r="K13" s="380"/>
      <c r="L13" s="380"/>
      <c r="M13" s="380"/>
      <c r="N13" s="380"/>
      <c r="O13" s="379"/>
      <c r="P13" s="379"/>
      <c r="Q13" s="379"/>
      <c r="R13" s="379"/>
      <c r="S13" s="379"/>
      <c r="T13" s="379"/>
      <c r="U13" s="381"/>
    </row>
    <row r="14" spans="2:21" s="5" customFormat="1" ht="15" thickBot="1" thickTop="1">
      <c r="B14" s="50"/>
      <c r="C14" s="4"/>
      <c r="D14" s="382"/>
      <c r="E14" s="382"/>
      <c r="F14" s="116" t="s">
        <v>76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383" t="s">
        <v>77</v>
      </c>
      <c r="E15" s="384">
        <v>23.525</v>
      </c>
      <c r="F15" s="385">
        <v>200</v>
      </c>
      <c r="T15" s="114"/>
      <c r="U15" s="6"/>
    </row>
    <row r="16" spans="2:21" s="5" customFormat="1" ht="16.5" customHeight="1" thickBot="1" thickTop="1">
      <c r="B16" s="50"/>
      <c r="C16" s="4"/>
      <c r="D16" s="386" t="s">
        <v>78</v>
      </c>
      <c r="E16" s="387">
        <v>16.064</v>
      </c>
      <c r="F16" s="385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8" t="s">
        <v>79</v>
      </c>
      <c r="E17" s="439">
        <v>18.82</v>
      </c>
      <c r="F17" s="385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389"/>
      <c r="D18" s="390"/>
      <c r="E18" s="390"/>
      <c r="F18" s="391"/>
      <c r="G18" s="392"/>
      <c r="H18" s="392"/>
      <c r="I18" s="392"/>
      <c r="J18" s="392"/>
      <c r="K18" s="392"/>
      <c r="L18" s="392"/>
      <c r="M18" s="392"/>
      <c r="N18" s="393"/>
      <c r="O18" s="394"/>
      <c r="P18" s="395"/>
      <c r="Q18" s="395"/>
      <c r="R18" s="395"/>
      <c r="S18" s="396"/>
      <c r="T18" s="397"/>
      <c r="U18" s="6"/>
    </row>
    <row r="19" spans="2:21" s="5" customFormat="1" ht="33.75" customHeight="1" thickBot="1" thickTop="1">
      <c r="B19" s="50"/>
      <c r="C19" s="84" t="s">
        <v>12</v>
      </c>
      <c r="D19" s="86" t="s">
        <v>25</v>
      </c>
      <c r="E19" s="398" t="s">
        <v>26</v>
      </c>
      <c r="F19" s="399" t="s">
        <v>13</v>
      </c>
      <c r="G19" s="128" t="s">
        <v>15</v>
      </c>
      <c r="H19" s="85" t="s">
        <v>16</v>
      </c>
      <c r="I19" s="398" t="s">
        <v>17</v>
      </c>
      <c r="J19" s="400" t="s">
        <v>34</v>
      </c>
      <c r="K19" s="400" t="s">
        <v>29</v>
      </c>
      <c r="L19" s="87" t="s">
        <v>18</v>
      </c>
      <c r="M19" s="204" t="s">
        <v>30</v>
      </c>
      <c r="N19" s="134" t="s">
        <v>35</v>
      </c>
      <c r="O19" s="401" t="s">
        <v>67</v>
      </c>
      <c r="P19" s="205" t="s">
        <v>33</v>
      </c>
      <c r="Q19" s="402"/>
      <c r="R19" s="133" t="s">
        <v>21</v>
      </c>
      <c r="S19" s="131" t="s">
        <v>70</v>
      </c>
      <c r="T19" s="120" t="s">
        <v>22</v>
      </c>
      <c r="U19" s="6"/>
    </row>
    <row r="20" spans="2:21" s="5" customFormat="1" ht="16.5" customHeight="1" thickTop="1">
      <c r="B20" s="50"/>
      <c r="C20" s="7"/>
      <c r="D20" s="403"/>
      <c r="E20" s="403"/>
      <c r="F20" s="403"/>
      <c r="G20" s="241"/>
      <c r="H20" s="403"/>
      <c r="I20" s="403"/>
      <c r="J20" s="403"/>
      <c r="K20" s="403"/>
      <c r="L20" s="403"/>
      <c r="M20" s="403"/>
      <c r="N20" s="404"/>
      <c r="O20" s="405"/>
      <c r="P20" s="406"/>
      <c r="Q20" s="407"/>
      <c r="R20" s="408"/>
      <c r="S20" s="403"/>
      <c r="T20" s="409"/>
      <c r="U20" s="6"/>
    </row>
    <row r="21" spans="2:21" s="5" customFormat="1" ht="16.5" customHeight="1">
      <c r="B21" s="50"/>
      <c r="C21" s="297"/>
      <c r="D21" s="410"/>
      <c r="E21" s="410"/>
      <c r="F21" s="410"/>
      <c r="G21" s="411"/>
      <c r="H21" s="410"/>
      <c r="I21" s="410"/>
      <c r="J21" s="410"/>
      <c r="K21" s="410"/>
      <c r="L21" s="410"/>
      <c r="M21" s="410"/>
      <c r="N21" s="412"/>
      <c r="O21" s="413"/>
      <c r="P21" s="215"/>
      <c r="Q21" s="414"/>
      <c r="R21" s="415"/>
      <c r="S21" s="410"/>
      <c r="T21" s="416"/>
      <c r="U21" s="6"/>
    </row>
    <row r="22" spans="2:21" s="5" customFormat="1" ht="16.5" customHeight="1">
      <c r="B22" s="50"/>
      <c r="C22" s="180">
        <v>116</v>
      </c>
      <c r="D22" s="417" t="s">
        <v>329</v>
      </c>
      <c r="E22" s="417" t="s">
        <v>330</v>
      </c>
      <c r="F22" s="418">
        <v>132</v>
      </c>
      <c r="G22" s="129">
        <f aca="true" t="shared" si="0" ref="G22:G41">IF(F22=500,$E$15,IF(F22=220,$E$16,$E$17))</f>
        <v>18.82</v>
      </c>
      <c r="H22" s="419">
        <v>39696.83888888889</v>
      </c>
      <c r="I22" s="176">
        <v>39696.864583333336</v>
      </c>
      <c r="J22" s="420">
        <f aca="true" t="shared" si="1" ref="J22:J41">IF(D22="","",(I22-H22)*24)</f>
        <v>0.6166666667559184</v>
      </c>
      <c r="K22" s="421">
        <f aca="true" t="shared" si="2" ref="K22:K41">IF(D22="","",ROUND((I22-H22)*24*60,0))</f>
        <v>37</v>
      </c>
      <c r="L22" s="243" t="s">
        <v>252</v>
      </c>
      <c r="M22" s="178" t="s">
        <v>219</v>
      </c>
      <c r="N22" s="422">
        <f aca="true" t="shared" si="3" ref="N22:N41">IF(F22=500,$F$15,IF(F22=220,$F$16,$F$17))</f>
        <v>40</v>
      </c>
      <c r="O22" s="423" t="str">
        <f aca="true" t="shared" si="4" ref="O22:O41">IF(L22="P",G22*N22*ROUND(K22/60,2)*0.1,"--")</f>
        <v>--</v>
      </c>
      <c r="P22" s="424" t="str">
        <f aca="true" t="shared" si="5" ref="P22:P41">IF(AND(L22="F",M22="NO"),G22*N22,"--")</f>
        <v>--</v>
      </c>
      <c r="Q22" s="425">
        <f aca="true" t="shared" si="6" ref="Q22:Q41">IF(L22="F",G22*N22*ROUND(K22/60,2),"--")</f>
        <v>466.736</v>
      </c>
      <c r="R22" s="185" t="str">
        <f aca="true" t="shared" si="7" ref="R22:R41">IF(L22="RF",G22*N22*ROUND(K22/60,2),"--")</f>
        <v>--</v>
      </c>
      <c r="S22" s="178" t="str">
        <f aca="true" t="shared" si="8" ref="S22:S41">IF(D22="","","SI")</f>
        <v>SI</v>
      </c>
      <c r="T22" s="426">
        <f aca="true" t="shared" si="9" ref="T22:T41">IF(D22="","",SUM(O22:R22)*IF(S22="SI",1,2))</f>
        <v>466.736</v>
      </c>
      <c r="U22" s="6"/>
    </row>
    <row r="23" spans="2:21" s="5" customFormat="1" ht="16.5" customHeight="1">
      <c r="B23" s="50"/>
      <c r="C23" s="180">
        <v>117</v>
      </c>
      <c r="D23" s="417" t="s">
        <v>331</v>
      </c>
      <c r="E23" s="417" t="s">
        <v>332</v>
      </c>
      <c r="F23" s="418">
        <v>132</v>
      </c>
      <c r="G23" s="129">
        <f t="shared" si="0"/>
        <v>18.82</v>
      </c>
      <c r="H23" s="419">
        <v>39698.34444444445</v>
      </c>
      <c r="I23" s="176">
        <v>39698.49097222222</v>
      </c>
      <c r="J23" s="420">
        <f t="shared" si="1"/>
        <v>3.5166666666045785</v>
      </c>
      <c r="K23" s="421">
        <f t="shared" si="2"/>
        <v>211</v>
      </c>
      <c r="L23" s="243" t="s">
        <v>222</v>
      </c>
      <c r="M23" s="178" t="str">
        <f aca="true" t="shared" si="10" ref="M23:M41">IF(D23="","",IF(L23="P","--","NO"))</f>
        <v>--</v>
      </c>
      <c r="N23" s="422">
        <f t="shared" si="3"/>
        <v>40</v>
      </c>
      <c r="O23" s="423">
        <f t="shared" si="4"/>
        <v>264.9856</v>
      </c>
      <c r="P23" s="424" t="str">
        <f t="shared" si="5"/>
        <v>--</v>
      </c>
      <c r="Q23" s="425" t="str">
        <f t="shared" si="6"/>
        <v>--</v>
      </c>
      <c r="R23" s="185" t="str">
        <f t="shared" si="7"/>
        <v>--</v>
      </c>
      <c r="S23" s="178" t="str">
        <f t="shared" si="8"/>
        <v>SI</v>
      </c>
      <c r="T23" s="426">
        <f t="shared" si="9"/>
        <v>264.9856</v>
      </c>
      <c r="U23" s="6"/>
    </row>
    <row r="24" spans="2:21" s="5" customFormat="1" ht="16.5" customHeight="1">
      <c r="B24" s="50"/>
      <c r="C24" s="180">
        <v>118</v>
      </c>
      <c r="D24" s="417" t="s">
        <v>329</v>
      </c>
      <c r="E24" s="417" t="s">
        <v>333</v>
      </c>
      <c r="F24" s="418">
        <v>500</v>
      </c>
      <c r="G24" s="129">
        <f t="shared" si="0"/>
        <v>23.525</v>
      </c>
      <c r="H24" s="419">
        <v>39699.425</v>
      </c>
      <c r="I24" s="176">
        <v>39699.83194444444</v>
      </c>
      <c r="J24" s="420">
        <f t="shared" si="1"/>
        <v>9.76666666654637</v>
      </c>
      <c r="K24" s="421">
        <f t="shared" si="2"/>
        <v>586</v>
      </c>
      <c r="L24" s="243" t="s">
        <v>222</v>
      </c>
      <c r="M24" s="178" t="str">
        <f t="shared" si="10"/>
        <v>--</v>
      </c>
      <c r="N24" s="422">
        <f t="shared" si="3"/>
        <v>200</v>
      </c>
      <c r="O24" s="423">
        <f t="shared" si="4"/>
        <v>4596.785</v>
      </c>
      <c r="P24" s="424" t="str">
        <f t="shared" si="5"/>
        <v>--</v>
      </c>
      <c r="Q24" s="425" t="str">
        <f t="shared" si="6"/>
        <v>--</v>
      </c>
      <c r="R24" s="185" t="str">
        <f t="shared" si="7"/>
        <v>--</v>
      </c>
      <c r="S24" s="178" t="str">
        <f t="shared" si="8"/>
        <v>SI</v>
      </c>
      <c r="T24" s="426">
        <f t="shared" si="9"/>
        <v>4596.785</v>
      </c>
      <c r="U24" s="6"/>
    </row>
    <row r="25" spans="2:21" s="5" customFormat="1" ht="16.5" customHeight="1">
      <c r="B25" s="50"/>
      <c r="C25" s="180">
        <v>119</v>
      </c>
      <c r="D25" s="417" t="s">
        <v>329</v>
      </c>
      <c r="E25" s="417" t="s">
        <v>333</v>
      </c>
      <c r="F25" s="418">
        <v>500</v>
      </c>
      <c r="G25" s="129">
        <f t="shared" si="0"/>
        <v>23.525</v>
      </c>
      <c r="H25" s="419">
        <v>39700.35</v>
      </c>
      <c r="I25" s="176">
        <v>39700.77361111111</v>
      </c>
      <c r="J25" s="420">
        <f t="shared" si="1"/>
        <v>10.166666666627862</v>
      </c>
      <c r="K25" s="421">
        <f t="shared" si="2"/>
        <v>610</v>
      </c>
      <c r="L25" s="243" t="s">
        <v>222</v>
      </c>
      <c r="M25" s="178" t="str">
        <f t="shared" si="10"/>
        <v>--</v>
      </c>
      <c r="N25" s="422">
        <f t="shared" si="3"/>
        <v>200</v>
      </c>
      <c r="O25" s="423">
        <f t="shared" si="4"/>
        <v>4784.985</v>
      </c>
      <c r="P25" s="424" t="str">
        <f t="shared" si="5"/>
        <v>--</v>
      </c>
      <c r="Q25" s="425" t="str">
        <f t="shared" si="6"/>
        <v>--</v>
      </c>
      <c r="R25" s="185" t="str">
        <f t="shared" si="7"/>
        <v>--</v>
      </c>
      <c r="S25" s="178" t="str">
        <f t="shared" si="8"/>
        <v>SI</v>
      </c>
      <c r="T25" s="426">
        <f t="shared" si="9"/>
        <v>4784.985</v>
      </c>
      <c r="U25" s="6"/>
    </row>
    <row r="26" spans="2:21" s="5" customFormat="1" ht="16.5" customHeight="1">
      <c r="B26" s="50"/>
      <c r="C26" s="180">
        <v>120</v>
      </c>
      <c r="D26" s="417" t="s">
        <v>329</v>
      </c>
      <c r="E26" s="417" t="s">
        <v>333</v>
      </c>
      <c r="F26" s="418">
        <v>500</v>
      </c>
      <c r="G26" s="129">
        <f t="shared" si="0"/>
        <v>23.525</v>
      </c>
      <c r="H26" s="419">
        <v>39701.342361111114</v>
      </c>
      <c r="I26" s="176">
        <v>39701.756944444445</v>
      </c>
      <c r="J26" s="420">
        <f t="shared" si="1"/>
        <v>9.949999999953434</v>
      </c>
      <c r="K26" s="421">
        <f t="shared" si="2"/>
        <v>597</v>
      </c>
      <c r="L26" s="243" t="s">
        <v>222</v>
      </c>
      <c r="M26" s="178" t="str">
        <f t="shared" si="10"/>
        <v>--</v>
      </c>
      <c r="N26" s="422">
        <f t="shared" si="3"/>
        <v>200</v>
      </c>
      <c r="O26" s="423">
        <f t="shared" si="4"/>
        <v>4681.475</v>
      </c>
      <c r="P26" s="424" t="str">
        <f t="shared" si="5"/>
        <v>--</v>
      </c>
      <c r="Q26" s="425" t="str">
        <f t="shared" si="6"/>
        <v>--</v>
      </c>
      <c r="R26" s="185" t="str">
        <f t="shared" si="7"/>
        <v>--</v>
      </c>
      <c r="S26" s="178" t="str">
        <f t="shared" si="8"/>
        <v>SI</v>
      </c>
      <c r="T26" s="426">
        <f t="shared" si="9"/>
        <v>4681.475</v>
      </c>
      <c r="U26" s="6"/>
    </row>
    <row r="27" spans="2:21" s="5" customFormat="1" ht="16.5" customHeight="1">
      <c r="B27" s="50"/>
      <c r="C27" s="180">
        <v>121</v>
      </c>
      <c r="D27" s="417" t="s">
        <v>329</v>
      </c>
      <c r="E27" s="417" t="s">
        <v>333</v>
      </c>
      <c r="F27" s="418">
        <v>500</v>
      </c>
      <c r="G27" s="129">
        <f t="shared" si="0"/>
        <v>23.525</v>
      </c>
      <c r="H27" s="419">
        <v>39706.33611111111</v>
      </c>
      <c r="I27" s="176">
        <v>39706.759722222225</v>
      </c>
      <c r="J27" s="420">
        <f t="shared" si="1"/>
        <v>10.166666666802485</v>
      </c>
      <c r="K27" s="421">
        <f t="shared" si="2"/>
        <v>610</v>
      </c>
      <c r="L27" s="243" t="s">
        <v>222</v>
      </c>
      <c r="M27" s="178" t="str">
        <f t="shared" si="10"/>
        <v>--</v>
      </c>
      <c r="N27" s="422">
        <f t="shared" si="3"/>
        <v>200</v>
      </c>
      <c r="O27" s="423">
        <f t="shared" si="4"/>
        <v>4784.985</v>
      </c>
      <c r="P27" s="424" t="str">
        <f t="shared" si="5"/>
        <v>--</v>
      </c>
      <c r="Q27" s="425" t="str">
        <f t="shared" si="6"/>
        <v>--</v>
      </c>
      <c r="R27" s="185" t="str">
        <f t="shared" si="7"/>
        <v>--</v>
      </c>
      <c r="S27" s="178" t="str">
        <f t="shared" si="8"/>
        <v>SI</v>
      </c>
      <c r="T27" s="426">
        <f t="shared" si="9"/>
        <v>4784.985</v>
      </c>
      <c r="U27" s="6"/>
    </row>
    <row r="28" spans="2:21" s="5" customFormat="1" ht="16.5" customHeight="1">
      <c r="B28" s="50"/>
      <c r="C28" s="180">
        <v>122</v>
      </c>
      <c r="D28" s="417" t="s">
        <v>329</v>
      </c>
      <c r="E28" s="417" t="s">
        <v>333</v>
      </c>
      <c r="F28" s="418">
        <v>500</v>
      </c>
      <c r="G28" s="129">
        <f t="shared" si="0"/>
        <v>23.525</v>
      </c>
      <c r="H28" s="419">
        <v>39707.3375</v>
      </c>
      <c r="I28" s="176">
        <v>39707.75347222222</v>
      </c>
      <c r="J28" s="420">
        <f t="shared" si="1"/>
        <v>9.983333333220799</v>
      </c>
      <c r="K28" s="421">
        <f t="shared" si="2"/>
        <v>599</v>
      </c>
      <c r="L28" s="243" t="s">
        <v>222</v>
      </c>
      <c r="M28" s="178" t="str">
        <f t="shared" si="10"/>
        <v>--</v>
      </c>
      <c r="N28" s="422">
        <f t="shared" si="3"/>
        <v>200</v>
      </c>
      <c r="O28" s="423">
        <f t="shared" si="4"/>
        <v>4695.59</v>
      </c>
      <c r="P28" s="424" t="str">
        <f t="shared" si="5"/>
        <v>--</v>
      </c>
      <c r="Q28" s="425" t="str">
        <f t="shared" si="6"/>
        <v>--</v>
      </c>
      <c r="R28" s="185" t="str">
        <f t="shared" si="7"/>
        <v>--</v>
      </c>
      <c r="S28" s="178" t="str">
        <f t="shared" si="8"/>
        <v>SI</v>
      </c>
      <c r="T28" s="426">
        <f t="shared" si="9"/>
        <v>4695.59</v>
      </c>
      <c r="U28" s="6"/>
    </row>
    <row r="29" spans="2:21" s="5" customFormat="1" ht="16.5" customHeight="1">
      <c r="B29" s="50"/>
      <c r="C29" s="180">
        <v>123</v>
      </c>
      <c r="D29" s="417" t="s">
        <v>329</v>
      </c>
      <c r="E29" s="417" t="s">
        <v>330</v>
      </c>
      <c r="F29" s="418">
        <v>132</v>
      </c>
      <c r="G29" s="129">
        <f t="shared" si="0"/>
        <v>18.82</v>
      </c>
      <c r="H29" s="419">
        <v>39707.373611111114</v>
      </c>
      <c r="I29" s="176">
        <v>39707.55347222222</v>
      </c>
      <c r="J29" s="420">
        <f t="shared" si="1"/>
        <v>4.316666666592937</v>
      </c>
      <c r="K29" s="421">
        <f t="shared" si="2"/>
        <v>259</v>
      </c>
      <c r="L29" s="243" t="s">
        <v>222</v>
      </c>
      <c r="M29" s="178" t="str">
        <f t="shared" si="10"/>
        <v>--</v>
      </c>
      <c r="N29" s="422">
        <f t="shared" si="3"/>
        <v>40</v>
      </c>
      <c r="O29" s="423">
        <f t="shared" si="4"/>
        <v>325.2096</v>
      </c>
      <c r="P29" s="424" t="str">
        <f t="shared" si="5"/>
        <v>--</v>
      </c>
      <c r="Q29" s="425" t="str">
        <f t="shared" si="6"/>
        <v>--</v>
      </c>
      <c r="R29" s="185" t="str">
        <f t="shared" si="7"/>
        <v>--</v>
      </c>
      <c r="S29" s="178" t="str">
        <f t="shared" si="8"/>
        <v>SI</v>
      </c>
      <c r="T29" s="426">
        <f t="shared" si="9"/>
        <v>325.2096</v>
      </c>
      <c r="U29" s="6"/>
    </row>
    <row r="30" spans="2:21" s="5" customFormat="1" ht="16.5" customHeight="1">
      <c r="B30" s="50"/>
      <c r="C30" s="180">
        <v>124</v>
      </c>
      <c r="D30" s="417" t="s">
        <v>329</v>
      </c>
      <c r="E30" s="417" t="s">
        <v>333</v>
      </c>
      <c r="F30" s="418">
        <v>500</v>
      </c>
      <c r="G30" s="129">
        <f t="shared" si="0"/>
        <v>23.525</v>
      </c>
      <c r="H30" s="419">
        <v>39708.3375</v>
      </c>
      <c r="I30" s="176">
        <v>39708.7375</v>
      </c>
      <c r="J30" s="420">
        <f t="shared" si="1"/>
        <v>9.600000000034925</v>
      </c>
      <c r="K30" s="421">
        <f t="shared" si="2"/>
        <v>576</v>
      </c>
      <c r="L30" s="243" t="s">
        <v>222</v>
      </c>
      <c r="M30" s="178" t="str">
        <f t="shared" si="10"/>
        <v>--</v>
      </c>
      <c r="N30" s="422">
        <f t="shared" si="3"/>
        <v>200</v>
      </c>
      <c r="O30" s="423">
        <f t="shared" si="4"/>
        <v>4516.8</v>
      </c>
      <c r="P30" s="424" t="str">
        <f t="shared" si="5"/>
        <v>--</v>
      </c>
      <c r="Q30" s="425" t="str">
        <f t="shared" si="6"/>
        <v>--</v>
      </c>
      <c r="R30" s="185" t="str">
        <f t="shared" si="7"/>
        <v>--</v>
      </c>
      <c r="S30" s="178" t="str">
        <f t="shared" si="8"/>
        <v>SI</v>
      </c>
      <c r="T30" s="426">
        <f t="shared" si="9"/>
        <v>4516.8</v>
      </c>
      <c r="U30" s="6"/>
    </row>
    <row r="31" spans="2:21" s="5" customFormat="1" ht="16.5" customHeight="1">
      <c r="B31" s="50"/>
      <c r="C31" s="180">
        <v>125</v>
      </c>
      <c r="D31" s="417" t="s">
        <v>329</v>
      </c>
      <c r="E31" s="417" t="s">
        <v>333</v>
      </c>
      <c r="F31" s="418">
        <v>500</v>
      </c>
      <c r="G31" s="129">
        <f t="shared" si="0"/>
        <v>23.525</v>
      </c>
      <c r="H31" s="419">
        <v>39709.34305555555</v>
      </c>
      <c r="I31" s="176">
        <v>39709.777083333334</v>
      </c>
      <c r="J31" s="420">
        <f t="shared" si="1"/>
        <v>10.416666666744277</v>
      </c>
      <c r="K31" s="421">
        <f t="shared" si="2"/>
        <v>625</v>
      </c>
      <c r="L31" s="243" t="s">
        <v>222</v>
      </c>
      <c r="M31" s="178" t="str">
        <f t="shared" si="10"/>
        <v>--</v>
      </c>
      <c r="N31" s="422">
        <f t="shared" si="3"/>
        <v>200</v>
      </c>
      <c r="O31" s="423">
        <f t="shared" si="4"/>
        <v>4902.61</v>
      </c>
      <c r="P31" s="424" t="str">
        <f t="shared" si="5"/>
        <v>--</v>
      </c>
      <c r="Q31" s="425" t="str">
        <f t="shared" si="6"/>
        <v>--</v>
      </c>
      <c r="R31" s="185" t="str">
        <f t="shared" si="7"/>
        <v>--</v>
      </c>
      <c r="S31" s="178" t="str">
        <f t="shared" si="8"/>
        <v>SI</v>
      </c>
      <c r="T31" s="426">
        <f t="shared" si="9"/>
        <v>4902.61</v>
      </c>
      <c r="U31" s="6"/>
    </row>
    <row r="32" spans="2:21" s="5" customFormat="1" ht="16.5" customHeight="1">
      <c r="B32" s="50"/>
      <c r="C32" s="180">
        <v>126</v>
      </c>
      <c r="D32" s="417" t="s">
        <v>329</v>
      </c>
      <c r="E32" s="417" t="s">
        <v>333</v>
      </c>
      <c r="F32" s="418">
        <v>500</v>
      </c>
      <c r="G32" s="129">
        <f t="shared" si="0"/>
        <v>23.525</v>
      </c>
      <c r="H32" s="419">
        <v>39710.375</v>
      </c>
      <c r="I32" s="176">
        <v>39710.78055555555</v>
      </c>
      <c r="J32" s="420">
        <f t="shared" si="1"/>
        <v>9.733333333279006</v>
      </c>
      <c r="K32" s="421">
        <f t="shared" si="2"/>
        <v>584</v>
      </c>
      <c r="L32" s="243" t="s">
        <v>222</v>
      </c>
      <c r="M32" s="178" t="str">
        <f t="shared" si="10"/>
        <v>--</v>
      </c>
      <c r="N32" s="422">
        <f t="shared" si="3"/>
        <v>200</v>
      </c>
      <c r="O32" s="423">
        <f t="shared" si="4"/>
        <v>4577.965</v>
      </c>
      <c r="P32" s="424" t="str">
        <f t="shared" si="5"/>
        <v>--</v>
      </c>
      <c r="Q32" s="425" t="str">
        <f t="shared" si="6"/>
        <v>--</v>
      </c>
      <c r="R32" s="185" t="str">
        <f t="shared" si="7"/>
        <v>--</v>
      </c>
      <c r="S32" s="178" t="str">
        <f t="shared" si="8"/>
        <v>SI</v>
      </c>
      <c r="T32" s="426">
        <f t="shared" si="9"/>
        <v>4577.965</v>
      </c>
      <c r="U32" s="6"/>
    </row>
    <row r="33" spans="2:21" s="5" customFormat="1" ht="16.5" customHeight="1">
      <c r="B33" s="50"/>
      <c r="C33" s="180">
        <v>127</v>
      </c>
      <c r="D33" s="417" t="s">
        <v>329</v>
      </c>
      <c r="E33" s="417" t="s">
        <v>333</v>
      </c>
      <c r="F33" s="418">
        <v>500</v>
      </c>
      <c r="G33" s="129">
        <f t="shared" si="0"/>
        <v>23.525</v>
      </c>
      <c r="H33" s="419">
        <v>39720.34583333333</v>
      </c>
      <c r="I33" s="176">
        <v>39720.74375</v>
      </c>
      <c r="J33" s="420">
        <f t="shared" si="1"/>
        <v>9.550000000046566</v>
      </c>
      <c r="K33" s="421">
        <f t="shared" si="2"/>
        <v>573</v>
      </c>
      <c r="L33" s="243" t="s">
        <v>222</v>
      </c>
      <c r="M33" s="178" t="str">
        <f t="shared" si="10"/>
        <v>--</v>
      </c>
      <c r="N33" s="422">
        <f t="shared" si="3"/>
        <v>200</v>
      </c>
      <c r="O33" s="423">
        <f t="shared" si="4"/>
        <v>4493.275000000001</v>
      </c>
      <c r="P33" s="424" t="str">
        <f t="shared" si="5"/>
        <v>--</v>
      </c>
      <c r="Q33" s="425" t="str">
        <f t="shared" si="6"/>
        <v>--</v>
      </c>
      <c r="R33" s="185" t="str">
        <f t="shared" si="7"/>
        <v>--</v>
      </c>
      <c r="S33" s="178" t="str">
        <f t="shared" si="8"/>
        <v>SI</v>
      </c>
      <c r="T33" s="426">
        <f t="shared" si="9"/>
        <v>4493.275000000001</v>
      </c>
      <c r="U33" s="6"/>
    </row>
    <row r="34" spans="2:21" s="5" customFormat="1" ht="16.5" customHeight="1">
      <c r="B34" s="50"/>
      <c r="C34" s="180">
        <v>128</v>
      </c>
      <c r="D34" s="417" t="s">
        <v>329</v>
      </c>
      <c r="E34" s="417" t="s">
        <v>334</v>
      </c>
      <c r="F34" s="418">
        <v>132</v>
      </c>
      <c r="G34" s="129">
        <f t="shared" si="0"/>
        <v>18.82</v>
      </c>
      <c r="H34" s="419">
        <v>39720.424305555556</v>
      </c>
      <c r="I34" s="176">
        <v>39720.635416666664</v>
      </c>
      <c r="J34" s="420">
        <f t="shared" si="1"/>
        <v>5.066666666592937</v>
      </c>
      <c r="K34" s="421">
        <f t="shared" si="2"/>
        <v>304</v>
      </c>
      <c r="L34" s="243" t="s">
        <v>222</v>
      </c>
      <c r="M34" s="178" t="str">
        <f t="shared" si="10"/>
        <v>--</v>
      </c>
      <c r="N34" s="422">
        <f t="shared" si="3"/>
        <v>40</v>
      </c>
      <c r="O34" s="423">
        <f t="shared" si="4"/>
        <v>381.6696</v>
      </c>
      <c r="P34" s="424" t="str">
        <f t="shared" si="5"/>
        <v>--</v>
      </c>
      <c r="Q34" s="425" t="str">
        <f t="shared" si="6"/>
        <v>--</v>
      </c>
      <c r="R34" s="185" t="str">
        <f t="shared" si="7"/>
        <v>--</v>
      </c>
      <c r="S34" s="178" t="str">
        <f t="shared" si="8"/>
        <v>SI</v>
      </c>
      <c r="T34" s="426">
        <f t="shared" si="9"/>
        <v>381.6696</v>
      </c>
      <c r="U34" s="6"/>
    </row>
    <row r="35" spans="2:21" s="5" customFormat="1" ht="16.5" customHeight="1">
      <c r="B35" s="50"/>
      <c r="C35" s="180">
        <v>129</v>
      </c>
      <c r="D35" s="417" t="s">
        <v>335</v>
      </c>
      <c r="E35" s="417" t="s">
        <v>336</v>
      </c>
      <c r="F35" s="418">
        <v>132</v>
      </c>
      <c r="G35" s="129">
        <f t="shared" si="0"/>
        <v>18.82</v>
      </c>
      <c r="H35" s="419">
        <v>39721.31875</v>
      </c>
      <c r="I35" s="176">
        <v>39721.333333333336</v>
      </c>
      <c r="J35" s="420">
        <f t="shared" si="1"/>
        <v>0.35000000009313226</v>
      </c>
      <c r="K35" s="421">
        <f t="shared" si="2"/>
        <v>21</v>
      </c>
      <c r="L35" s="243" t="s">
        <v>222</v>
      </c>
      <c r="M35" s="178" t="str">
        <f t="shared" si="10"/>
        <v>--</v>
      </c>
      <c r="N35" s="422">
        <f t="shared" si="3"/>
        <v>40</v>
      </c>
      <c r="O35" s="423">
        <f t="shared" si="4"/>
        <v>26.348</v>
      </c>
      <c r="P35" s="424" t="str">
        <f t="shared" si="5"/>
        <v>--</v>
      </c>
      <c r="Q35" s="425" t="str">
        <f t="shared" si="6"/>
        <v>--</v>
      </c>
      <c r="R35" s="185" t="str">
        <f t="shared" si="7"/>
        <v>--</v>
      </c>
      <c r="S35" s="178" t="str">
        <f t="shared" si="8"/>
        <v>SI</v>
      </c>
      <c r="T35" s="426">
        <f t="shared" si="9"/>
        <v>26.348</v>
      </c>
      <c r="U35" s="6"/>
    </row>
    <row r="36" spans="2:21" s="5" customFormat="1" ht="16.5" customHeight="1">
      <c r="B36" s="50"/>
      <c r="C36" s="180">
        <v>130</v>
      </c>
      <c r="D36" s="417" t="s">
        <v>329</v>
      </c>
      <c r="E36" s="417" t="s">
        <v>333</v>
      </c>
      <c r="F36" s="418">
        <v>500</v>
      </c>
      <c r="G36" s="129">
        <f t="shared" si="0"/>
        <v>23.525</v>
      </c>
      <c r="H36" s="419">
        <v>39721.345138888886</v>
      </c>
      <c r="I36" s="176">
        <v>39721.73611111111</v>
      </c>
      <c r="J36" s="420">
        <f t="shared" si="1"/>
        <v>9.383333333360497</v>
      </c>
      <c r="K36" s="421">
        <f t="shared" si="2"/>
        <v>563</v>
      </c>
      <c r="L36" s="243" t="s">
        <v>222</v>
      </c>
      <c r="M36" s="178" t="str">
        <f t="shared" si="10"/>
        <v>--</v>
      </c>
      <c r="N36" s="422">
        <f t="shared" si="3"/>
        <v>200</v>
      </c>
      <c r="O36" s="423">
        <f t="shared" si="4"/>
        <v>4413.29</v>
      </c>
      <c r="P36" s="424" t="str">
        <f t="shared" si="5"/>
        <v>--</v>
      </c>
      <c r="Q36" s="425" t="str">
        <f t="shared" si="6"/>
        <v>--</v>
      </c>
      <c r="R36" s="185" t="str">
        <f t="shared" si="7"/>
        <v>--</v>
      </c>
      <c r="S36" s="178" t="str">
        <f t="shared" si="8"/>
        <v>SI</v>
      </c>
      <c r="T36" s="426">
        <f t="shared" si="9"/>
        <v>4413.29</v>
      </c>
      <c r="U36" s="6"/>
    </row>
    <row r="37" spans="2:21" s="5" customFormat="1" ht="16.5" customHeight="1">
      <c r="B37" s="50"/>
      <c r="C37" s="180">
        <v>131</v>
      </c>
      <c r="D37" s="417" t="s">
        <v>329</v>
      </c>
      <c r="E37" s="417" t="s">
        <v>334</v>
      </c>
      <c r="F37" s="418">
        <v>132</v>
      </c>
      <c r="G37" s="129">
        <f t="shared" si="0"/>
        <v>18.82</v>
      </c>
      <c r="H37" s="419">
        <v>39721.35138888889</v>
      </c>
      <c r="I37" s="176">
        <v>39721.63958333333</v>
      </c>
      <c r="J37" s="420">
        <f t="shared" si="1"/>
        <v>6.916666666511446</v>
      </c>
      <c r="K37" s="421">
        <f t="shared" si="2"/>
        <v>415</v>
      </c>
      <c r="L37" s="243" t="s">
        <v>222</v>
      </c>
      <c r="M37" s="178" t="str">
        <f t="shared" si="10"/>
        <v>--</v>
      </c>
      <c r="N37" s="422">
        <f t="shared" si="3"/>
        <v>40</v>
      </c>
      <c r="O37" s="423">
        <f t="shared" si="4"/>
        <v>520.9376</v>
      </c>
      <c r="P37" s="424" t="str">
        <f t="shared" si="5"/>
        <v>--</v>
      </c>
      <c r="Q37" s="425" t="str">
        <f t="shared" si="6"/>
        <v>--</v>
      </c>
      <c r="R37" s="185" t="str">
        <f t="shared" si="7"/>
        <v>--</v>
      </c>
      <c r="S37" s="178" t="str">
        <f t="shared" si="8"/>
        <v>SI</v>
      </c>
      <c r="T37" s="426">
        <f t="shared" si="9"/>
        <v>520.9376</v>
      </c>
      <c r="U37" s="6"/>
    </row>
    <row r="38" spans="2:21" s="5" customFormat="1" ht="16.5" customHeight="1">
      <c r="B38" s="50"/>
      <c r="C38" s="180"/>
      <c r="D38" s="417"/>
      <c r="E38" s="417"/>
      <c r="F38" s="418"/>
      <c r="G38" s="129">
        <f t="shared" si="0"/>
        <v>18.82</v>
      </c>
      <c r="H38" s="419"/>
      <c r="I38" s="176"/>
      <c r="J38" s="420">
        <f t="shared" si="1"/>
      </c>
      <c r="K38" s="421">
        <f t="shared" si="2"/>
      </c>
      <c r="L38" s="243"/>
      <c r="M38" s="178">
        <f t="shared" si="10"/>
      </c>
      <c r="N38" s="422">
        <f t="shared" si="3"/>
        <v>40</v>
      </c>
      <c r="O38" s="423" t="str">
        <f t="shared" si="4"/>
        <v>--</v>
      </c>
      <c r="P38" s="424" t="str">
        <f t="shared" si="5"/>
        <v>--</v>
      </c>
      <c r="Q38" s="425" t="str">
        <f t="shared" si="6"/>
        <v>--</v>
      </c>
      <c r="R38" s="185" t="str">
        <f t="shared" si="7"/>
        <v>--</v>
      </c>
      <c r="S38" s="178">
        <f t="shared" si="8"/>
      </c>
      <c r="T38" s="426">
        <f t="shared" si="9"/>
      </c>
      <c r="U38" s="6"/>
    </row>
    <row r="39" spans="2:21" s="5" customFormat="1" ht="16.5" customHeight="1">
      <c r="B39" s="50"/>
      <c r="C39" s="297"/>
      <c r="D39" s="417"/>
      <c r="E39" s="417"/>
      <c r="F39" s="418"/>
      <c r="G39" s="129">
        <f t="shared" si="0"/>
        <v>18.82</v>
      </c>
      <c r="H39" s="419"/>
      <c r="I39" s="176"/>
      <c r="J39" s="420">
        <f t="shared" si="1"/>
      </c>
      <c r="K39" s="421">
        <f t="shared" si="2"/>
      </c>
      <c r="L39" s="243"/>
      <c r="M39" s="178">
        <f t="shared" si="10"/>
      </c>
      <c r="N39" s="422">
        <f t="shared" si="3"/>
        <v>40</v>
      </c>
      <c r="O39" s="423" t="str">
        <f t="shared" si="4"/>
        <v>--</v>
      </c>
      <c r="P39" s="424" t="str">
        <f t="shared" si="5"/>
        <v>--</v>
      </c>
      <c r="Q39" s="425" t="str">
        <f t="shared" si="6"/>
        <v>--</v>
      </c>
      <c r="R39" s="185" t="str">
        <f t="shared" si="7"/>
        <v>--</v>
      </c>
      <c r="S39" s="178">
        <f t="shared" si="8"/>
      </c>
      <c r="T39" s="426">
        <f t="shared" si="9"/>
      </c>
      <c r="U39" s="6"/>
    </row>
    <row r="40" spans="2:21" s="5" customFormat="1" ht="16.5" customHeight="1">
      <c r="B40" s="50"/>
      <c r="C40" s="180"/>
      <c r="D40" s="417"/>
      <c r="E40" s="417"/>
      <c r="F40" s="418"/>
      <c r="G40" s="129">
        <f t="shared" si="0"/>
        <v>18.82</v>
      </c>
      <c r="H40" s="419"/>
      <c r="I40" s="176"/>
      <c r="J40" s="420">
        <f t="shared" si="1"/>
      </c>
      <c r="K40" s="421">
        <f t="shared" si="2"/>
      </c>
      <c r="L40" s="243"/>
      <c r="M40" s="178">
        <f t="shared" si="10"/>
      </c>
      <c r="N40" s="422">
        <f t="shared" si="3"/>
        <v>40</v>
      </c>
      <c r="O40" s="423" t="str">
        <f t="shared" si="4"/>
        <v>--</v>
      </c>
      <c r="P40" s="424" t="str">
        <f t="shared" si="5"/>
        <v>--</v>
      </c>
      <c r="Q40" s="425" t="str">
        <f t="shared" si="6"/>
        <v>--</v>
      </c>
      <c r="R40" s="185" t="str">
        <f t="shared" si="7"/>
        <v>--</v>
      </c>
      <c r="S40" s="178">
        <f t="shared" si="8"/>
      </c>
      <c r="T40" s="426">
        <f t="shared" si="9"/>
      </c>
      <c r="U40" s="6"/>
    </row>
    <row r="41" spans="2:21" s="5" customFormat="1" ht="16.5" customHeight="1">
      <c r="B41" s="50"/>
      <c r="C41" s="297"/>
      <c r="D41" s="417"/>
      <c r="E41" s="417"/>
      <c r="F41" s="418"/>
      <c r="G41" s="129">
        <f t="shared" si="0"/>
        <v>18.82</v>
      </c>
      <c r="H41" s="419"/>
      <c r="I41" s="176"/>
      <c r="J41" s="420">
        <f t="shared" si="1"/>
      </c>
      <c r="K41" s="421">
        <f t="shared" si="2"/>
      </c>
      <c r="L41" s="243"/>
      <c r="M41" s="178">
        <f t="shared" si="10"/>
      </c>
      <c r="N41" s="422">
        <f t="shared" si="3"/>
        <v>40</v>
      </c>
      <c r="O41" s="423" t="str">
        <f t="shared" si="4"/>
        <v>--</v>
      </c>
      <c r="P41" s="424" t="str">
        <f t="shared" si="5"/>
        <v>--</v>
      </c>
      <c r="Q41" s="425" t="str">
        <f t="shared" si="6"/>
        <v>--</v>
      </c>
      <c r="R41" s="185" t="str">
        <f t="shared" si="7"/>
        <v>--</v>
      </c>
      <c r="S41" s="178">
        <f t="shared" si="8"/>
      </c>
      <c r="T41" s="426">
        <f t="shared" si="9"/>
      </c>
      <c r="U41" s="6"/>
    </row>
    <row r="42" spans="2:21" s="5" customFormat="1" ht="16.5" customHeight="1" thickBot="1">
      <c r="B42" s="50"/>
      <c r="C42" s="180"/>
      <c r="D42" s="172"/>
      <c r="E42" s="172"/>
      <c r="F42" s="251"/>
      <c r="G42" s="130"/>
      <c r="H42" s="427"/>
      <c r="I42" s="427"/>
      <c r="J42" s="428"/>
      <c r="K42" s="428"/>
      <c r="L42" s="427"/>
      <c r="M42" s="177"/>
      <c r="N42" s="429"/>
      <c r="O42" s="430"/>
      <c r="P42" s="431"/>
      <c r="Q42" s="432"/>
      <c r="R42" s="187"/>
      <c r="S42" s="177"/>
      <c r="T42" s="433"/>
      <c r="U42" s="6"/>
    </row>
    <row r="43" spans="2:21" s="5" customFormat="1" ht="16.5" customHeight="1" thickBot="1" thickTop="1">
      <c r="B43" s="50"/>
      <c r="C43" s="126" t="s">
        <v>23</v>
      </c>
      <c r="D43" s="127" t="s">
        <v>340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34">
        <f>SUM(O20:O42)</f>
        <v>47966.91039999999</v>
      </c>
      <c r="P43" s="435">
        <f>SUM(P20:P42)</f>
        <v>0</v>
      </c>
      <c r="Q43" s="436">
        <f>SUM(Q20:Q42)</f>
        <v>466.736</v>
      </c>
      <c r="R43" s="437">
        <f>SUM(R20:R42)</f>
        <v>0</v>
      </c>
      <c r="S43" s="438"/>
      <c r="T43" s="99">
        <f>ROUND(SUM(T20:T42),2)</f>
        <v>48433.65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202"/>
      <c r="V45" s="202"/>
      <c r="W45" s="202"/>
    </row>
    <row r="46" spans="21:23" ht="16.5" customHeight="1">
      <c r="U46" s="202"/>
      <c r="V46" s="202"/>
      <c r="W46" s="202"/>
    </row>
    <row r="47" spans="21:23" ht="16.5" customHeight="1">
      <c r="U47" s="202"/>
      <c r="V47" s="202"/>
      <c r="W47" s="202"/>
    </row>
    <row r="48" spans="21:23" ht="16.5" customHeight="1">
      <c r="U48" s="202"/>
      <c r="V48" s="202"/>
      <c r="W48" s="202"/>
    </row>
    <row r="49" spans="21:23" ht="16.5" customHeight="1">
      <c r="U49" s="202"/>
      <c r="V49" s="202"/>
      <c r="W49" s="202"/>
    </row>
    <row r="50" spans="4:23" ht="16.5" customHeight="1"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</row>
    <row r="51" spans="4:23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</row>
    <row r="52" spans="4:23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spans="4:23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spans="4:23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</row>
    <row r="55" spans="4:23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spans="4:23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4:23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4:23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4:23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4:23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4:23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4:23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spans="4:23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spans="4:23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4:23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4:23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spans="4:23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spans="4:23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spans="4:23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4:23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spans="4:23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4:23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4:23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spans="4:23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spans="4:23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spans="4:23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spans="4:23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spans="4:23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spans="4:23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4:23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4:23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4:23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4:23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4:23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4:23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4:23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4:23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4:23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4:23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4:23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4:23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4:23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4:23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4:23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4:23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4:23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4:23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4:23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4:23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4:23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4:23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4:23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4:23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4:23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4:23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4:23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4:23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4:23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4:23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4:23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4:23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4:23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4:23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4:23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4:23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4:23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4:23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4:23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4:23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4:23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4:23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4:23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4:23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4:23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4:23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4:23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4:23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4:23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4:23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4:23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4:23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4:23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4:23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4:23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4:23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4:23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4:23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4:23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4:23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4:23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4:23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4:23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4:23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4:23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4:23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4:23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4:23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4:23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4:23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4:23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4:23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4:23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4:23" ht="16.5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4:23" ht="16.5" customHeight="1"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4:23" ht="16.5" customHeight="1"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4:23" ht="16.5" customHeight="1"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4:23" ht="16.5" customHeight="1"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82"/>
  <sheetViews>
    <sheetView zoomScale="50" zoomScaleNormal="50" workbookViewId="0" topLeftCell="A46">
      <selection activeCell="A98" sqref="A98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0039062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2"/>
      <c r="AD1" s="779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54" customFormat="1" ht="30.75">
      <c r="A3" s="651"/>
      <c r="B3" s="652" t="str">
        <f>+'TOT-0908'!B2</f>
        <v>ANEXO IV al Memorándum D.T.E.E. N°   366  / 2010          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AB3" s="653"/>
      <c r="AC3" s="653"/>
      <c r="AD3" s="653"/>
    </row>
    <row r="4" spans="1:2" s="25" customFormat="1" ht="11.25">
      <c r="A4" s="774" t="s">
        <v>1</v>
      </c>
      <c r="B4" s="775"/>
    </row>
    <row r="5" spans="1:2" s="25" customFormat="1" ht="12" thickBot="1">
      <c r="A5" s="774" t="s">
        <v>2</v>
      </c>
      <c r="B5" s="774"/>
    </row>
    <row r="6" spans="1:23" ht="16.5" customHeight="1" thickTop="1">
      <c r="A6" s="5"/>
      <c r="B6" s="69"/>
      <c r="C6" s="70"/>
      <c r="D6" s="70"/>
      <c r="E6" s="22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2"/>
    </row>
    <row r="7" spans="1:23" ht="20.25">
      <c r="A7" s="5"/>
      <c r="B7" s="50"/>
      <c r="C7" s="4"/>
      <c r="D7" s="201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201" t="s">
        <v>98</v>
      </c>
      <c r="E9" s="43"/>
      <c r="F9" s="43"/>
      <c r="G9" s="43"/>
      <c r="H9" s="43"/>
      <c r="N9" s="43"/>
      <c r="O9" s="43"/>
      <c r="P9" s="221"/>
      <c r="Q9" s="221"/>
      <c r="R9" s="43"/>
      <c r="S9" s="43"/>
      <c r="T9" s="43"/>
      <c r="U9" s="43"/>
      <c r="V9" s="43"/>
      <c r="W9" s="222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201" t="s">
        <v>234</v>
      </c>
      <c r="E11" s="43"/>
      <c r="F11" s="43"/>
      <c r="G11" s="43"/>
      <c r="H11" s="43"/>
      <c r="N11" s="43"/>
      <c r="O11" s="43"/>
      <c r="P11" s="221"/>
      <c r="Q11" s="221"/>
      <c r="R11" s="43"/>
      <c r="S11" s="43"/>
      <c r="T11" s="43"/>
      <c r="U11" s="43"/>
      <c r="V11" s="43"/>
      <c r="W11" s="222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'TOT-0908'!B14</f>
        <v>Desde el 01 al 30 de septiembre de 2008</v>
      </c>
      <c r="C13" s="38"/>
      <c r="D13" s="40"/>
      <c r="E13" s="40"/>
      <c r="F13" s="40"/>
      <c r="G13" s="40"/>
      <c r="H13" s="40"/>
      <c r="I13" s="41"/>
      <c r="J13" s="19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5"/>
      <c r="V13" s="125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65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38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38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89" t="s">
        <v>99</v>
      </c>
      <c r="D17" s="54" t="s">
        <v>100</v>
      </c>
      <c r="E17" s="66"/>
      <c r="F17" s="66"/>
      <c r="G17" s="4"/>
      <c r="H17" s="4"/>
      <c r="I17" s="4"/>
      <c r="J17" s="65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656"/>
      <c r="C18" s="33"/>
      <c r="D18" s="657"/>
      <c r="E18" s="663" t="s">
        <v>239</v>
      </c>
      <c r="F18" s="746">
        <v>481861</v>
      </c>
      <c r="G18" s="748" t="str">
        <f>"(DTE "&amp;DATO!$G$14&amp;DATO!$H$14&amp;")"</f>
        <v>(DTE 0908)</v>
      </c>
      <c r="H18" s="33"/>
      <c r="I18" s="33"/>
      <c r="J18" s="659"/>
      <c r="K18" s="33"/>
      <c r="L18" s="33"/>
      <c r="M18" s="33"/>
      <c r="N18" s="780" t="s">
        <v>35</v>
      </c>
      <c r="P18" s="33"/>
      <c r="Q18" s="33"/>
      <c r="R18" s="33"/>
      <c r="S18" s="33"/>
      <c r="T18" s="33"/>
      <c r="U18" s="33"/>
      <c r="V18" s="33"/>
      <c r="W18" s="660"/>
    </row>
    <row r="19" spans="2:23" s="32" customFormat="1" ht="16.5" customHeight="1">
      <c r="B19" s="656"/>
      <c r="C19" s="33"/>
      <c r="D19" s="965"/>
      <c r="E19" s="663" t="s">
        <v>38</v>
      </c>
      <c r="F19" s="664">
        <v>0.025</v>
      </c>
      <c r="G19" s="661"/>
      <c r="H19" s="33"/>
      <c r="I19" s="226"/>
      <c r="J19" s="227"/>
      <c r="K19" s="781" t="s">
        <v>114</v>
      </c>
      <c r="L19" s="782"/>
      <c r="M19" s="783">
        <v>63.904</v>
      </c>
      <c r="N19" s="784">
        <v>200</v>
      </c>
      <c r="R19" s="33"/>
      <c r="S19" s="33"/>
      <c r="T19" s="33"/>
      <c r="U19" s="33"/>
      <c r="V19" s="33"/>
      <c r="W19" s="660"/>
    </row>
    <row r="20" spans="2:23" s="32" customFormat="1" ht="16.5" customHeight="1">
      <c r="B20" s="656"/>
      <c r="C20" s="33"/>
      <c r="D20" s="965"/>
      <c r="E20" s="657" t="s">
        <v>36</v>
      </c>
      <c r="F20" s="33">
        <f>MID(B13,16,2)*24</f>
        <v>720</v>
      </c>
      <c r="G20" s="33" t="s">
        <v>37</v>
      </c>
      <c r="H20" s="33"/>
      <c r="I20" s="33"/>
      <c r="J20" s="33"/>
      <c r="K20" s="785" t="s">
        <v>78</v>
      </c>
      <c r="L20" s="786"/>
      <c r="M20" s="787">
        <v>57.511</v>
      </c>
      <c r="N20" s="788">
        <v>100</v>
      </c>
      <c r="O20" s="33"/>
      <c r="P20" s="776"/>
      <c r="Q20" s="33"/>
      <c r="R20" s="33"/>
      <c r="S20" s="33"/>
      <c r="T20" s="33"/>
      <c r="U20" s="33"/>
      <c r="V20" s="33"/>
      <c r="W20" s="660"/>
    </row>
    <row r="21" spans="2:23" s="32" customFormat="1" ht="16.5" customHeight="1" thickBot="1">
      <c r="B21" s="656"/>
      <c r="C21" s="33"/>
      <c r="D21" s="965"/>
      <c r="E21" s="657" t="s">
        <v>39</v>
      </c>
      <c r="F21" s="33">
        <v>0.319</v>
      </c>
      <c r="G21" s="32" t="s">
        <v>110</v>
      </c>
      <c r="H21" s="33"/>
      <c r="I21" s="33"/>
      <c r="J21" s="33"/>
      <c r="K21" s="789" t="s">
        <v>115</v>
      </c>
      <c r="L21" s="790"/>
      <c r="M21" s="791">
        <v>51.126</v>
      </c>
      <c r="N21" s="792">
        <v>40</v>
      </c>
      <c r="O21" s="33"/>
      <c r="P21" s="776"/>
      <c r="Q21" s="33"/>
      <c r="R21" s="33"/>
      <c r="S21" s="33"/>
      <c r="T21" s="33"/>
      <c r="U21" s="33"/>
      <c r="V21" s="33"/>
      <c r="W21" s="660"/>
    </row>
    <row r="22" spans="2:23" s="32" customFormat="1" ht="16.5" customHeight="1">
      <c r="B22" s="656"/>
      <c r="C22" s="33"/>
      <c r="D22" s="33"/>
      <c r="E22" s="66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60"/>
    </row>
    <row r="23" spans="1:23" ht="16.5" customHeight="1">
      <c r="A23" s="5"/>
      <c r="B23" s="50"/>
      <c r="C23" s="189" t="s">
        <v>101</v>
      </c>
      <c r="D23" s="3" t="s">
        <v>125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656"/>
      <c r="C25" s="658"/>
      <c r="D25"/>
      <c r="E25"/>
      <c r="F25"/>
      <c r="G25"/>
      <c r="H25"/>
      <c r="I25" s="666" t="s">
        <v>43</v>
      </c>
      <c r="J25" s="793">
        <f>+F18*F19</f>
        <v>12046.525000000001</v>
      </c>
      <c r="L25"/>
      <c r="S25"/>
      <c r="T25"/>
      <c r="U25"/>
      <c r="W25" s="660"/>
    </row>
    <row r="26" spans="2:23" s="32" customFormat="1" ht="11.25" customHeight="1" thickTop="1">
      <c r="B26" s="656"/>
      <c r="C26" s="658"/>
      <c r="D26" s="33"/>
      <c r="E26" s="66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660"/>
    </row>
    <row r="27" spans="1:23" ht="16.5" customHeight="1">
      <c r="A27" s="5"/>
      <c r="B27" s="50"/>
      <c r="C27" s="189" t="s">
        <v>102</v>
      </c>
      <c r="D27" s="3" t="s">
        <v>126</v>
      </c>
      <c r="E27" s="22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658"/>
      <c r="D28" s="658"/>
      <c r="E28" s="668"/>
      <c r="F28" s="665"/>
      <c r="G28" s="669"/>
      <c r="H28" s="669"/>
      <c r="I28" s="670"/>
      <c r="J28" s="670"/>
      <c r="K28" s="670"/>
      <c r="L28" s="670"/>
      <c r="M28" s="670"/>
      <c r="N28" s="670"/>
      <c r="O28" s="671"/>
      <c r="P28" s="670"/>
      <c r="Q28" s="670"/>
      <c r="R28" s="794"/>
      <c r="S28" s="795"/>
      <c r="T28" s="796"/>
      <c r="U28" s="796"/>
      <c r="V28" s="796"/>
      <c r="W28" s="250"/>
    </row>
    <row r="29" spans="1:26" s="5" customFormat="1" ht="33.75" customHeight="1" thickBot="1" thickTop="1">
      <c r="A29" s="88"/>
      <c r="B29" s="93"/>
      <c r="C29" s="122" t="s">
        <v>12</v>
      </c>
      <c r="D29" s="118" t="s">
        <v>25</v>
      </c>
      <c r="E29" s="117" t="s">
        <v>26</v>
      </c>
      <c r="F29" s="119" t="s">
        <v>27</v>
      </c>
      <c r="G29" s="120" t="s">
        <v>13</v>
      </c>
      <c r="H29" s="128" t="s">
        <v>15</v>
      </c>
      <c r="I29" s="117" t="s">
        <v>16</v>
      </c>
      <c r="J29" s="117" t="s">
        <v>17</v>
      </c>
      <c r="K29" s="118" t="s">
        <v>28</v>
      </c>
      <c r="L29" s="118" t="s">
        <v>29</v>
      </c>
      <c r="M29" s="87" t="s">
        <v>103</v>
      </c>
      <c r="N29" s="117" t="s">
        <v>30</v>
      </c>
      <c r="O29" s="674" t="s">
        <v>31</v>
      </c>
      <c r="P29" s="128" t="s">
        <v>32</v>
      </c>
      <c r="Q29" s="675" t="s">
        <v>19</v>
      </c>
      <c r="R29" s="676" t="s">
        <v>104</v>
      </c>
      <c r="S29" s="677"/>
      <c r="T29" s="678" t="s">
        <v>21</v>
      </c>
      <c r="U29" s="131" t="s">
        <v>70</v>
      </c>
      <c r="V29" s="120" t="s">
        <v>22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79"/>
      <c r="H30" s="680"/>
      <c r="I30" s="10"/>
      <c r="J30" s="10"/>
      <c r="K30" s="10"/>
      <c r="L30" s="10"/>
      <c r="M30" s="10"/>
      <c r="N30" s="681"/>
      <c r="O30" s="797"/>
      <c r="P30" s="132"/>
      <c r="Q30" s="682"/>
      <c r="R30" s="683"/>
      <c r="S30" s="684"/>
      <c r="T30" s="685"/>
      <c r="U30" s="681"/>
      <c r="V30" s="686"/>
      <c r="W30" s="17"/>
    </row>
    <row r="31" spans="1:23" ht="16.5" customHeight="1">
      <c r="A31" s="5"/>
      <c r="B31" s="50"/>
      <c r="C31" s="910" t="s">
        <v>197</v>
      </c>
      <c r="D31" s="174" t="s">
        <v>335</v>
      </c>
      <c r="E31" s="311" t="s">
        <v>337</v>
      </c>
      <c r="F31" s="312">
        <v>300</v>
      </c>
      <c r="G31" s="968" t="s">
        <v>278</v>
      </c>
      <c r="H31" s="691">
        <f>F31*$F$21</f>
        <v>95.7</v>
      </c>
      <c r="I31" s="692">
        <v>39712.34375</v>
      </c>
      <c r="J31" s="692">
        <v>39712.75069444445</v>
      </c>
      <c r="K31" s="315">
        <f>IF(D31="","",(J31-I31)*24)</f>
        <v>9.766666666720994</v>
      </c>
      <c r="L31" s="14">
        <f>IF(D31="","",(J31-I31)*24*60)</f>
        <v>586.0000000032596</v>
      </c>
      <c r="M31" s="13" t="s">
        <v>222</v>
      </c>
      <c r="N31" s="8" t="str">
        <f>IF(D31="","",IF(OR(M31="P",M31="RP"),"--","NO"))</f>
        <v>--</v>
      </c>
      <c r="O31" s="798" t="str">
        <f>IF(D31="","","NO")</f>
        <v>NO</v>
      </c>
      <c r="P31" s="693">
        <f>200*IF(O31="SI",1,0.1)*IF(M31="P",0.1,1)</f>
        <v>2</v>
      </c>
      <c r="Q31" s="694">
        <f>IF(M31="P",H31*P31*ROUND(L31/60,2),"--")</f>
        <v>1869.978</v>
      </c>
      <c r="R31" s="695" t="str">
        <f>IF(AND(M31="F",N31="NO"),H31*P31,"--")</f>
        <v>--</v>
      </c>
      <c r="S31" s="696" t="str">
        <f>IF(M31="F",H31*P31*ROUND(L31/60,2),"--")</f>
        <v>--</v>
      </c>
      <c r="T31" s="415" t="str">
        <f>IF(M31="RF",H31*P31*ROUND(L31/60,2),"--")</f>
        <v>--</v>
      </c>
      <c r="U31" s="325" t="str">
        <f>IF(D31="","","SI")</f>
        <v>SI</v>
      </c>
      <c r="V31" s="326">
        <f>IF(D31="","",SUM(Q31:T31)*IF(U31="SI",1,2))</f>
        <v>1869.978</v>
      </c>
      <c r="W31" s="250"/>
    </row>
    <row r="32" spans="1:23" ht="16.5" customHeight="1">
      <c r="A32" s="5"/>
      <c r="B32" s="50"/>
      <c r="C32" s="910" t="s">
        <v>198</v>
      </c>
      <c r="D32" s="687"/>
      <c r="E32" s="688"/>
      <c r="F32" s="689"/>
      <c r="G32" s="690"/>
      <c r="H32" s="691">
        <f>F32*$F$21</f>
        <v>0</v>
      </c>
      <c r="I32" s="692"/>
      <c r="J32" s="692"/>
      <c r="K32" s="315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798">
        <f>IF(D32="","","NO")</f>
      </c>
      <c r="P32" s="693">
        <f>200*IF(O32="SI",1,0.1)*IF(M32="P",0.1,1)</f>
        <v>20</v>
      </c>
      <c r="Q32" s="694" t="str">
        <f>IF(M32="P",H32*P32*ROUND(L32/60,2),"--")</f>
        <v>--</v>
      </c>
      <c r="R32" s="695" t="str">
        <f>IF(AND(M32="F",N32="NO"),H32*P32,"--")</f>
        <v>--</v>
      </c>
      <c r="S32" s="696" t="str">
        <f>IF(M32="F",H32*P32*ROUND(L32/60,2),"--")</f>
        <v>--</v>
      </c>
      <c r="T32" s="415" t="str">
        <f>IF(M32="RF",H32*P32*ROUND(L32/60,2),"--")</f>
        <v>--</v>
      </c>
      <c r="U32" s="325">
        <f>IF(D32="","","SI")</f>
      </c>
      <c r="V32" s="326">
        <f>IF(D32="","",SUM(Q32:T32)*IF(U32="SI",1,2))</f>
      </c>
      <c r="W32" s="250"/>
    </row>
    <row r="33" spans="1:23" ht="16.5" customHeight="1" thickBot="1">
      <c r="A33" s="32"/>
      <c r="B33" s="50"/>
      <c r="C33" s="697"/>
      <c r="D33" s="698"/>
      <c r="E33" s="699"/>
      <c r="F33" s="700"/>
      <c r="G33" s="701"/>
      <c r="H33" s="702"/>
      <c r="I33" s="703"/>
      <c r="J33" s="704"/>
      <c r="K33" s="705"/>
      <c r="L33" s="706"/>
      <c r="M33" s="707"/>
      <c r="N33" s="9"/>
      <c r="O33" s="799"/>
      <c r="P33" s="708"/>
      <c r="Q33" s="709"/>
      <c r="R33" s="710"/>
      <c r="S33" s="711"/>
      <c r="T33" s="712"/>
      <c r="U33" s="713"/>
      <c r="V33" s="714"/>
      <c r="W33" s="250"/>
    </row>
    <row r="34" spans="1:23" ht="16.5" customHeight="1" thickBot="1" thickTop="1">
      <c r="A34" s="32"/>
      <c r="B34" s="50"/>
      <c r="C34" s="96"/>
      <c r="D34" s="228"/>
      <c r="E34" s="228"/>
      <c r="F34" s="452"/>
      <c r="G34" s="715"/>
      <c r="H34" s="716"/>
      <c r="I34" s="717"/>
      <c r="J34" s="718"/>
      <c r="K34" s="719"/>
      <c r="L34" s="720"/>
      <c r="M34" s="716"/>
      <c r="N34" s="721"/>
      <c r="O34" s="217"/>
      <c r="P34" s="722"/>
      <c r="Q34" s="723"/>
      <c r="R34" s="724"/>
      <c r="S34" s="724"/>
      <c r="T34" s="724"/>
      <c r="U34" s="218"/>
      <c r="V34" s="725">
        <f>SUM(V30:V33)</f>
        <v>1869.978</v>
      </c>
      <c r="W34" s="250"/>
    </row>
    <row r="35" spans="1:23" ht="16.5" customHeight="1" thickBot="1" thickTop="1">
      <c r="A35" s="32"/>
      <c r="B35" s="50"/>
      <c r="C35" s="96"/>
      <c r="D35" s="228"/>
      <c r="E35" s="228"/>
      <c r="F35" s="452"/>
      <c r="G35" s="715"/>
      <c r="H35" s="716"/>
      <c r="I35" s="717"/>
      <c r="L35" s="720"/>
      <c r="M35" s="716"/>
      <c r="N35" s="726"/>
      <c r="O35" s="727"/>
      <c r="P35" s="722"/>
      <c r="Q35" s="723"/>
      <c r="R35" s="724"/>
      <c r="S35" s="724"/>
      <c r="T35" s="724"/>
      <c r="U35" s="218"/>
      <c r="V35" s="218"/>
      <c r="W35" s="250"/>
    </row>
    <row r="36" spans="2:23" s="5" customFormat="1" ht="33.75" customHeight="1" thickBot="1" thickTop="1">
      <c r="B36" s="50"/>
      <c r="C36" s="84" t="s">
        <v>12</v>
      </c>
      <c r="D36" s="86" t="s">
        <v>25</v>
      </c>
      <c r="E36" s="1289" t="s">
        <v>26</v>
      </c>
      <c r="F36" s="1291"/>
      <c r="G36" s="131" t="s">
        <v>13</v>
      </c>
      <c r="H36" s="128" t="s">
        <v>15</v>
      </c>
      <c r="I36" s="85" t="s">
        <v>16</v>
      </c>
      <c r="J36" s="398" t="s">
        <v>17</v>
      </c>
      <c r="K36" s="400" t="s">
        <v>34</v>
      </c>
      <c r="L36" s="400" t="s">
        <v>29</v>
      </c>
      <c r="M36" s="87" t="s">
        <v>18</v>
      </c>
      <c r="N36" s="1289" t="s">
        <v>30</v>
      </c>
      <c r="O36" s="1290"/>
      <c r="P36" s="134" t="s">
        <v>35</v>
      </c>
      <c r="Q36" s="401" t="s">
        <v>67</v>
      </c>
      <c r="R36" s="205" t="s">
        <v>33</v>
      </c>
      <c r="S36" s="402"/>
      <c r="T36" s="133" t="s">
        <v>21</v>
      </c>
      <c r="U36" s="131" t="s">
        <v>70</v>
      </c>
      <c r="V36" s="120" t="s">
        <v>22</v>
      </c>
      <c r="W36" s="6"/>
    </row>
    <row r="37" spans="2:23" s="5" customFormat="1" ht="16.5" customHeight="1" thickTop="1">
      <c r="B37" s="50"/>
      <c r="C37" s="7"/>
      <c r="D37" s="410"/>
      <c r="E37" s="1292"/>
      <c r="F37" s="1293"/>
      <c r="G37" s="410"/>
      <c r="H37" s="411"/>
      <c r="I37" s="410"/>
      <c r="J37" s="410"/>
      <c r="K37" s="410"/>
      <c r="L37" s="410"/>
      <c r="M37" s="410"/>
      <c r="N37" s="410"/>
      <c r="O37" s="800"/>
      <c r="P37" s="412"/>
      <c r="Q37" s="413"/>
      <c r="R37" s="215"/>
      <c r="S37" s="414"/>
      <c r="T37" s="415"/>
      <c r="U37" s="410"/>
      <c r="V37" s="416"/>
      <c r="W37" s="6"/>
    </row>
    <row r="38" spans="2:23" s="5" customFormat="1" ht="16.5" customHeight="1">
      <c r="B38" s="50"/>
      <c r="C38" s="910" t="s">
        <v>197</v>
      </c>
      <c r="D38" s="410" t="s">
        <v>329</v>
      </c>
      <c r="E38" s="1292" t="s">
        <v>330</v>
      </c>
      <c r="F38" s="1293"/>
      <c r="G38" s="801">
        <v>132</v>
      </c>
      <c r="H38" s="129">
        <f>IF(G38=500,$M$19,IF(G38=220,$M$20,$M$21))</f>
        <v>51.126</v>
      </c>
      <c r="I38" s="802">
        <v>39696.83888888889</v>
      </c>
      <c r="J38" s="803">
        <v>39696.864583333336</v>
      </c>
      <c r="K38" s="420">
        <f>IF(D38="","",(J38-I38)*24)</f>
        <v>0.6166666667559184</v>
      </c>
      <c r="L38" s="421">
        <f>IF(D38="","",ROUND((J38-I38)*24*60,0))</f>
        <v>37</v>
      </c>
      <c r="M38" s="667" t="s">
        <v>252</v>
      </c>
      <c r="N38" s="510" t="s">
        <v>219</v>
      </c>
      <c r="O38" s="481"/>
      <c r="P38" s="804">
        <f>IF(G38=500,$N$19,IF(G38=220,$N$20,$N$21))</f>
        <v>40</v>
      </c>
      <c r="Q38" s="805" t="str">
        <f>IF(M38="P",H38*P38*ROUND(L38/60,2)*0.1,"--")</f>
        <v>--</v>
      </c>
      <c r="R38" s="215" t="str">
        <f>IF(AND(M38="F",N38="NO"),H38*P38,"--")</f>
        <v>--</v>
      </c>
      <c r="S38" s="414">
        <f>IF(M38="F",H38*P38*ROUND(L38/60,2),"--")</f>
        <v>1267.9248</v>
      </c>
      <c r="T38" s="415" t="str">
        <f>IF(M38="RF",H38*P38*ROUND(L38/60,2),"--")</f>
        <v>--</v>
      </c>
      <c r="U38" s="806" t="str">
        <f>IF(D38="","","SI")</f>
        <v>SI</v>
      </c>
      <c r="V38" s="426">
        <f>IF(D38="","",SUM(Q38:T38)*IF(U38="SI",1,2))</f>
        <v>1267.9248</v>
      </c>
      <c r="W38" s="6"/>
    </row>
    <row r="39" spans="2:23" s="5" customFormat="1" ht="16.5" customHeight="1">
      <c r="B39" s="50"/>
      <c r="C39" s="910" t="s">
        <v>198</v>
      </c>
      <c r="D39" s="410" t="s">
        <v>331</v>
      </c>
      <c r="E39" s="1292" t="s">
        <v>332</v>
      </c>
      <c r="F39" s="1293"/>
      <c r="G39" s="801">
        <v>132</v>
      </c>
      <c r="H39" s="129">
        <f aca="true" t="shared" si="0" ref="H39:H55">IF(G39=500,$M$19,IF(G39=220,$M$20,$M$21))</f>
        <v>51.126</v>
      </c>
      <c r="I39" s="802">
        <v>39698.34444444445</v>
      </c>
      <c r="J39" s="803">
        <v>39698.49097222222</v>
      </c>
      <c r="K39" s="420">
        <f aca="true" t="shared" si="1" ref="K39:K55">IF(D39="","",(J39-I39)*24)</f>
        <v>3.5166666666045785</v>
      </c>
      <c r="L39" s="421">
        <f aca="true" t="shared" si="2" ref="L39:L55">IF(D39="","",ROUND((J39-I39)*24*60,0))</f>
        <v>211</v>
      </c>
      <c r="M39" s="667" t="s">
        <v>222</v>
      </c>
      <c r="N39" s="510" t="str">
        <f aca="true" t="shared" si="3" ref="N39:N55">IF(D39="","",IF(OR(M39="P",M39="RP"),"--","NO"))</f>
        <v>--</v>
      </c>
      <c r="O39" s="481"/>
      <c r="P39" s="804">
        <f aca="true" t="shared" si="4" ref="P39:P55">IF(G39=500,$N$19,IF(G39=220,$N$20,$N$21))</f>
        <v>40</v>
      </c>
      <c r="Q39" s="805">
        <f aca="true" t="shared" si="5" ref="Q39:Q55">IF(M39="P",H39*P39*ROUND(L39/60,2)*0.1,"--")</f>
        <v>719.8540800000001</v>
      </c>
      <c r="R39" s="215" t="str">
        <f aca="true" t="shared" si="6" ref="R39:R55">IF(AND(M39="F",N39="NO"),H39*P39,"--")</f>
        <v>--</v>
      </c>
      <c r="S39" s="414" t="str">
        <f aca="true" t="shared" si="7" ref="S39:S55">IF(M39="F",H39*P39*ROUND(L39/60,2),"--")</f>
        <v>--</v>
      </c>
      <c r="T39" s="415" t="str">
        <f aca="true" t="shared" si="8" ref="T39:T55">IF(M39="RF",H39*P39*ROUND(L39/60,2),"--")</f>
        <v>--</v>
      </c>
      <c r="U39" s="806" t="str">
        <f aca="true" t="shared" si="9" ref="U39:U55">IF(D39="","","SI")</f>
        <v>SI</v>
      </c>
      <c r="V39" s="426">
        <f aca="true" t="shared" si="10" ref="V39:V55">IF(D39="","",SUM(Q39:T39)*IF(U39="SI",1,2))</f>
        <v>719.8540800000001</v>
      </c>
      <c r="W39" s="6"/>
    </row>
    <row r="40" spans="2:23" s="5" customFormat="1" ht="16.5" customHeight="1">
      <c r="B40" s="50"/>
      <c r="C40" s="910" t="s">
        <v>199</v>
      </c>
      <c r="D40" s="410" t="s">
        <v>329</v>
      </c>
      <c r="E40" s="1292" t="s">
        <v>333</v>
      </c>
      <c r="F40" s="1293"/>
      <c r="G40" s="801">
        <v>500</v>
      </c>
      <c r="H40" s="129">
        <f t="shared" si="0"/>
        <v>63.904</v>
      </c>
      <c r="I40" s="802">
        <v>39699.425</v>
      </c>
      <c r="J40" s="803">
        <v>39699.83194444444</v>
      </c>
      <c r="K40" s="420">
        <f t="shared" si="1"/>
        <v>9.76666666654637</v>
      </c>
      <c r="L40" s="421">
        <f t="shared" si="2"/>
        <v>586</v>
      </c>
      <c r="M40" s="667" t="s">
        <v>222</v>
      </c>
      <c r="N40" s="510" t="str">
        <f t="shared" si="3"/>
        <v>--</v>
      </c>
      <c r="O40" s="481"/>
      <c r="P40" s="804">
        <f t="shared" si="4"/>
        <v>200</v>
      </c>
      <c r="Q40" s="805">
        <f t="shared" si="5"/>
        <v>12486.841600000002</v>
      </c>
      <c r="R40" s="215" t="str">
        <f t="shared" si="6"/>
        <v>--</v>
      </c>
      <c r="S40" s="414" t="str">
        <f t="shared" si="7"/>
        <v>--</v>
      </c>
      <c r="T40" s="415" t="str">
        <f t="shared" si="8"/>
        <v>--</v>
      </c>
      <c r="U40" s="806" t="str">
        <f t="shared" si="9"/>
        <v>SI</v>
      </c>
      <c r="V40" s="426">
        <f t="shared" si="10"/>
        <v>12486.841600000002</v>
      </c>
      <c r="W40" s="6"/>
    </row>
    <row r="41" spans="2:23" s="5" customFormat="1" ht="16.5" customHeight="1">
      <c r="B41" s="50"/>
      <c r="C41" s="910" t="s">
        <v>200</v>
      </c>
      <c r="D41" s="410" t="s">
        <v>329</v>
      </c>
      <c r="E41" s="1292" t="s">
        <v>333</v>
      </c>
      <c r="F41" s="1293"/>
      <c r="G41" s="801">
        <v>500</v>
      </c>
      <c r="H41" s="129">
        <f t="shared" si="0"/>
        <v>63.904</v>
      </c>
      <c r="I41" s="802">
        <v>39700.35</v>
      </c>
      <c r="J41" s="803">
        <v>39700.77361111111</v>
      </c>
      <c r="K41" s="420">
        <f t="shared" si="1"/>
        <v>10.166666666627862</v>
      </c>
      <c r="L41" s="421">
        <f t="shared" si="2"/>
        <v>610</v>
      </c>
      <c r="M41" s="667" t="s">
        <v>222</v>
      </c>
      <c r="N41" s="510" t="str">
        <f t="shared" si="3"/>
        <v>--</v>
      </c>
      <c r="O41" s="481"/>
      <c r="P41" s="804">
        <f t="shared" si="4"/>
        <v>200</v>
      </c>
      <c r="Q41" s="805">
        <f t="shared" si="5"/>
        <v>12998.073600000002</v>
      </c>
      <c r="R41" s="215" t="str">
        <f t="shared" si="6"/>
        <v>--</v>
      </c>
      <c r="S41" s="414" t="str">
        <f t="shared" si="7"/>
        <v>--</v>
      </c>
      <c r="T41" s="415" t="str">
        <f t="shared" si="8"/>
        <v>--</v>
      </c>
      <c r="U41" s="806" t="str">
        <f t="shared" si="9"/>
        <v>SI</v>
      </c>
      <c r="V41" s="426">
        <f t="shared" si="10"/>
        <v>12998.073600000002</v>
      </c>
      <c r="W41" s="6"/>
    </row>
    <row r="42" spans="2:23" s="5" customFormat="1" ht="16.5" customHeight="1">
      <c r="B42" s="50"/>
      <c r="C42" s="910" t="s">
        <v>201</v>
      </c>
      <c r="D42" s="410" t="s">
        <v>329</v>
      </c>
      <c r="E42" s="1292" t="s">
        <v>333</v>
      </c>
      <c r="F42" s="1293"/>
      <c r="G42" s="801">
        <v>500</v>
      </c>
      <c r="H42" s="129">
        <f t="shared" si="0"/>
        <v>63.904</v>
      </c>
      <c r="I42" s="802">
        <v>39701.342361111114</v>
      </c>
      <c r="J42" s="803">
        <v>39701.756944444445</v>
      </c>
      <c r="K42" s="420">
        <f t="shared" si="1"/>
        <v>9.949999999953434</v>
      </c>
      <c r="L42" s="421">
        <f t="shared" si="2"/>
        <v>597</v>
      </c>
      <c r="M42" s="667" t="s">
        <v>222</v>
      </c>
      <c r="N42" s="510" t="str">
        <f t="shared" si="3"/>
        <v>--</v>
      </c>
      <c r="O42" s="481"/>
      <c r="P42" s="804">
        <f t="shared" si="4"/>
        <v>200</v>
      </c>
      <c r="Q42" s="805">
        <f t="shared" si="5"/>
        <v>12716.896</v>
      </c>
      <c r="R42" s="215" t="str">
        <f t="shared" si="6"/>
        <v>--</v>
      </c>
      <c r="S42" s="414" t="str">
        <f t="shared" si="7"/>
        <v>--</v>
      </c>
      <c r="T42" s="415" t="str">
        <f t="shared" si="8"/>
        <v>--</v>
      </c>
      <c r="U42" s="806" t="str">
        <f t="shared" si="9"/>
        <v>SI</v>
      </c>
      <c r="V42" s="426">
        <f t="shared" si="10"/>
        <v>12716.896</v>
      </c>
      <c r="W42" s="6"/>
    </row>
    <row r="43" spans="2:23" s="5" customFormat="1" ht="16.5" customHeight="1">
      <c r="B43" s="50"/>
      <c r="C43" s="910" t="s">
        <v>202</v>
      </c>
      <c r="D43" s="410" t="s">
        <v>329</v>
      </c>
      <c r="E43" s="1292" t="s">
        <v>333</v>
      </c>
      <c r="F43" s="1293"/>
      <c r="G43" s="801">
        <v>500</v>
      </c>
      <c r="H43" s="129">
        <f t="shared" si="0"/>
        <v>63.904</v>
      </c>
      <c r="I43" s="802">
        <v>39706.33611111111</v>
      </c>
      <c r="J43" s="803">
        <v>39706.759722222225</v>
      </c>
      <c r="K43" s="420">
        <f t="shared" si="1"/>
        <v>10.166666666802485</v>
      </c>
      <c r="L43" s="421">
        <f t="shared" si="2"/>
        <v>610</v>
      </c>
      <c r="M43" s="667" t="s">
        <v>222</v>
      </c>
      <c r="N43" s="510" t="str">
        <f t="shared" si="3"/>
        <v>--</v>
      </c>
      <c r="O43" s="481"/>
      <c r="P43" s="804">
        <f t="shared" si="4"/>
        <v>200</v>
      </c>
      <c r="Q43" s="805">
        <f t="shared" si="5"/>
        <v>12998.073600000002</v>
      </c>
      <c r="R43" s="215" t="str">
        <f t="shared" si="6"/>
        <v>--</v>
      </c>
      <c r="S43" s="414" t="str">
        <f t="shared" si="7"/>
        <v>--</v>
      </c>
      <c r="T43" s="415" t="str">
        <f t="shared" si="8"/>
        <v>--</v>
      </c>
      <c r="U43" s="806" t="str">
        <f t="shared" si="9"/>
        <v>SI</v>
      </c>
      <c r="V43" s="426">
        <f t="shared" si="10"/>
        <v>12998.073600000002</v>
      </c>
      <c r="W43" s="6"/>
    </row>
    <row r="44" spans="2:23" s="5" customFormat="1" ht="16.5" customHeight="1">
      <c r="B44" s="50"/>
      <c r="C44" s="910" t="s">
        <v>203</v>
      </c>
      <c r="D44" s="410" t="s">
        <v>329</v>
      </c>
      <c r="E44" s="1292" t="s">
        <v>333</v>
      </c>
      <c r="F44" s="1293"/>
      <c r="G44" s="801">
        <v>500</v>
      </c>
      <c r="H44" s="129">
        <f t="shared" si="0"/>
        <v>63.904</v>
      </c>
      <c r="I44" s="802">
        <v>39707.3375</v>
      </c>
      <c r="J44" s="803">
        <v>39707.75347222222</v>
      </c>
      <c r="K44" s="420">
        <f t="shared" si="1"/>
        <v>9.983333333220799</v>
      </c>
      <c r="L44" s="421">
        <f t="shared" si="2"/>
        <v>599</v>
      </c>
      <c r="M44" s="667" t="s">
        <v>222</v>
      </c>
      <c r="N44" s="510" t="str">
        <f t="shared" si="3"/>
        <v>--</v>
      </c>
      <c r="O44" s="481"/>
      <c r="P44" s="804">
        <f t="shared" si="4"/>
        <v>200</v>
      </c>
      <c r="Q44" s="805">
        <f t="shared" si="5"/>
        <v>12755.238400000002</v>
      </c>
      <c r="R44" s="215" t="str">
        <f t="shared" si="6"/>
        <v>--</v>
      </c>
      <c r="S44" s="414" t="str">
        <f t="shared" si="7"/>
        <v>--</v>
      </c>
      <c r="T44" s="415" t="str">
        <f t="shared" si="8"/>
        <v>--</v>
      </c>
      <c r="U44" s="806" t="str">
        <f t="shared" si="9"/>
        <v>SI</v>
      </c>
      <c r="V44" s="426">
        <f t="shared" si="10"/>
        <v>12755.238400000002</v>
      </c>
      <c r="W44" s="6"/>
    </row>
    <row r="45" spans="2:23" s="5" customFormat="1" ht="16.5" customHeight="1">
      <c r="B45" s="50"/>
      <c r="C45" s="910" t="s">
        <v>204</v>
      </c>
      <c r="D45" s="410" t="s">
        <v>329</v>
      </c>
      <c r="E45" s="1292" t="s">
        <v>330</v>
      </c>
      <c r="F45" s="1293"/>
      <c r="G45" s="801">
        <v>132</v>
      </c>
      <c r="H45" s="129">
        <f t="shared" si="0"/>
        <v>51.126</v>
      </c>
      <c r="I45" s="802">
        <v>39707.373611111114</v>
      </c>
      <c r="J45" s="803">
        <v>39707.55347222222</v>
      </c>
      <c r="K45" s="420">
        <f t="shared" si="1"/>
        <v>4.316666666592937</v>
      </c>
      <c r="L45" s="421">
        <f t="shared" si="2"/>
        <v>259</v>
      </c>
      <c r="M45" s="667" t="s">
        <v>222</v>
      </c>
      <c r="N45" s="510" t="str">
        <f t="shared" si="3"/>
        <v>--</v>
      </c>
      <c r="O45" s="481"/>
      <c r="P45" s="804">
        <f t="shared" si="4"/>
        <v>40</v>
      </c>
      <c r="Q45" s="805">
        <f t="shared" si="5"/>
        <v>883.4572800000001</v>
      </c>
      <c r="R45" s="215" t="str">
        <f t="shared" si="6"/>
        <v>--</v>
      </c>
      <c r="S45" s="414" t="str">
        <f t="shared" si="7"/>
        <v>--</v>
      </c>
      <c r="T45" s="415" t="str">
        <f t="shared" si="8"/>
        <v>--</v>
      </c>
      <c r="U45" s="806" t="str">
        <f t="shared" si="9"/>
        <v>SI</v>
      </c>
      <c r="V45" s="426">
        <f t="shared" si="10"/>
        <v>883.4572800000001</v>
      </c>
      <c r="W45" s="6"/>
    </row>
    <row r="46" spans="2:23" s="5" customFormat="1" ht="16.5" customHeight="1">
      <c r="B46" s="50"/>
      <c r="C46" s="910" t="s">
        <v>205</v>
      </c>
      <c r="D46" s="410" t="s">
        <v>329</v>
      </c>
      <c r="E46" s="1292" t="s">
        <v>333</v>
      </c>
      <c r="F46" s="1293"/>
      <c r="G46" s="801">
        <v>500</v>
      </c>
      <c r="H46" s="129">
        <f t="shared" si="0"/>
        <v>63.904</v>
      </c>
      <c r="I46" s="802">
        <v>39708.3375</v>
      </c>
      <c r="J46" s="803">
        <v>39708.7375</v>
      </c>
      <c r="K46" s="420">
        <f t="shared" si="1"/>
        <v>9.600000000034925</v>
      </c>
      <c r="L46" s="421">
        <f t="shared" si="2"/>
        <v>576</v>
      </c>
      <c r="M46" s="667" t="s">
        <v>222</v>
      </c>
      <c r="N46" s="510" t="str">
        <f t="shared" si="3"/>
        <v>--</v>
      </c>
      <c r="O46" s="481"/>
      <c r="P46" s="804">
        <f t="shared" si="4"/>
        <v>200</v>
      </c>
      <c r="Q46" s="805">
        <f t="shared" si="5"/>
        <v>12269.568000000001</v>
      </c>
      <c r="R46" s="215" t="str">
        <f t="shared" si="6"/>
        <v>--</v>
      </c>
      <c r="S46" s="414" t="str">
        <f t="shared" si="7"/>
        <v>--</v>
      </c>
      <c r="T46" s="415" t="str">
        <f t="shared" si="8"/>
        <v>--</v>
      </c>
      <c r="U46" s="806" t="str">
        <f t="shared" si="9"/>
        <v>SI</v>
      </c>
      <c r="V46" s="426">
        <f t="shared" si="10"/>
        <v>12269.568000000001</v>
      </c>
      <c r="W46" s="6"/>
    </row>
    <row r="47" spans="2:23" s="5" customFormat="1" ht="16.5" customHeight="1">
      <c r="B47" s="50"/>
      <c r="C47" s="910" t="s">
        <v>206</v>
      </c>
      <c r="D47" s="410" t="s">
        <v>329</v>
      </c>
      <c r="E47" s="1292" t="s">
        <v>333</v>
      </c>
      <c r="F47" s="1293"/>
      <c r="G47" s="801">
        <v>500</v>
      </c>
      <c r="H47" s="129">
        <f t="shared" si="0"/>
        <v>63.904</v>
      </c>
      <c r="I47" s="802">
        <v>39709.34305555555</v>
      </c>
      <c r="J47" s="803">
        <v>39709.777083333334</v>
      </c>
      <c r="K47" s="420">
        <f t="shared" si="1"/>
        <v>10.416666666744277</v>
      </c>
      <c r="L47" s="421">
        <f t="shared" si="2"/>
        <v>625</v>
      </c>
      <c r="M47" s="667" t="s">
        <v>222</v>
      </c>
      <c r="N47" s="510" t="str">
        <f t="shared" si="3"/>
        <v>--</v>
      </c>
      <c r="O47" s="481"/>
      <c r="P47" s="804">
        <f t="shared" si="4"/>
        <v>200</v>
      </c>
      <c r="Q47" s="805">
        <f t="shared" si="5"/>
        <v>13317.593600000002</v>
      </c>
      <c r="R47" s="215" t="str">
        <f t="shared" si="6"/>
        <v>--</v>
      </c>
      <c r="S47" s="414" t="str">
        <f t="shared" si="7"/>
        <v>--</v>
      </c>
      <c r="T47" s="415" t="str">
        <f t="shared" si="8"/>
        <v>--</v>
      </c>
      <c r="U47" s="806" t="str">
        <f t="shared" si="9"/>
        <v>SI</v>
      </c>
      <c r="V47" s="426">
        <f t="shared" si="10"/>
        <v>13317.593600000002</v>
      </c>
      <c r="W47" s="6"/>
    </row>
    <row r="48" spans="2:23" s="5" customFormat="1" ht="16.5" customHeight="1">
      <c r="B48" s="50"/>
      <c r="C48" s="910" t="s">
        <v>207</v>
      </c>
      <c r="D48" s="410" t="s">
        <v>329</v>
      </c>
      <c r="E48" s="1292" t="s">
        <v>333</v>
      </c>
      <c r="F48" s="1293"/>
      <c r="G48" s="801">
        <v>500</v>
      </c>
      <c r="H48" s="129">
        <f t="shared" si="0"/>
        <v>63.904</v>
      </c>
      <c r="I48" s="802">
        <v>39710.375</v>
      </c>
      <c r="J48" s="803">
        <v>39710.78055555555</v>
      </c>
      <c r="K48" s="420">
        <f t="shared" si="1"/>
        <v>9.733333333279006</v>
      </c>
      <c r="L48" s="421">
        <f t="shared" si="2"/>
        <v>584</v>
      </c>
      <c r="M48" s="667" t="s">
        <v>222</v>
      </c>
      <c r="N48" s="510" t="str">
        <f t="shared" si="3"/>
        <v>--</v>
      </c>
      <c r="O48" s="481"/>
      <c r="P48" s="804">
        <f t="shared" si="4"/>
        <v>200</v>
      </c>
      <c r="Q48" s="805">
        <f t="shared" si="5"/>
        <v>12435.718400000003</v>
      </c>
      <c r="R48" s="215" t="str">
        <f t="shared" si="6"/>
        <v>--</v>
      </c>
      <c r="S48" s="414" t="str">
        <f t="shared" si="7"/>
        <v>--</v>
      </c>
      <c r="T48" s="415" t="str">
        <f t="shared" si="8"/>
        <v>--</v>
      </c>
      <c r="U48" s="806" t="str">
        <f t="shared" si="9"/>
        <v>SI</v>
      </c>
      <c r="V48" s="426">
        <f t="shared" si="10"/>
        <v>12435.718400000003</v>
      </c>
      <c r="W48" s="6"/>
    </row>
    <row r="49" spans="2:23" s="5" customFormat="1" ht="16.5" customHeight="1">
      <c r="B49" s="50"/>
      <c r="C49" s="910" t="s">
        <v>208</v>
      </c>
      <c r="D49" s="410" t="s">
        <v>329</v>
      </c>
      <c r="E49" s="1292" t="s">
        <v>333</v>
      </c>
      <c r="F49" s="1293"/>
      <c r="G49" s="801">
        <v>500</v>
      </c>
      <c r="H49" s="129">
        <f t="shared" si="0"/>
        <v>63.904</v>
      </c>
      <c r="I49" s="802">
        <v>39720.34583333333</v>
      </c>
      <c r="J49" s="803">
        <v>39720.74375</v>
      </c>
      <c r="K49" s="420">
        <f t="shared" si="1"/>
        <v>9.550000000046566</v>
      </c>
      <c r="L49" s="421">
        <f t="shared" si="2"/>
        <v>573</v>
      </c>
      <c r="M49" s="667" t="s">
        <v>222</v>
      </c>
      <c r="N49" s="510" t="str">
        <f t="shared" si="3"/>
        <v>--</v>
      </c>
      <c r="O49" s="481"/>
      <c r="P49" s="804">
        <f t="shared" si="4"/>
        <v>200</v>
      </c>
      <c r="Q49" s="805">
        <f t="shared" si="5"/>
        <v>12205.664000000002</v>
      </c>
      <c r="R49" s="215" t="str">
        <f t="shared" si="6"/>
        <v>--</v>
      </c>
      <c r="S49" s="414" t="str">
        <f t="shared" si="7"/>
        <v>--</v>
      </c>
      <c r="T49" s="415" t="str">
        <f t="shared" si="8"/>
        <v>--</v>
      </c>
      <c r="U49" s="806" t="str">
        <f t="shared" si="9"/>
        <v>SI</v>
      </c>
      <c r="V49" s="426">
        <f t="shared" si="10"/>
        <v>12205.664000000002</v>
      </c>
      <c r="W49" s="6"/>
    </row>
    <row r="50" spans="2:23" s="5" customFormat="1" ht="16.5" customHeight="1">
      <c r="B50" s="50"/>
      <c r="C50" s="910" t="s">
        <v>209</v>
      </c>
      <c r="D50" s="410" t="s">
        <v>329</v>
      </c>
      <c r="E50" s="1292" t="s">
        <v>334</v>
      </c>
      <c r="F50" s="1293"/>
      <c r="G50" s="801">
        <v>132</v>
      </c>
      <c r="H50" s="129">
        <f t="shared" si="0"/>
        <v>51.126</v>
      </c>
      <c r="I50" s="802">
        <v>39720.424305555556</v>
      </c>
      <c r="J50" s="803">
        <v>39720.635416666664</v>
      </c>
      <c r="K50" s="420">
        <f t="shared" si="1"/>
        <v>5.066666666592937</v>
      </c>
      <c r="L50" s="421">
        <f t="shared" si="2"/>
        <v>304</v>
      </c>
      <c r="M50" s="667" t="s">
        <v>222</v>
      </c>
      <c r="N50" s="510" t="str">
        <f t="shared" si="3"/>
        <v>--</v>
      </c>
      <c r="O50" s="481"/>
      <c r="P50" s="804">
        <f t="shared" si="4"/>
        <v>40</v>
      </c>
      <c r="Q50" s="805">
        <f t="shared" si="5"/>
        <v>1036.83528</v>
      </c>
      <c r="R50" s="215" t="str">
        <f t="shared" si="6"/>
        <v>--</v>
      </c>
      <c r="S50" s="414" t="str">
        <f t="shared" si="7"/>
        <v>--</v>
      </c>
      <c r="T50" s="415" t="str">
        <f t="shared" si="8"/>
        <v>--</v>
      </c>
      <c r="U50" s="806" t="str">
        <f t="shared" si="9"/>
        <v>SI</v>
      </c>
      <c r="V50" s="426">
        <f t="shared" si="10"/>
        <v>1036.83528</v>
      </c>
      <c r="W50" s="6"/>
    </row>
    <row r="51" spans="2:23" s="5" customFormat="1" ht="16.5" customHeight="1">
      <c r="B51" s="50"/>
      <c r="C51" s="910" t="s">
        <v>210</v>
      </c>
      <c r="D51" s="410" t="s">
        <v>335</v>
      </c>
      <c r="E51" s="1292" t="s">
        <v>336</v>
      </c>
      <c r="F51" s="1293"/>
      <c r="G51" s="801">
        <v>132</v>
      </c>
      <c r="H51" s="129">
        <f t="shared" si="0"/>
        <v>51.126</v>
      </c>
      <c r="I51" s="802">
        <v>39721.31875</v>
      </c>
      <c r="J51" s="803">
        <v>39721.333333333336</v>
      </c>
      <c r="K51" s="420">
        <f t="shared" si="1"/>
        <v>0.35000000009313226</v>
      </c>
      <c r="L51" s="421">
        <f t="shared" si="2"/>
        <v>21</v>
      </c>
      <c r="M51" s="667" t="s">
        <v>222</v>
      </c>
      <c r="N51" s="510" t="str">
        <f t="shared" si="3"/>
        <v>--</v>
      </c>
      <c r="O51" s="481"/>
      <c r="P51" s="804">
        <f t="shared" si="4"/>
        <v>40</v>
      </c>
      <c r="Q51" s="805">
        <f t="shared" si="5"/>
        <v>71.57639999999999</v>
      </c>
      <c r="R51" s="215" t="str">
        <f t="shared" si="6"/>
        <v>--</v>
      </c>
      <c r="S51" s="414" t="str">
        <f t="shared" si="7"/>
        <v>--</v>
      </c>
      <c r="T51" s="415" t="str">
        <f t="shared" si="8"/>
        <v>--</v>
      </c>
      <c r="U51" s="806" t="str">
        <f t="shared" si="9"/>
        <v>SI</v>
      </c>
      <c r="V51" s="426">
        <f t="shared" si="10"/>
        <v>71.57639999999999</v>
      </c>
      <c r="W51" s="6"/>
    </row>
    <row r="52" spans="2:23" s="5" customFormat="1" ht="16.5" customHeight="1">
      <c r="B52" s="50"/>
      <c r="C52" s="910" t="s">
        <v>211</v>
      </c>
      <c r="D52" s="410" t="s">
        <v>329</v>
      </c>
      <c r="E52" s="1292" t="s">
        <v>333</v>
      </c>
      <c r="F52" s="1293"/>
      <c r="G52" s="801">
        <v>500</v>
      </c>
      <c r="H52" s="129">
        <f t="shared" si="0"/>
        <v>63.904</v>
      </c>
      <c r="I52" s="802">
        <v>39721.345138888886</v>
      </c>
      <c r="J52" s="803">
        <v>39721.73611111111</v>
      </c>
      <c r="K52" s="420">
        <f t="shared" si="1"/>
        <v>9.383333333360497</v>
      </c>
      <c r="L52" s="421">
        <f t="shared" si="2"/>
        <v>563</v>
      </c>
      <c r="M52" s="667" t="s">
        <v>222</v>
      </c>
      <c r="N52" s="510" t="str">
        <f t="shared" si="3"/>
        <v>--</v>
      </c>
      <c r="O52" s="481"/>
      <c r="P52" s="804">
        <f t="shared" si="4"/>
        <v>200</v>
      </c>
      <c r="Q52" s="805">
        <f t="shared" si="5"/>
        <v>11988.390400000004</v>
      </c>
      <c r="R52" s="215" t="str">
        <f t="shared" si="6"/>
        <v>--</v>
      </c>
      <c r="S52" s="414" t="str">
        <f t="shared" si="7"/>
        <v>--</v>
      </c>
      <c r="T52" s="415" t="str">
        <f t="shared" si="8"/>
        <v>--</v>
      </c>
      <c r="U52" s="806" t="str">
        <f t="shared" si="9"/>
        <v>SI</v>
      </c>
      <c r="V52" s="426">
        <f t="shared" si="10"/>
        <v>11988.390400000004</v>
      </c>
      <c r="W52" s="6"/>
    </row>
    <row r="53" spans="2:23" s="5" customFormat="1" ht="16.5" customHeight="1">
      <c r="B53" s="50"/>
      <c r="C53" s="910" t="s">
        <v>212</v>
      </c>
      <c r="D53" s="410" t="s">
        <v>329</v>
      </c>
      <c r="E53" s="1292" t="s">
        <v>334</v>
      </c>
      <c r="F53" s="1293"/>
      <c r="G53" s="801">
        <v>132</v>
      </c>
      <c r="H53" s="129">
        <f t="shared" si="0"/>
        <v>51.126</v>
      </c>
      <c r="I53" s="802">
        <v>39721.35138888889</v>
      </c>
      <c r="J53" s="803">
        <v>39721.63958333333</v>
      </c>
      <c r="K53" s="420">
        <f t="shared" si="1"/>
        <v>6.916666666511446</v>
      </c>
      <c r="L53" s="421">
        <f t="shared" si="2"/>
        <v>415</v>
      </c>
      <c r="M53" s="667" t="s">
        <v>222</v>
      </c>
      <c r="N53" s="510" t="str">
        <f t="shared" si="3"/>
        <v>--</v>
      </c>
      <c r="O53" s="481"/>
      <c r="P53" s="804">
        <f t="shared" si="4"/>
        <v>40</v>
      </c>
      <c r="Q53" s="805">
        <f t="shared" si="5"/>
        <v>1415.16768</v>
      </c>
      <c r="R53" s="215" t="str">
        <f t="shared" si="6"/>
        <v>--</v>
      </c>
      <c r="S53" s="414" t="str">
        <f t="shared" si="7"/>
        <v>--</v>
      </c>
      <c r="T53" s="415" t="str">
        <f t="shared" si="8"/>
        <v>--</v>
      </c>
      <c r="U53" s="806" t="str">
        <f t="shared" si="9"/>
        <v>SI</v>
      </c>
      <c r="V53" s="426">
        <f t="shared" si="10"/>
        <v>1415.16768</v>
      </c>
      <c r="W53" s="6"/>
    </row>
    <row r="54" spans="2:23" s="5" customFormat="1" ht="16.5" customHeight="1">
      <c r="B54" s="50"/>
      <c r="C54" s="910" t="s">
        <v>213</v>
      </c>
      <c r="D54" s="410"/>
      <c r="E54" s="1292"/>
      <c r="F54" s="1293"/>
      <c r="G54" s="801"/>
      <c r="H54" s="129">
        <f t="shared" si="0"/>
        <v>51.126</v>
      </c>
      <c r="I54" s="802"/>
      <c r="J54" s="803"/>
      <c r="K54" s="420">
        <f t="shared" si="1"/>
      </c>
      <c r="L54" s="421">
        <f t="shared" si="2"/>
      </c>
      <c r="M54" s="667"/>
      <c r="N54" s="510">
        <f t="shared" si="3"/>
      </c>
      <c r="O54" s="481"/>
      <c r="P54" s="804">
        <f t="shared" si="4"/>
        <v>40</v>
      </c>
      <c r="Q54" s="805" t="str">
        <f t="shared" si="5"/>
        <v>--</v>
      </c>
      <c r="R54" s="215" t="str">
        <f t="shared" si="6"/>
        <v>--</v>
      </c>
      <c r="S54" s="414" t="str">
        <f t="shared" si="7"/>
        <v>--</v>
      </c>
      <c r="T54" s="415" t="str">
        <f t="shared" si="8"/>
        <v>--</v>
      </c>
      <c r="U54" s="806">
        <f t="shared" si="9"/>
      </c>
      <c r="V54" s="426">
        <f t="shared" si="10"/>
      </c>
      <c r="W54" s="6"/>
    </row>
    <row r="55" spans="2:23" s="5" customFormat="1" ht="16.5" customHeight="1">
      <c r="B55" s="50"/>
      <c r="C55" s="910" t="s">
        <v>214</v>
      </c>
      <c r="D55" s="410"/>
      <c r="E55" s="1292"/>
      <c r="F55" s="1293"/>
      <c r="G55" s="801"/>
      <c r="H55" s="129">
        <f t="shared" si="0"/>
        <v>51.126</v>
      </c>
      <c r="I55" s="802"/>
      <c r="J55" s="803"/>
      <c r="K55" s="420">
        <f t="shared" si="1"/>
      </c>
      <c r="L55" s="421">
        <f t="shared" si="2"/>
      </c>
      <c r="M55" s="667"/>
      <c r="N55" s="510">
        <f t="shared" si="3"/>
      </c>
      <c r="O55" s="481"/>
      <c r="P55" s="804">
        <f t="shared" si="4"/>
        <v>40</v>
      </c>
      <c r="Q55" s="805" t="str">
        <f t="shared" si="5"/>
        <v>--</v>
      </c>
      <c r="R55" s="215" t="str">
        <f t="shared" si="6"/>
        <v>--</v>
      </c>
      <c r="S55" s="414" t="str">
        <f t="shared" si="7"/>
        <v>--</v>
      </c>
      <c r="T55" s="415" t="str">
        <f t="shared" si="8"/>
        <v>--</v>
      </c>
      <c r="U55" s="806">
        <f t="shared" si="9"/>
      </c>
      <c r="V55" s="426">
        <f t="shared" si="10"/>
      </c>
      <c r="W55" s="6"/>
    </row>
    <row r="56" spans="2:28" s="5" customFormat="1" ht="16.5" customHeight="1" thickBot="1">
      <c r="B56" s="50"/>
      <c r="C56" s="697"/>
      <c r="D56" s="807"/>
      <c r="E56" s="1287"/>
      <c r="F56" s="1288"/>
      <c r="G56" s="808"/>
      <c r="H56" s="809"/>
      <c r="I56" s="810"/>
      <c r="J56" s="811"/>
      <c r="K56" s="812"/>
      <c r="L56" s="813"/>
      <c r="M56" s="814"/>
      <c r="N56" s="815"/>
      <c r="O56" s="814"/>
      <c r="P56" s="816"/>
      <c r="Q56" s="817"/>
      <c r="R56" s="818"/>
      <c r="S56" s="819"/>
      <c r="T56" s="820"/>
      <c r="U56" s="821"/>
      <c r="V56" s="822"/>
      <c r="W56" s="6"/>
      <c r="X56"/>
      <c r="Y56"/>
      <c r="Z56"/>
      <c r="AA56"/>
      <c r="AB56"/>
    </row>
    <row r="57" spans="1:23" ht="17.25" thickBot="1" thickTop="1">
      <c r="A57" s="32"/>
      <c r="B57" s="656"/>
      <c r="C57" s="658"/>
      <c r="D57" s="728"/>
      <c r="E57" s="729"/>
      <c r="F57" s="730"/>
      <c r="G57" s="731"/>
      <c r="H57" s="731"/>
      <c r="I57" s="729"/>
      <c r="J57" s="511"/>
      <c r="K57" s="511"/>
      <c r="L57" s="729"/>
      <c r="M57" s="729"/>
      <c r="N57" s="729"/>
      <c r="O57" s="732"/>
      <c r="P57" s="729"/>
      <c r="Q57" s="729"/>
      <c r="R57" s="733"/>
      <c r="S57" s="734"/>
      <c r="T57" s="734"/>
      <c r="U57" s="735"/>
      <c r="V57" s="725">
        <f>SUM(V38:V56)</f>
        <v>131566.87312000003</v>
      </c>
      <c r="W57" s="736"/>
    </row>
    <row r="58" spans="1:23" ht="17.25" thickBot="1" thickTop="1">
      <c r="A58" s="32"/>
      <c r="B58" s="656"/>
      <c r="C58" s="658"/>
      <c r="D58" s="728"/>
      <c r="E58" s="729"/>
      <c r="F58" s="730"/>
      <c r="G58" s="731"/>
      <c r="H58" s="731"/>
      <c r="I58" s="666" t="s">
        <v>40</v>
      </c>
      <c r="J58" s="793">
        <f>+V57+V34</f>
        <v>133436.85112000004</v>
      </c>
      <c r="L58" s="729"/>
      <c r="M58" s="729"/>
      <c r="N58" s="729"/>
      <c r="O58" s="732"/>
      <c r="P58" s="729"/>
      <c r="Q58" s="729"/>
      <c r="R58" s="733"/>
      <c r="S58" s="734"/>
      <c r="T58" s="734"/>
      <c r="U58" s="735"/>
      <c r="W58" s="736"/>
    </row>
    <row r="59" spans="1:23" ht="13.5" customHeight="1" thickTop="1">
      <c r="A59" s="32"/>
      <c r="B59" s="656"/>
      <c r="C59" s="658"/>
      <c r="D59" s="728"/>
      <c r="E59" s="729"/>
      <c r="F59" s="730"/>
      <c r="G59" s="731"/>
      <c r="H59" s="731"/>
      <c r="I59" s="729"/>
      <c r="J59" s="511"/>
      <c r="K59" s="511"/>
      <c r="L59" s="729"/>
      <c r="M59" s="729"/>
      <c r="N59" s="729"/>
      <c r="O59" s="732"/>
      <c r="P59" s="729"/>
      <c r="Q59" s="729"/>
      <c r="R59" s="733"/>
      <c r="S59" s="734"/>
      <c r="T59" s="734"/>
      <c r="U59" s="735"/>
      <c r="W59" s="736"/>
    </row>
    <row r="60" spans="1:23" ht="16.5" customHeight="1">
      <c r="A60" s="32"/>
      <c r="B60" s="656"/>
      <c r="C60" s="737" t="s">
        <v>105</v>
      </c>
      <c r="D60" s="738" t="s">
        <v>127</v>
      </c>
      <c r="E60" s="729"/>
      <c r="F60" s="730"/>
      <c r="G60" s="731"/>
      <c r="H60" s="731"/>
      <c r="I60" s="729"/>
      <c r="J60" s="511"/>
      <c r="K60" s="511"/>
      <c r="L60" s="729"/>
      <c r="M60" s="729"/>
      <c r="N60" s="729"/>
      <c r="O60" s="732"/>
      <c r="P60" s="729"/>
      <c r="Q60" s="729"/>
      <c r="R60" s="733"/>
      <c r="S60" s="734"/>
      <c r="T60" s="734"/>
      <c r="U60" s="735"/>
      <c r="W60" s="736"/>
    </row>
    <row r="61" spans="1:23" ht="16.5" customHeight="1">
      <c r="A61" s="32"/>
      <c r="B61" s="656"/>
      <c r="C61" s="737"/>
      <c r="D61" s="728"/>
      <c r="E61" s="729"/>
      <c r="F61" s="730"/>
      <c r="G61" s="731"/>
      <c r="H61" s="731"/>
      <c r="I61" s="729"/>
      <c r="J61" s="511"/>
      <c r="K61" s="511"/>
      <c r="L61" s="729"/>
      <c r="M61" s="729"/>
      <c r="N61" s="729"/>
      <c r="O61" s="732"/>
      <c r="P61" s="729"/>
      <c r="Q61" s="729"/>
      <c r="R61" s="729"/>
      <c r="S61" s="733"/>
      <c r="T61" s="734"/>
      <c r="W61" s="736"/>
    </row>
    <row r="62" spans="2:23" s="32" customFormat="1" ht="16.5" customHeight="1">
      <c r="B62" s="656"/>
      <c r="C62" s="658"/>
      <c r="D62" s="739" t="s">
        <v>111</v>
      </c>
      <c r="E62" s="670" t="s">
        <v>112</v>
      </c>
      <c r="F62" s="670" t="s">
        <v>41</v>
      </c>
      <c r="G62" s="740" t="s">
        <v>128</v>
      </c>
      <c r="H62"/>
      <c r="I62" s="137"/>
      <c r="J62" s="749" t="s">
        <v>59</v>
      </c>
      <c r="K62" s="749"/>
      <c r="L62" s="670" t="s">
        <v>41</v>
      </c>
      <c r="M62" t="s">
        <v>116</v>
      </c>
      <c r="O62" s="740" t="s">
        <v>129</v>
      </c>
      <c r="P62"/>
      <c r="Q62" s="744"/>
      <c r="R62" s="744"/>
      <c r="S62" s="33"/>
      <c r="T62"/>
      <c r="U62"/>
      <c r="V62"/>
      <c r="W62" s="736"/>
    </row>
    <row r="63" spans="2:23" s="32" customFormat="1" ht="16.5" customHeight="1">
      <c r="B63" s="656"/>
      <c r="C63" s="658"/>
      <c r="D63" s="141" t="s">
        <v>117</v>
      </c>
      <c r="E63" s="141">
        <v>300</v>
      </c>
      <c r="F63" s="823">
        <v>500</v>
      </c>
      <c r="G63" s="1286">
        <f>+E63*$F$20*$F$21</f>
        <v>68904</v>
      </c>
      <c r="H63" s="1286"/>
      <c r="I63" s="1286"/>
      <c r="J63" s="824" t="s">
        <v>118</v>
      </c>
      <c r="K63" s="824"/>
      <c r="L63" s="141">
        <v>500</v>
      </c>
      <c r="M63" s="141">
        <v>2</v>
      </c>
      <c r="O63" s="1286">
        <f>+M63*$F$20*$M$19</f>
        <v>92021.76000000001</v>
      </c>
      <c r="P63" s="1286"/>
      <c r="Q63" s="1286"/>
      <c r="R63" s="1286"/>
      <c r="S63" s="1286"/>
      <c r="T63" s="1286"/>
      <c r="U63" s="1286"/>
      <c r="V63"/>
      <c r="W63" s="736"/>
    </row>
    <row r="64" spans="2:23" s="32" customFormat="1" ht="16.5" customHeight="1">
      <c r="B64" s="656"/>
      <c r="C64" s="658"/>
      <c r="D64" s="141" t="s">
        <v>119</v>
      </c>
      <c r="E64" s="140">
        <v>300</v>
      </c>
      <c r="F64" s="823">
        <v>500</v>
      </c>
      <c r="G64" s="1286">
        <f>+E64*$F$20*$F$21</f>
        <v>68904</v>
      </c>
      <c r="H64" s="1286"/>
      <c r="I64" s="1286"/>
      <c r="J64" s="824" t="s">
        <v>118</v>
      </c>
      <c r="K64" s="824"/>
      <c r="L64" s="141">
        <v>132</v>
      </c>
      <c r="M64" s="141">
        <v>9</v>
      </c>
      <c r="O64" s="1286">
        <f>+M64*$F$20*$M$21</f>
        <v>331296.48</v>
      </c>
      <c r="P64" s="1286"/>
      <c r="Q64" s="1286"/>
      <c r="R64" s="1286"/>
      <c r="S64" s="1286"/>
      <c r="T64" s="1286"/>
      <c r="U64" s="1286"/>
      <c r="V64"/>
      <c r="W64" s="736"/>
    </row>
    <row r="65" spans="2:23" s="32" customFormat="1" ht="16.5" customHeight="1">
      <c r="B65" s="656"/>
      <c r="C65" s="658"/>
      <c r="D65" s="139" t="s">
        <v>120</v>
      </c>
      <c r="E65" s="140">
        <v>300</v>
      </c>
      <c r="F65" s="823">
        <v>500</v>
      </c>
      <c r="G65" s="1286">
        <f>+E65*$F$20*$F$21</f>
        <v>68904</v>
      </c>
      <c r="H65" s="1286"/>
      <c r="I65" s="1286"/>
      <c r="J65" s="824" t="s">
        <v>121</v>
      </c>
      <c r="K65" s="824"/>
      <c r="L65" s="141">
        <v>132</v>
      </c>
      <c r="M65" s="141">
        <v>8</v>
      </c>
      <c r="O65" s="1286">
        <f>+M65*$F$20*$M$21</f>
        <v>294485.76</v>
      </c>
      <c r="P65" s="1286"/>
      <c r="Q65" s="1286"/>
      <c r="R65" s="1286"/>
      <c r="S65" s="1286"/>
      <c r="T65" s="1286"/>
      <c r="U65" s="1286"/>
      <c r="V65"/>
      <c r="W65" s="736"/>
    </row>
    <row r="66" spans="1:23" ht="16.5" customHeight="1">
      <c r="A66" s="32"/>
      <c r="B66" s="656"/>
      <c r="C66" s="658"/>
      <c r="D66" s="139" t="s">
        <v>122</v>
      </c>
      <c r="E66" s="140">
        <v>300</v>
      </c>
      <c r="F66" s="823">
        <v>500</v>
      </c>
      <c r="G66" s="1286">
        <f>+E66*$F$20*$F$21</f>
        <v>68904</v>
      </c>
      <c r="H66" s="1286"/>
      <c r="I66" s="1286"/>
      <c r="J66" s="824" t="s">
        <v>123</v>
      </c>
      <c r="K66" s="824"/>
      <c r="L66" s="141">
        <v>132</v>
      </c>
      <c r="M66" s="141">
        <v>5</v>
      </c>
      <c r="O66" s="1294">
        <f>+M66*$F$20*$M$21</f>
        <v>184053.6</v>
      </c>
      <c r="P66" s="1294"/>
      <c r="Q66" s="1294"/>
      <c r="R66" s="1294"/>
      <c r="S66" s="1294"/>
      <c r="T66" s="1294"/>
      <c r="U66" s="1294"/>
      <c r="W66" s="736"/>
    </row>
    <row r="67" spans="1:23" ht="16.5" customHeight="1">
      <c r="A67" s="32"/>
      <c r="B67" s="656"/>
      <c r="C67" s="658"/>
      <c r="D67" s="139" t="s">
        <v>240</v>
      </c>
      <c r="E67" s="140">
        <v>600</v>
      </c>
      <c r="F67" s="823">
        <v>500</v>
      </c>
      <c r="G67" s="1294">
        <f>+E67*$F$20*$F$21</f>
        <v>137808</v>
      </c>
      <c r="H67" s="1294"/>
      <c r="I67" s="1294"/>
      <c r="M67" s="141"/>
      <c r="O67" s="1286">
        <f>SUM(O63:P66)</f>
        <v>901857.6</v>
      </c>
      <c r="P67" s="1286"/>
      <c r="Q67" s="1286"/>
      <c r="R67" s="1286"/>
      <c r="S67" s="1286"/>
      <c r="T67" s="1286"/>
      <c r="U67" s="1286"/>
      <c r="W67" s="736"/>
    </row>
    <row r="68" spans="1:23" ht="16.5" customHeight="1">
      <c r="A68" s="32"/>
      <c r="B68" s="656"/>
      <c r="C68" s="658"/>
      <c r="D68" s="139"/>
      <c r="E68" s="140"/>
      <c r="F68" s="823"/>
      <c r="G68" s="1286">
        <f>SUM(G63:G67)</f>
        <v>413424</v>
      </c>
      <c r="H68" s="1286"/>
      <c r="I68" s="1286"/>
      <c r="M68" s="141"/>
      <c r="N68" s="137"/>
      <c r="O68" s="137"/>
      <c r="P68" s="777"/>
      <c r="Q68" s="777"/>
      <c r="R68" s="777"/>
      <c r="S68" s="777"/>
      <c r="W68" s="736"/>
    </row>
    <row r="69" spans="1:23" ht="16.5" customHeight="1">
      <c r="A69" s="32"/>
      <c r="B69" s="656"/>
      <c r="C69" s="658"/>
      <c r="D69" s="139"/>
      <c r="E69" s="140"/>
      <c r="F69" s="823"/>
      <c r="G69" s="1197"/>
      <c r="H69" s="1197"/>
      <c r="I69" s="1197"/>
      <c r="M69" s="141"/>
      <c r="N69" s="137"/>
      <c r="O69" s="137"/>
      <c r="P69" s="777"/>
      <c r="Q69" s="777"/>
      <c r="R69" s="777"/>
      <c r="S69" s="777"/>
      <c r="W69" s="736"/>
    </row>
    <row r="70" spans="1:23" ht="16.5" customHeight="1">
      <c r="A70" s="32"/>
      <c r="B70" s="656"/>
      <c r="C70" s="658"/>
      <c r="D70" s="1198" t="s">
        <v>400</v>
      </c>
      <c r="E70" s="1199" t="s">
        <v>401</v>
      </c>
      <c r="F70" s="1200">
        <v>5176</v>
      </c>
      <c r="G70" s="1201" t="s">
        <v>398</v>
      </c>
      <c r="H70" s="1197"/>
      <c r="I70" s="1197"/>
      <c r="M70" s="141"/>
      <c r="N70" s="137"/>
      <c r="O70" s="137"/>
      <c r="P70" s="777"/>
      <c r="Q70" s="777"/>
      <c r="R70" s="777"/>
      <c r="S70" s="777"/>
      <c r="W70" s="736"/>
    </row>
    <row r="71" spans="1:23" ht="16.5" customHeight="1">
      <c r="A71" s="32"/>
      <c r="B71" s="656"/>
      <c r="C71" s="658"/>
      <c r="D71" s="739"/>
      <c r="E71" s="750"/>
      <c r="F71" s="750"/>
      <c r="G71" s="670"/>
      <c r="H71" s="1197"/>
      <c r="I71" s="1197"/>
      <c r="M71" s="141"/>
      <c r="N71" s="137"/>
      <c r="O71" s="137"/>
      <c r="P71" s="777"/>
      <c r="Q71" s="777"/>
      <c r="R71" s="777"/>
      <c r="S71" s="777"/>
      <c r="W71" s="736"/>
    </row>
    <row r="72" spans="1:23" ht="16.5" customHeight="1" thickBot="1">
      <c r="A72" s="32"/>
      <c r="B72" s="656"/>
      <c r="C72" s="1202" t="s">
        <v>402</v>
      </c>
      <c r="D72" s="1282" t="s">
        <v>403</v>
      </c>
      <c r="E72" s="778"/>
      <c r="F72" s="778"/>
      <c r="G72" s="745"/>
      <c r="I72" s="742"/>
      <c r="J72" s="740"/>
      <c r="L72" s="741"/>
      <c r="M72" s="742"/>
      <c r="N72" s="743"/>
      <c r="O72" s="744"/>
      <c r="P72" s="744"/>
      <c r="Q72" s="744"/>
      <c r="R72" s="744"/>
      <c r="S72" s="744"/>
      <c r="W72" s="736"/>
    </row>
    <row r="73" spans="1:23" ht="16.5" customHeight="1" thickBot="1" thickTop="1">
      <c r="A73" s="32"/>
      <c r="B73" s="656"/>
      <c r="C73" s="658"/>
      <c r="D73" s="670"/>
      <c r="E73" s="778"/>
      <c r="F73" s="778"/>
      <c r="G73" s="745"/>
      <c r="H73" s="199"/>
      <c r="I73" s="666" t="s">
        <v>42</v>
      </c>
      <c r="J73" s="793">
        <f>+G68+O67+F70</f>
        <v>1320457.6</v>
      </c>
      <c r="L73" s="747"/>
      <c r="M73" s="199"/>
      <c r="N73" s="748"/>
      <c r="O73" s="777"/>
      <c r="P73" s="777"/>
      <c r="Q73" s="777"/>
      <c r="R73" s="777"/>
      <c r="S73" s="777"/>
      <c r="W73" s="736"/>
    </row>
    <row r="74" spans="1:23" ht="16.5" customHeight="1" thickTop="1">
      <c r="A74" s="32"/>
      <c r="B74" s="656"/>
      <c r="C74" s="658"/>
      <c r="D74" s="511"/>
      <c r="E74" s="662"/>
      <c r="F74" s="670"/>
      <c r="G74" s="670"/>
      <c r="H74" s="671"/>
      <c r="J74" s="670"/>
      <c r="L74" s="751"/>
      <c r="M74" s="743"/>
      <c r="N74" s="743"/>
      <c r="O74" s="744"/>
      <c r="P74" s="744"/>
      <c r="Q74" s="744"/>
      <c r="R74" s="744"/>
      <c r="S74" s="744"/>
      <c r="W74" s="736"/>
    </row>
    <row r="75" spans="2:23" ht="16.5" customHeight="1">
      <c r="B75" s="656"/>
      <c r="C75" s="737" t="s">
        <v>106</v>
      </c>
      <c r="D75" s="752" t="s">
        <v>107</v>
      </c>
      <c r="E75" s="670"/>
      <c r="F75" s="753"/>
      <c r="G75" s="669"/>
      <c r="H75" s="511"/>
      <c r="I75" s="511"/>
      <c r="J75" s="511"/>
      <c r="K75" s="670"/>
      <c r="L75" s="670"/>
      <c r="M75" s="511"/>
      <c r="N75" s="670"/>
      <c r="O75" s="511"/>
      <c r="P75" s="511"/>
      <c r="Q75" s="511"/>
      <c r="R75" s="511"/>
      <c r="S75" s="511"/>
      <c r="T75" s="511"/>
      <c r="U75" s="511"/>
      <c r="W75" s="736"/>
    </row>
    <row r="76" spans="2:23" s="32" customFormat="1" ht="16.5" customHeight="1">
      <c r="B76" s="656"/>
      <c r="C76" s="658"/>
      <c r="D76" s="739" t="s">
        <v>108</v>
      </c>
      <c r="E76" s="754">
        <f>10*J58*J25/J73</f>
        <v>12173.434140849038</v>
      </c>
      <c r="G76" s="669"/>
      <c r="L76" s="670"/>
      <c r="N76" s="670"/>
      <c r="O76" s="671"/>
      <c r="V76"/>
      <c r="W76" s="736"/>
    </row>
    <row r="77" spans="2:23" s="32" customFormat="1" ht="12.75" customHeight="1">
      <c r="B77" s="656"/>
      <c r="C77" s="658"/>
      <c r="E77" s="755"/>
      <c r="F77" s="665"/>
      <c r="G77" s="669"/>
      <c r="J77" s="669"/>
      <c r="K77" s="673"/>
      <c r="L77" s="670"/>
      <c r="M77" s="670"/>
      <c r="N77" s="670"/>
      <c r="O77" s="671"/>
      <c r="P77" s="670"/>
      <c r="Q77" s="670"/>
      <c r="R77" s="672"/>
      <c r="S77" s="672"/>
      <c r="T77" s="672"/>
      <c r="U77" s="756"/>
      <c r="V77"/>
      <c r="W77" s="736"/>
    </row>
    <row r="78" spans="2:23" ht="16.5" customHeight="1">
      <c r="B78" s="656"/>
      <c r="C78" s="658"/>
      <c r="D78" s="757" t="s">
        <v>124</v>
      </c>
      <c r="E78" s="758"/>
      <c r="F78" s="665"/>
      <c r="G78" s="669"/>
      <c r="H78" s="511"/>
      <c r="I78" s="511"/>
      <c r="N78" s="670"/>
      <c r="O78" s="671"/>
      <c r="P78" s="670"/>
      <c r="Q78" s="670"/>
      <c r="R78" s="742"/>
      <c r="S78" s="742"/>
      <c r="T78" s="742"/>
      <c r="U78" s="743"/>
      <c r="W78" s="736"/>
    </row>
    <row r="79" spans="2:23" ht="13.5" customHeight="1" thickBot="1">
      <c r="B79" s="656"/>
      <c r="C79" s="658"/>
      <c r="D79" s="757"/>
      <c r="E79" s="758"/>
      <c r="F79" s="665"/>
      <c r="G79" s="669"/>
      <c r="H79" s="511"/>
      <c r="I79" s="511"/>
      <c r="N79" s="670"/>
      <c r="O79" s="671"/>
      <c r="P79" s="670"/>
      <c r="Q79" s="670"/>
      <c r="R79" s="742"/>
      <c r="S79" s="742"/>
      <c r="T79" s="742"/>
      <c r="U79" s="743"/>
      <c r="W79" s="736"/>
    </row>
    <row r="80" spans="2:23" s="759" customFormat="1" ht="21" thickBot="1" thickTop="1">
      <c r="B80" s="760"/>
      <c r="C80" s="761"/>
      <c r="D80" s="762"/>
      <c r="E80" s="763"/>
      <c r="F80" s="764"/>
      <c r="G80" s="765"/>
      <c r="I80" s="766" t="s">
        <v>109</v>
      </c>
      <c r="J80" s="767">
        <f>IF(E76&gt;3*J25,J25*3,E76)</f>
        <v>12173.434140849038</v>
      </c>
      <c r="M80" s="768"/>
      <c r="N80" s="768"/>
      <c r="O80" s="769"/>
      <c r="P80" s="768"/>
      <c r="Q80" s="768"/>
      <c r="R80" s="770"/>
      <c r="S80" s="770"/>
      <c r="T80" s="770"/>
      <c r="U80" s="771"/>
      <c r="V80"/>
      <c r="W80" s="772"/>
    </row>
    <row r="81" spans="2:23" ht="16.5" customHeight="1" thickBot="1" thickTop="1">
      <c r="B81" s="57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219"/>
      <c r="W81" s="773"/>
    </row>
    <row r="82" spans="2:23" ht="16.5" customHeight="1" thickTop="1">
      <c r="B82" s="1"/>
      <c r="C82" s="73"/>
      <c r="W82" s="1"/>
    </row>
  </sheetData>
  <sheetProtection password="CC12"/>
  <mergeCells count="33">
    <mergeCell ref="E55:F55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G67:I67"/>
    <mergeCell ref="G68:I68"/>
    <mergeCell ref="G63:I63"/>
    <mergeCell ref="G64:I64"/>
    <mergeCell ref="G65:I65"/>
    <mergeCell ref="G66:I66"/>
    <mergeCell ref="O66:U66"/>
    <mergeCell ref="O67:U67"/>
    <mergeCell ref="O64:U64"/>
    <mergeCell ref="O65:U65"/>
    <mergeCell ref="O63:U63"/>
    <mergeCell ref="E56:F56"/>
    <mergeCell ref="N36:O36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3937007874015748" right="0.1968503937007874" top="0.47" bottom="0.41" header="0.23" footer="0.33"/>
  <pageSetup fitToHeight="1" fitToWidth="1" orientation="landscape" paperSize="9" scale="2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W197"/>
  <sheetViews>
    <sheetView zoomScale="65" zoomScaleNormal="65" workbookViewId="0" topLeftCell="A16">
      <selection activeCell="P40" sqref="P40"/>
    </sheetView>
  </sheetViews>
  <sheetFormatPr defaultColWidth="11.421875" defaultRowHeight="12.75" outlineLevelCol="1"/>
  <cols>
    <col min="1" max="2" width="15.7109375" style="166" customWidth="1"/>
    <col min="3" max="3" width="4.7109375" style="166" customWidth="1"/>
    <col min="4" max="4" width="31.8515625" style="166" customWidth="1"/>
    <col min="5" max="5" width="32.140625" style="166" customWidth="1"/>
    <col min="6" max="8" width="17.140625" style="166" customWidth="1"/>
    <col min="9" max="10" width="9.7109375" style="166" customWidth="1"/>
    <col min="11" max="11" width="13.7109375" style="166" hidden="1" customWidth="1" outlineLevel="1"/>
    <col min="12" max="12" width="15.8515625" style="166" hidden="1" customWidth="1" outlineLevel="1"/>
    <col min="13" max="13" width="16.8515625" style="166" hidden="1" customWidth="1" outlineLevel="1"/>
    <col min="14" max="14" width="15.7109375" style="166" hidden="1" customWidth="1" outlineLevel="1"/>
    <col min="15" max="15" width="16.140625" style="166" hidden="1" customWidth="1" outlineLevel="1"/>
    <col min="16" max="16" width="17.7109375" style="166" customWidth="1" collapsed="1"/>
    <col min="17" max="18" width="15.7109375" style="166" customWidth="1"/>
    <col min="19" max="19" width="30.421875" style="166" customWidth="1"/>
    <col min="20" max="20" width="3.140625" style="166" customWidth="1"/>
    <col min="21" max="21" width="3.57421875" style="166" customWidth="1"/>
    <col min="22" max="22" width="24.28125" style="166" customWidth="1"/>
    <col min="23" max="23" width="4.7109375" style="166" customWidth="1"/>
    <col min="24" max="24" width="7.57421875" style="166" customWidth="1"/>
    <col min="25" max="26" width="4.140625" style="166" customWidth="1"/>
    <col min="27" max="27" width="7.140625" style="166" customWidth="1"/>
    <col min="28" max="28" width="5.28125" style="166" customWidth="1"/>
    <col min="29" max="29" width="5.421875" style="166" customWidth="1"/>
    <col min="30" max="30" width="4.7109375" style="166" customWidth="1"/>
    <col min="31" max="31" width="5.28125" style="166" customWidth="1"/>
    <col min="32" max="33" width="13.28125" style="166" customWidth="1"/>
    <col min="34" max="34" width="6.57421875" style="166" customWidth="1"/>
    <col min="35" max="35" width="6.421875" style="166" customWidth="1"/>
    <col min="36" max="39" width="11.421875" style="166" customWidth="1"/>
    <col min="40" max="40" width="12.7109375" style="166" customWidth="1"/>
    <col min="41" max="43" width="11.421875" style="166" customWidth="1"/>
    <col min="44" max="44" width="21.00390625" style="166" customWidth="1"/>
    <col min="45" max="16384" width="11.421875" style="166" customWidth="1"/>
  </cols>
  <sheetData>
    <row r="1" spans="1:18" ht="27.75" customHeight="1">
      <c r="A1" s="169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144"/>
    </row>
    <row r="2" spans="1:18" ht="27.75" customHeight="1">
      <c r="A2" s="170"/>
      <c r="B2" s="145" t="str">
        <f>'TOT-0908'!B2</f>
        <v>ANEXO IV al Memorándum D.T.E.E. N°   366  / 2010          </v>
      </c>
      <c r="C2" s="531"/>
      <c r="D2" s="531"/>
      <c r="E2" s="531"/>
      <c r="F2" s="531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</row>
    <row r="3" spans="1:18" ht="12.75">
      <c r="A3" s="17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2" s="149" customFormat="1" ht="11.25">
      <c r="A4" s="147" t="s">
        <v>1</v>
      </c>
      <c r="B4" s="148"/>
    </row>
    <row r="5" spans="1:2" s="149" customFormat="1" ht="11.25">
      <c r="A5" s="147" t="s">
        <v>2</v>
      </c>
      <c r="B5" s="148"/>
    </row>
    <row r="6" spans="7:18" ht="13.5" thickBot="1"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2:17" ht="13.5" thickTop="1">
      <c r="B7" s="533"/>
      <c r="C7" s="534"/>
      <c r="D7" s="534"/>
      <c r="E7" s="534"/>
      <c r="F7" s="534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6"/>
    </row>
    <row r="8" spans="2:17" ht="20.25">
      <c r="B8" s="167"/>
      <c r="D8" s="153" t="s">
        <v>66</v>
      </c>
      <c r="E8" s="153"/>
      <c r="G8" s="514"/>
      <c r="H8" s="531"/>
      <c r="I8" s="531"/>
      <c r="J8" s="531"/>
      <c r="K8" s="537"/>
      <c r="L8" s="537"/>
      <c r="M8" s="537"/>
      <c r="N8" s="537"/>
      <c r="O8" s="537"/>
      <c r="P8" s="537"/>
      <c r="Q8" s="538"/>
    </row>
    <row r="9" spans="2:17" ht="20.25">
      <c r="B9" s="167"/>
      <c r="C9" s="152"/>
      <c r="D9" s="539"/>
      <c r="E9" s="539"/>
      <c r="F9" s="152"/>
      <c r="G9" s="150"/>
      <c r="K9" s="529"/>
      <c r="L9" s="529"/>
      <c r="M9" s="529"/>
      <c r="N9" s="529"/>
      <c r="O9" s="529"/>
      <c r="P9" s="529"/>
      <c r="Q9" s="540"/>
    </row>
    <row r="10" spans="2:23" s="150" customFormat="1" ht="20.25">
      <c r="B10" s="151"/>
      <c r="D10" s="154" t="s">
        <v>245</v>
      </c>
      <c r="F10" s="516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8"/>
      <c r="R10" s="152"/>
      <c r="S10" s="152"/>
      <c r="T10" s="152"/>
      <c r="U10" s="152"/>
      <c r="V10" s="152"/>
      <c r="W10" s="166"/>
    </row>
    <row r="11" spans="2:23" s="146" customFormat="1" ht="16.5" customHeight="1">
      <c r="B11" s="155"/>
      <c r="C11" s="156"/>
      <c r="D11" s="521"/>
      <c r="F11" s="519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15"/>
      <c r="R11" s="156"/>
      <c r="S11" s="156"/>
      <c r="T11" s="156"/>
      <c r="U11" s="156"/>
      <c r="V11" s="156"/>
      <c r="W11" s="166"/>
    </row>
    <row r="12" spans="2:17" ht="20.25">
      <c r="B12" s="167"/>
      <c r="D12" s="154" t="s">
        <v>246</v>
      </c>
      <c r="E12" s="154"/>
      <c r="F12" s="152"/>
      <c r="G12" s="152"/>
      <c r="H12" s="529"/>
      <c r="I12" s="529"/>
      <c r="J12" s="529"/>
      <c r="K12" s="529"/>
      <c r="L12" s="529"/>
      <c r="M12" s="529"/>
      <c r="N12" s="529"/>
      <c r="O12" s="529"/>
      <c r="P12" s="529"/>
      <c r="Q12" s="540"/>
    </row>
    <row r="13" spans="2:17" ht="20.25">
      <c r="B13" s="167"/>
      <c r="C13" s="152"/>
      <c r="D13" s="152"/>
      <c r="E13" s="152"/>
      <c r="F13" s="152"/>
      <c r="G13" s="517"/>
      <c r="H13" s="541"/>
      <c r="I13" s="541"/>
      <c r="J13" s="541"/>
      <c r="K13" s="541"/>
      <c r="L13" s="529"/>
      <c r="M13" s="529"/>
      <c r="N13" s="529"/>
      <c r="O13" s="529"/>
      <c r="P13" s="529"/>
      <c r="Q13" s="540"/>
    </row>
    <row r="14" spans="2:17" ht="16.5" customHeight="1">
      <c r="B14" s="37" t="str">
        <f>'TOT-0908'!B14</f>
        <v>Desde el 01 al 30 de septiembre de 2008</v>
      </c>
      <c r="C14" s="513"/>
      <c r="D14" s="513"/>
      <c r="E14" s="513"/>
      <c r="F14" s="513"/>
      <c r="G14" s="531"/>
      <c r="H14" s="537"/>
      <c r="I14" s="537"/>
      <c r="J14" s="537"/>
      <c r="K14" s="531"/>
      <c r="L14" s="537"/>
      <c r="M14" s="537"/>
      <c r="N14" s="537"/>
      <c r="O14" s="537"/>
      <c r="P14" s="537"/>
      <c r="Q14" s="538"/>
    </row>
    <row r="15" spans="2:17" ht="17.25" customHeight="1" thickBot="1">
      <c r="B15" s="167"/>
      <c r="C15" s="168"/>
      <c r="D15" s="168"/>
      <c r="E15" s="168"/>
      <c r="F15" s="168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40"/>
    </row>
    <row r="16" spans="2:17" ht="16.5" customHeight="1" thickBot="1" thickTop="1">
      <c r="B16" s="167"/>
      <c r="D16" s="542" t="s">
        <v>85</v>
      </c>
      <c r="E16" s="543">
        <v>54741</v>
      </c>
      <c r="L16" s="529"/>
      <c r="M16" s="529"/>
      <c r="N16" s="529"/>
      <c r="O16" s="529"/>
      <c r="P16" s="530"/>
      <c r="Q16" s="540"/>
    </row>
    <row r="17" spans="2:17" ht="14.25" thickBot="1" thickTop="1">
      <c r="B17" s="167"/>
      <c r="C17" s="168"/>
      <c r="D17" s="168"/>
      <c r="E17" s="168"/>
      <c r="F17" s="168"/>
      <c r="G17" s="529"/>
      <c r="H17" s="529"/>
      <c r="I17" s="529"/>
      <c r="J17" s="529"/>
      <c r="K17" s="544"/>
      <c r="L17" s="529"/>
      <c r="M17" s="529"/>
      <c r="N17" s="529"/>
      <c r="O17" s="529"/>
      <c r="P17" s="529"/>
      <c r="Q17" s="540"/>
    </row>
    <row r="18" spans="2:17" ht="33.75" customHeight="1" thickBot="1" thickTop="1">
      <c r="B18" s="167"/>
      <c r="C18" s="157" t="s">
        <v>12</v>
      </c>
      <c r="D18" s="158" t="s">
        <v>26</v>
      </c>
      <c r="E18" s="159" t="s">
        <v>86</v>
      </c>
      <c r="F18" s="158" t="s">
        <v>16</v>
      </c>
      <c r="G18" s="160" t="s">
        <v>17</v>
      </c>
      <c r="H18" s="159" t="s">
        <v>34</v>
      </c>
      <c r="I18" s="159" t="s">
        <v>29</v>
      </c>
      <c r="J18" s="159" t="s">
        <v>18</v>
      </c>
      <c r="K18" s="545" t="s">
        <v>87</v>
      </c>
      <c r="L18" s="546" t="s">
        <v>88</v>
      </c>
      <c r="M18" s="547"/>
      <c r="N18" s="548" t="s">
        <v>89</v>
      </c>
      <c r="O18" s="549" t="s">
        <v>90</v>
      </c>
      <c r="P18" s="161" t="s">
        <v>22</v>
      </c>
      <c r="Q18" s="550"/>
    </row>
    <row r="19" spans="2:17" ht="16.5" customHeight="1" thickTop="1">
      <c r="B19" s="167"/>
      <c r="C19" s="162"/>
      <c r="D19" s="512"/>
      <c r="E19" s="512"/>
      <c r="F19" s="551"/>
      <c r="G19" s="552"/>
      <c r="H19" s="162"/>
      <c r="I19" s="162"/>
      <c r="J19" s="162"/>
      <c r="K19" s="553"/>
      <c r="L19" s="554"/>
      <c r="M19" s="554"/>
      <c r="N19" s="555"/>
      <c r="O19" s="556"/>
      <c r="P19" s="557"/>
      <c r="Q19" s="558"/>
    </row>
    <row r="20" spans="2:17" ht="16.5" customHeight="1">
      <c r="B20" s="167"/>
      <c r="C20" s="874"/>
      <c r="D20" s="559"/>
      <c r="E20" s="559"/>
      <c r="F20" s="560"/>
      <c r="G20" s="561"/>
      <c r="H20" s="523">
        <f aca="true" t="shared" si="0" ref="H20:H30">IF(D20="","",ROUND((G20-F20)*24,2))</f>
      </c>
      <c r="I20" s="523"/>
      <c r="J20" s="523"/>
      <c r="K20" s="562"/>
      <c r="L20" s="563"/>
      <c r="M20" s="563"/>
      <c r="N20" s="564"/>
      <c r="O20" s="565"/>
      <c r="P20" s="522"/>
      <c r="Q20" s="558"/>
    </row>
    <row r="21" spans="2:17" ht="16.5" customHeight="1">
      <c r="B21" s="167"/>
      <c r="C21" s="875">
        <v>136</v>
      </c>
      <c r="D21" s="566" t="s">
        <v>338</v>
      </c>
      <c r="E21" s="566" t="s">
        <v>339</v>
      </c>
      <c r="F21" s="568">
        <v>39707.82430555556</v>
      </c>
      <c r="G21" s="569">
        <v>39707.825</v>
      </c>
      <c r="H21" s="570">
        <f t="shared" si="0"/>
        <v>0.02</v>
      </c>
      <c r="I21" s="571">
        <f aca="true" t="shared" si="1" ref="I21:I30">IF(D21="","",ROUND((G21-F21)*24*60,0))</f>
        <v>1</v>
      </c>
      <c r="J21" s="572" t="s">
        <v>252</v>
      </c>
      <c r="K21" s="573">
        <f aca="true" t="shared" si="2" ref="K21:K31">IF(D21="","--",IF(H21&gt;24,2,1))</f>
        <v>1</v>
      </c>
      <c r="L21" s="574" t="str">
        <f aca="true" t="shared" si="3" ref="L21:L31">IF(J21="FC",ROUND(0.1*$E$16,2),"--")</f>
        <v>--</v>
      </c>
      <c r="M21" s="574">
        <f aca="true" t="shared" si="4" ref="M21:M31">IF(J21="F",ROUND(0.1*$E$16,2),"--")</f>
        <v>5474.1</v>
      </c>
      <c r="N21" s="575" t="str">
        <f aca="true" t="shared" si="5" ref="N21:N31">IF(J21="FI",ROUND(0.05*$E$16,2),"--")</f>
        <v>--</v>
      </c>
      <c r="O21" s="576" t="str">
        <f aca="true" t="shared" si="6" ref="O21:O31">IF(J21="P",ROUND(0.01*$E$16,2),"--")</f>
        <v>--</v>
      </c>
      <c r="P21" s="163">
        <f aca="true" t="shared" si="7" ref="P21:P30">IF(D21="","",IF(J21="","??????",SUM(L21:O21)*K21))</f>
        <v>5474.1</v>
      </c>
      <c r="Q21" s="577"/>
    </row>
    <row r="22" spans="2:17" ht="16.5" customHeight="1">
      <c r="B22" s="167"/>
      <c r="C22" s="874">
        <v>137</v>
      </c>
      <c r="D22" s="566" t="s">
        <v>338</v>
      </c>
      <c r="E22" s="566" t="s">
        <v>339</v>
      </c>
      <c r="F22" s="568">
        <v>39707.825694444444</v>
      </c>
      <c r="G22" s="569">
        <v>39709.354166666664</v>
      </c>
      <c r="H22" s="570">
        <f t="shared" si="0"/>
        <v>36.68</v>
      </c>
      <c r="I22" s="571">
        <f t="shared" si="1"/>
        <v>2201</v>
      </c>
      <c r="J22" s="572" t="s">
        <v>397</v>
      </c>
      <c r="K22" s="573">
        <f t="shared" si="2"/>
        <v>2</v>
      </c>
      <c r="L22" s="574" t="str">
        <f t="shared" si="3"/>
        <v>--</v>
      </c>
      <c r="M22" s="574" t="str">
        <f t="shared" si="4"/>
        <v>--</v>
      </c>
      <c r="N22" s="575">
        <f t="shared" si="5"/>
        <v>2737.05</v>
      </c>
      <c r="O22" s="576" t="str">
        <f t="shared" si="6"/>
        <v>--</v>
      </c>
      <c r="P22" s="163">
        <f t="shared" si="7"/>
        <v>5474.1</v>
      </c>
      <c r="Q22" s="577"/>
    </row>
    <row r="23" spans="2:17" ht="16.5" customHeight="1">
      <c r="B23" s="167"/>
      <c r="C23" s="874"/>
      <c r="D23" s="566"/>
      <c r="E23" s="567"/>
      <c r="F23" s="568"/>
      <c r="G23" s="569"/>
      <c r="H23" s="570">
        <f t="shared" si="0"/>
      </c>
      <c r="I23" s="571">
        <f t="shared" si="1"/>
      </c>
      <c r="J23" s="572"/>
      <c r="K23" s="573" t="str">
        <f t="shared" si="2"/>
        <v>--</v>
      </c>
      <c r="L23" s="574" t="str">
        <f t="shared" si="3"/>
        <v>--</v>
      </c>
      <c r="M23" s="574" t="str">
        <f t="shared" si="4"/>
        <v>--</v>
      </c>
      <c r="N23" s="575" t="str">
        <f t="shared" si="5"/>
        <v>--</v>
      </c>
      <c r="O23" s="576" t="str">
        <f t="shared" si="6"/>
        <v>--</v>
      </c>
      <c r="P23" s="163">
        <f t="shared" si="7"/>
      </c>
      <c r="Q23" s="577"/>
    </row>
    <row r="24" spans="2:17" ht="16.5" customHeight="1">
      <c r="B24" s="167"/>
      <c r="C24" s="875"/>
      <c r="D24" s="566"/>
      <c r="E24" s="567"/>
      <c r="F24" s="568"/>
      <c r="G24" s="569"/>
      <c r="H24" s="570">
        <f t="shared" si="0"/>
      </c>
      <c r="I24" s="571">
        <f t="shared" si="1"/>
      </c>
      <c r="J24" s="572"/>
      <c r="K24" s="573" t="str">
        <f t="shared" si="2"/>
        <v>--</v>
      </c>
      <c r="L24" s="574" t="str">
        <f t="shared" si="3"/>
        <v>--</v>
      </c>
      <c r="M24" s="574" t="str">
        <f t="shared" si="4"/>
        <v>--</v>
      </c>
      <c r="N24" s="575" t="str">
        <f t="shared" si="5"/>
        <v>--</v>
      </c>
      <c r="O24" s="576" t="str">
        <f t="shared" si="6"/>
        <v>--</v>
      </c>
      <c r="P24" s="163">
        <f t="shared" si="7"/>
      </c>
      <c r="Q24" s="577"/>
    </row>
    <row r="25" spans="2:17" ht="16.5" customHeight="1">
      <c r="B25" s="167"/>
      <c r="C25" s="874"/>
      <c r="D25" s="566"/>
      <c r="E25" s="567"/>
      <c r="F25" s="568"/>
      <c r="G25" s="569"/>
      <c r="H25" s="570">
        <f t="shared" si="0"/>
      </c>
      <c r="I25" s="571">
        <f t="shared" si="1"/>
      </c>
      <c r="J25" s="572"/>
      <c r="K25" s="573" t="str">
        <f t="shared" si="2"/>
        <v>--</v>
      </c>
      <c r="L25" s="574" t="str">
        <f t="shared" si="3"/>
        <v>--</v>
      </c>
      <c r="M25" s="574" t="str">
        <f t="shared" si="4"/>
        <v>--</v>
      </c>
      <c r="N25" s="575" t="str">
        <f t="shared" si="5"/>
        <v>--</v>
      </c>
      <c r="O25" s="576" t="str">
        <f t="shared" si="6"/>
        <v>--</v>
      </c>
      <c r="P25" s="163">
        <f t="shared" si="7"/>
      </c>
      <c r="Q25" s="577"/>
    </row>
    <row r="26" spans="2:17" ht="16.5" customHeight="1">
      <c r="B26" s="167"/>
      <c r="C26" s="874"/>
      <c r="D26" s="566"/>
      <c r="E26" s="567"/>
      <c r="F26" s="568"/>
      <c r="G26" s="569"/>
      <c r="H26" s="570">
        <f t="shared" si="0"/>
      </c>
      <c r="I26" s="571">
        <f t="shared" si="1"/>
      </c>
      <c r="J26" s="572"/>
      <c r="K26" s="573" t="str">
        <f t="shared" si="2"/>
        <v>--</v>
      </c>
      <c r="L26" s="574" t="str">
        <f t="shared" si="3"/>
        <v>--</v>
      </c>
      <c r="M26" s="574" t="str">
        <f t="shared" si="4"/>
        <v>--</v>
      </c>
      <c r="N26" s="575" t="str">
        <f t="shared" si="5"/>
        <v>--</v>
      </c>
      <c r="O26" s="576" t="str">
        <f t="shared" si="6"/>
        <v>--</v>
      </c>
      <c r="P26" s="163">
        <f t="shared" si="7"/>
      </c>
      <c r="Q26" s="577"/>
    </row>
    <row r="27" spans="2:17" ht="16.5" customHeight="1">
      <c r="B27" s="167"/>
      <c r="C27" s="875"/>
      <c r="D27" s="566"/>
      <c r="E27" s="567"/>
      <c r="F27" s="568"/>
      <c r="G27" s="569"/>
      <c r="H27" s="570">
        <f t="shared" si="0"/>
      </c>
      <c r="I27" s="571">
        <f t="shared" si="1"/>
      </c>
      <c r="J27" s="572"/>
      <c r="K27" s="573" t="str">
        <f t="shared" si="2"/>
        <v>--</v>
      </c>
      <c r="L27" s="574" t="str">
        <f t="shared" si="3"/>
        <v>--</v>
      </c>
      <c r="M27" s="574" t="str">
        <f t="shared" si="4"/>
        <v>--</v>
      </c>
      <c r="N27" s="575" t="str">
        <f t="shared" si="5"/>
        <v>--</v>
      </c>
      <c r="O27" s="576" t="str">
        <f t="shared" si="6"/>
        <v>--</v>
      </c>
      <c r="P27" s="163">
        <f t="shared" si="7"/>
      </c>
      <c r="Q27" s="577"/>
    </row>
    <row r="28" spans="2:17" ht="16.5" customHeight="1">
      <c r="B28" s="167"/>
      <c r="C28" s="874"/>
      <c r="D28" s="566"/>
      <c r="E28" s="567"/>
      <c r="F28" s="568"/>
      <c r="G28" s="569"/>
      <c r="H28" s="570">
        <f t="shared" si="0"/>
      </c>
      <c r="I28" s="571">
        <f t="shared" si="1"/>
      </c>
      <c r="J28" s="572"/>
      <c r="K28" s="573" t="str">
        <f t="shared" si="2"/>
        <v>--</v>
      </c>
      <c r="L28" s="574" t="str">
        <f t="shared" si="3"/>
        <v>--</v>
      </c>
      <c r="M28" s="574" t="str">
        <f t="shared" si="4"/>
        <v>--</v>
      </c>
      <c r="N28" s="575" t="str">
        <f t="shared" si="5"/>
        <v>--</v>
      </c>
      <c r="O28" s="576" t="str">
        <f t="shared" si="6"/>
        <v>--</v>
      </c>
      <c r="P28" s="163">
        <f t="shared" si="7"/>
      </c>
      <c r="Q28" s="577"/>
    </row>
    <row r="29" spans="2:17" ht="16.5" customHeight="1">
      <c r="B29" s="167"/>
      <c r="C29" s="874"/>
      <c r="D29" s="566"/>
      <c r="E29" s="567"/>
      <c r="F29" s="568"/>
      <c r="G29" s="569"/>
      <c r="H29" s="570">
        <f t="shared" si="0"/>
      </c>
      <c r="I29" s="571">
        <f t="shared" si="1"/>
      </c>
      <c r="J29" s="572"/>
      <c r="K29" s="573" t="str">
        <f t="shared" si="2"/>
        <v>--</v>
      </c>
      <c r="L29" s="574" t="str">
        <f t="shared" si="3"/>
        <v>--</v>
      </c>
      <c r="M29" s="574" t="str">
        <f t="shared" si="4"/>
        <v>--</v>
      </c>
      <c r="N29" s="575" t="str">
        <f t="shared" si="5"/>
        <v>--</v>
      </c>
      <c r="O29" s="576" t="str">
        <f t="shared" si="6"/>
        <v>--</v>
      </c>
      <c r="P29" s="163">
        <f t="shared" si="7"/>
      </c>
      <c r="Q29" s="577"/>
    </row>
    <row r="30" spans="2:17" ht="16.5" customHeight="1" thickBot="1">
      <c r="B30" s="167"/>
      <c r="C30" s="578"/>
      <c r="D30" s="579"/>
      <c r="E30" s="580"/>
      <c r="F30" s="581"/>
      <c r="G30" s="582"/>
      <c r="H30" s="583">
        <f t="shared" si="0"/>
      </c>
      <c r="I30" s="584">
        <f t="shared" si="1"/>
      </c>
      <c r="J30" s="585"/>
      <c r="K30" s="586" t="str">
        <f t="shared" si="2"/>
        <v>--</v>
      </c>
      <c r="L30" s="587" t="str">
        <f t="shared" si="3"/>
        <v>--</v>
      </c>
      <c r="M30" s="587" t="str">
        <f t="shared" si="4"/>
        <v>--</v>
      </c>
      <c r="N30" s="588" t="str">
        <f t="shared" si="5"/>
        <v>--</v>
      </c>
      <c r="O30" s="589" t="str">
        <f t="shared" si="6"/>
        <v>--</v>
      </c>
      <c r="P30" s="590">
        <f t="shared" si="7"/>
      </c>
      <c r="Q30" s="577"/>
    </row>
    <row r="31" spans="2:17" ht="16.5" customHeight="1" thickBot="1" thickTop="1">
      <c r="B31" s="167"/>
      <c r="C31" s="591"/>
      <c r="D31" s="592"/>
      <c r="E31" s="592"/>
      <c r="F31" s="593"/>
      <c r="G31" s="593"/>
      <c r="H31" s="593"/>
      <c r="I31" s="593"/>
      <c r="J31" s="594"/>
      <c r="K31" s="595" t="str">
        <f t="shared" si="2"/>
        <v>--</v>
      </c>
      <c r="L31" s="596" t="str">
        <f t="shared" si="3"/>
        <v>--</v>
      </c>
      <c r="M31" s="596" t="str">
        <f t="shared" si="4"/>
        <v>--</v>
      </c>
      <c r="N31" s="597" t="str">
        <f t="shared" si="5"/>
        <v>--</v>
      </c>
      <c r="O31" s="598" t="str">
        <f t="shared" si="6"/>
        <v>--</v>
      </c>
      <c r="P31" s="524">
        <f>SUM(P20:P30)</f>
        <v>10948.2</v>
      </c>
      <c r="Q31" s="577"/>
    </row>
    <row r="32" spans="2:17" ht="16.5" customHeight="1" thickTop="1">
      <c r="B32" s="167"/>
      <c r="C32" s="591"/>
      <c r="D32" s="592"/>
      <c r="E32" s="592"/>
      <c r="F32" s="593"/>
      <c r="G32" s="593"/>
      <c r="H32" s="593"/>
      <c r="I32" s="593"/>
      <c r="J32" s="594"/>
      <c r="K32" s="595"/>
      <c r="L32" s="596"/>
      <c r="M32" s="596"/>
      <c r="N32" s="597"/>
      <c r="O32" s="598"/>
      <c r="P32" s="599"/>
      <c r="Q32" s="577"/>
    </row>
    <row r="33" spans="2:17" ht="16.5" customHeight="1">
      <c r="B33" s="167"/>
      <c r="C33" s="591"/>
      <c r="D33" s="592"/>
      <c r="E33" s="592"/>
      <c r="F33" s="593"/>
      <c r="G33" s="593"/>
      <c r="H33" s="593"/>
      <c r="I33" s="593"/>
      <c r="J33" s="594"/>
      <c r="K33" s="595" t="str">
        <f>IF(D33="","--",IF(H33&gt;24,2,1))</f>
        <v>--</v>
      </c>
      <c r="L33" s="596" t="str">
        <f>IF(J33="FC",ROUND(0.1*$E$16,2),"--")</f>
        <v>--</v>
      </c>
      <c r="M33" s="596" t="str">
        <f>IF(J33="F",ROUND(0.1*$E$16,2),"--")</f>
        <v>--</v>
      </c>
      <c r="N33" s="597" t="str">
        <f>IF(J33="FI",ROUND(0.05*$E$16,2),"--")</f>
        <v>--</v>
      </c>
      <c r="O33" s="598" t="str">
        <f>IF(J33="P",ROUND(0.01*$E$16,2),"--")</f>
        <v>--</v>
      </c>
      <c r="P33" s="600">
        <f>IF(D33="","",IF(J33="","??????",SUM(L33:O33)*K33))</f>
      </c>
      <c r="Q33" s="577"/>
    </row>
    <row r="34" spans="2:17" ht="16.5" customHeight="1">
      <c r="B34" s="167"/>
      <c r="C34" s="591"/>
      <c r="D34" s="154" t="s">
        <v>247</v>
      </c>
      <c r="E34" s="592"/>
      <c r="F34" s="593"/>
      <c r="G34" s="593"/>
      <c r="H34" s="593"/>
      <c r="I34" s="593"/>
      <c r="J34" s="594"/>
      <c r="K34" s="595"/>
      <c r="L34" s="596"/>
      <c r="M34" s="596"/>
      <c r="N34" s="597"/>
      <c r="O34" s="598"/>
      <c r="P34" s="600"/>
      <c r="Q34" s="577"/>
    </row>
    <row r="35" spans="2:17" ht="16.5" customHeight="1">
      <c r="B35" s="167"/>
      <c r="C35" s="591"/>
      <c r="D35" s="154"/>
      <c r="E35" s="592"/>
      <c r="F35" s="593"/>
      <c r="G35" s="593"/>
      <c r="H35" s="593"/>
      <c r="I35" s="593"/>
      <c r="J35" s="594"/>
      <c r="K35" s="595"/>
      <c r="L35" s="596"/>
      <c r="M35" s="596"/>
      <c r="N35" s="597"/>
      <c r="O35" s="598"/>
      <c r="P35" s="600"/>
      <c r="Q35" s="577"/>
    </row>
    <row r="36" spans="2:17" ht="16.5" customHeight="1" thickBot="1">
      <c r="B36" s="167"/>
      <c r="C36" s="591"/>
      <c r="D36" s="592"/>
      <c r="E36" s="592"/>
      <c r="F36" s="593"/>
      <c r="G36" s="593"/>
      <c r="H36" s="593"/>
      <c r="I36" s="593"/>
      <c r="J36" s="594"/>
      <c r="K36" s="595"/>
      <c r="L36" s="596"/>
      <c r="M36" s="596"/>
      <c r="N36" s="597"/>
      <c r="O36" s="598"/>
      <c r="P36" s="600"/>
      <c r="Q36" s="577"/>
    </row>
    <row r="37" spans="2:17" ht="16.5" customHeight="1" thickBot="1" thickTop="1">
      <c r="B37" s="167"/>
      <c r="D37" s="601" t="s">
        <v>91</v>
      </c>
      <c r="E37" s="543">
        <f>E16*12</f>
        <v>656892</v>
      </c>
      <c r="L37" s="529"/>
      <c r="M37" s="529"/>
      <c r="N37" s="529"/>
      <c r="O37" s="529"/>
      <c r="P37" s="530"/>
      <c r="Q37" s="540"/>
    </row>
    <row r="38" spans="2:17" ht="14.25" thickBot="1" thickTop="1">
      <c r="B38" s="167"/>
      <c r="C38" s="168"/>
      <c r="D38" s="168"/>
      <c r="E38" s="168"/>
      <c r="F38" s="168"/>
      <c r="G38" s="529"/>
      <c r="H38" s="529"/>
      <c r="I38" s="529"/>
      <c r="J38" s="529"/>
      <c r="K38" s="544"/>
      <c r="L38" s="529"/>
      <c r="M38" s="529"/>
      <c r="N38" s="529"/>
      <c r="O38" s="529"/>
      <c r="P38" s="529"/>
      <c r="Q38" s="540"/>
    </row>
    <row r="39" spans="2:17" ht="33.75" customHeight="1" thickBot="1" thickTop="1">
      <c r="B39" s="167"/>
      <c r="C39" s="602" t="s">
        <v>92</v>
      </c>
      <c r="D39" s="603"/>
      <c r="E39" s="604"/>
      <c r="F39" s="605"/>
      <c r="G39" s="605"/>
      <c r="H39" s="604"/>
      <c r="I39" s="604"/>
      <c r="J39" s="604"/>
      <c r="K39" s="606"/>
      <c r="L39" s="607"/>
      <c r="M39" s="607"/>
      <c r="N39" s="608"/>
      <c r="O39" s="609"/>
      <c r="P39" s="161">
        <v>3</v>
      </c>
      <c r="Q39" s="550"/>
    </row>
    <row r="40" spans="2:17" ht="16.5" customHeight="1" thickTop="1">
      <c r="B40" s="167"/>
      <c r="C40" s="610"/>
      <c r="D40" s="611"/>
      <c r="E40" s="611"/>
      <c r="F40" s="612"/>
      <c r="G40" s="612"/>
      <c r="H40" s="612"/>
      <c r="I40" s="612"/>
      <c r="J40" s="612"/>
      <c r="K40" s="613"/>
      <c r="L40" s="614"/>
      <c r="M40" s="614"/>
      <c r="N40" s="615"/>
      <c r="O40" s="616"/>
      <c r="P40" s="557"/>
      <c r="Q40" s="558"/>
    </row>
    <row r="41" spans="2:17" ht="16.5" customHeight="1">
      <c r="B41" s="167"/>
      <c r="C41" s="617"/>
      <c r="D41" s="618" t="s">
        <v>93</v>
      </c>
      <c r="E41" s="618"/>
      <c r="F41" s="619"/>
      <c r="G41" s="619"/>
      <c r="H41" s="619"/>
      <c r="I41" s="619"/>
      <c r="J41" s="619"/>
      <c r="K41" s="620"/>
      <c r="L41" s="621"/>
      <c r="M41" s="621"/>
      <c r="N41" s="622"/>
      <c r="O41" s="623"/>
      <c r="P41" s="163">
        <f>IF(P39&gt;=4,E37*0.1,0)</f>
        <v>0</v>
      </c>
      <c r="Q41" s="558"/>
    </row>
    <row r="42" spans="2:17" ht="16.5" customHeight="1" thickBot="1">
      <c r="B42" s="167"/>
      <c r="C42" s="624"/>
      <c r="D42" s="625"/>
      <c r="E42" s="625"/>
      <c r="F42" s="626"/>
      <c r="G42" s="626"/>
      <c r="H42" s="626"/>
      <c r="I42" s="626"/>
      <c r="J42" s="627"/>
      <c r="K42" s="628"/>
      <c r="L42" s="629"/>
      <c r="M42" s="629"/>
      <c r="N42" s="630"/>
      <c r="O42" s="631"/>
      <c r="P42" s="590"/>
      <c r="Q42" s="577"/>
    </row>
    <row r="43" spans="2:17" ht="16.5" customHeight="1" thickBot="1" thickTop="1">
      <c r="B43" s="167"/>
      <c r="C43" s="591"/>
      <c r="D43" s="592"/>
      <c r="E43" s="592"/>
      <c r="F43" s="593"/>
      <c r="G43" s="593"/>
      <c r="H43" s="593"/>
      <c r="I43" s="593"/>
      <c r="J43" s="594"/>
      <c r="K43" s="595"/>
      <c r="L43" s="596"/>
      <c r="M43" s="596"/>
      <c r="N43" s="597"/>
      <c r="O43" s="598"/>
      <c r="P43" s="524">
        <f>P41</f>
        <v>0</v>
      </c>
      <c r="Q43" s="577"/>
    </row>
    <row r="44" spans="2:17" ht="16.5" customHeight="1" thickTop="1">
      <c r="B44" s="167"/>
      <c r="C44" s="591"/>
      <c r="D44" s="592"/>
      <c r="E44" s="592"/>
      <c r="F44" s="594"/>
      <c r="G44" s="594"/>
      <c r="H44" s="593"/>
      <c r="I44" s="593"/>
      <c r="J44" s="594"/>
      <c r="K44" s="632"/>
      <c r="L44" s="633"/>
      <c r="M44" s="633"/>
      <c r="N44" s="634"/>
      <c r="O44" s="635"/>
      <c r="P44" s="636"/>
      <c r="Q44" s="577"/>
    </row>
    <row r="45" spans="2:17" ht="13.5" thickBot="1">
      <c r="B45" s="167"/>
      <c r="C45" s="525" t="s">
        <v>23</v>
      </c>
      <c r="D45" s="164" t="s">
        <v>94</v>
      </c>
      <c r="E45" s="164"/>
      <c r="F45" s="637"/>
      <c r="G45" s="165"/>
      <c r="H45" s="593"/>
      <c r="I45" s="593"/>
      <c r="J45" s="165"/>
      <c r="K45" s="165"/>
      <c r="L45" s="638"/>
      <c r="M45" s="638"/>
      <c r="N45" s="639"/>
      <c r="O45" s="640"/>
      <c r="P45" s="636"/>
      <c r="Q45" s="577"/>
    </row>
    <row r="46" spans="2:17" s="641" customFormat="1" ht="10.5" customHeight="1" thickTop="1">
      <c r="B46" s="642"/>
      <c r="C46" s="525"/>
      <c r="D46" s="526" t="s">
        <v>95</v>
      </c>
      <c r="E46" s="526"/>
      <c r="F46" s="643"/>
      <c r="G46" s="644"/>
      <c r="H46" s="644"/>
      <c r="I46" s="644"/>
      <c r="J46" s="644"/>
      <c r="K46" s="644"/>
      <c r="L46" s="645"/>
      <c r="M46" s="646"/>
      <c r="N46" s="646"/>
      <c r="O46" s="646"/>
      <c r="P46" s="647"/>
      <c r="Q46" s="648"/>
    </row>
    <row r="47" spans="2:17" s="641" customFormat="1" ht="12" customHeight="1">
      <c r="B47" s="642"/>
      <c r="C47" s="525"/>
      <c r="D47" s="526" t="s">
        <v>96</v>
      </c>
      <c r="E47" s="526"/>
      <c r="F47" s="643"/>
      <c r="G47" s="644"/>
      <c r="H47" s="644"/>
      <c r="I47" s="644"/>
      <c r="J47" s="644"/>
      <c r="K47" s="644"/>
      <c r="L47" s="645"/>
      <c r="M47" s="646"/>
      <c r="N47" s="646"/>
      <c r="O47" s="646"/>
      <c r="P47" s="647"/>
      <c r="Q47" s="648"/>
    </row>
    <row r="48" spans="2:17" ht="16.5" customHeight="1" thickBot="1">
      <c r="B48" s="649"/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8"/>
      <c r="Q48" s="650"/>
    </row>
    <row r="49" spans="2:18" ht="16.5" customHeight="1" thickTop="1">
      <c r="B49" s="168"/>
      <c r="P49" s="170"/>
      <c r="R49" s="168"/>
    </row>
    <row r="50" ht="16.5" customHeight="1">
      <c r="P50" s="170"/>
    </row>
    <row r="51" ht="16.5" customHeight="1">
      <c r="P51" s="170"/>
    </row>
    <row r="52" ht="12.75">
      <c r="P52" s="170"/>
    </row>
    <row r="53" ht="12.75">
      <c r="P53" s="170"/>
    </row>
    <row r="54" ht="12.75">
      <c r="P54" s="170"/>
    </row>
    <row r="55" ht="12.75">
      <c r="P55" s="170"/>
    </row>
    <row r="56" spans="13:17" ht="12.75">
      <c r="M56" s="170"/>
      <c r="N56" s="170"/>
      <c r="O56" s="170"/>
      <c r="P56" s="170"/>
      <c r="Q56" s="170"/>
    </row>
    <row r="57" spans="13:17" ht="12.75">
      <c r="M57" s="170"/>
      <c r="N57" s="170"/>
      <c r="O57" s="170"/>
      <c r="P57" s="170"/>
      <c r="Q57" s="170"/>
    </row>
    <row r="58" spans="13:17" ht="12.75">
      <c r="M58" s="170"/>
      <c r="N58" s="170"/>
      <c r="O58" s="170"/>
      <c r="P58" s="170"/>
      <c r="Q58" s="170"/>
    </row>
    <row r="59" spans="13:17" ht="12.75">
      <c r="M59" s="170"/>
      <c r="N59" s="170"/>
      <c r="O59" s="170"/>
      <c r="P59" s="170"/>
      <c r="Q59" s="170"/>
    </row>
    <row r="60" spans="13:17" ht="12.75">
      <c r="M60" s="170"/>
      <c r="N60" s="170"/>
      <c r="O60" s="170"/>
      <c r="P60" s="170"/>
      <c r="Q60" s="170"/>
    </row>
    <row r="61" spans="13:17" ht="12.75">
      <c r="M61" s="170"/>
      <c r="N61" s="170"/>
      <c r="O61" s="170"/>
      <c r="P61" s="170"/>
      <c r="Q61" s="170"/>
    </row>
    <row r="62" spans="13:17" ht="12.75">
      <c r="M62" s="170"/>
      <c r="N62" s="170"/>
      <c r="O62" s="170"/>
      <c r="P62" s="170"/>
      <c r="Q62" s="170"/>
    </row>
    <row r="63" spans="13:17" ht="12.75">
      <c r="M63" s="170"/>
      <c r="N63" s="170"/>
      <c r="O63" s="170"/>
      <c r="P63" s="170"/>
      <c r="Q63" s="170"/>
    </row>
    <row r="64" spans="13:17" ht="12.75">
      <c r="M64" s="170"/>
      <c r="N64" s="170"/>
      <c r="O64" s="170"/>
      <c r="P64" s="170"/>
      <c r="Q64" s="170"/>
    </row>
    <row r="65" spans="13:17" ht="12.75">
      <c r="M65" s="170"/>
      <c r="N65" s="170"/>
      <c r="O65" s="170"/>
      <c r="P65" s="170"/>
      <c r="Q65" s="170"/>
    </row>
    <row r="66" spans="13:17" ht="12.75">
      <c r="M66" s="170"/>
      <c r="N66" s="170"/>
      <c r="O66" s="170"/>
      <c r="P66" s="170"/>
      <c r="Q66" s="170"/>
    </row>
    <row r="67" spans="13:17" ht="12.75">
      <c r="M67" s="170"/>
      <c r="N67" s="170"/>
      <c r="O67" s="170"/>
      <c r="P67" s="170"/>
      <c r="Q67" s="170"/>
    </row>
    <row r="68" spans="13:17" ht="12.75">
      <c r="M68" s="170"/>
      <c r="N68" s="170"/>
      <c r="O68" s="170"/>
      <c r="P68" s="170"/>
      <c r="Q68" s="170"/>
    </row>
    <row r="69" spans="13:17" ht="12.75">
      <c r="M69" s="170"/>
      <c r="N69" s="170"/>
      <c r="O69" s="170"/>
      <c r="P69" s="170"/>
      <c r="Q69" s="170"/>
    </row>
    <row r="70" spans="13:17" ht="12.75">
      <c r="M70" s="170"/>
      <c r="N70" s="170"/>
      <c r="O70" s="170"/>
      <c r="P70" s="170"/>
      <c r="Q70" s="170"/>
    </row>
    <row r="71" spans="13:17" ht="12.75">
      <c r="M71" s="170"/>
      <c r="N71" s="170"/>
      <c r="O71" s="170"/>
      <c r="P71" s="170"/>
      <c r="Q71" s="170"/>
    </row>
    <row r="72" spans="13:17" ht="12.75">
      <c r="M72" s="170"/>
      <c r="N72" s="170"/>
      <c r="O72" s="170"/>
      <c r="P72" s="170"/>
      <c r="Q72" s="170"/>
    </row>
    <row r="73" spans="13:17" ht="12.75">
      <c r="M73" s="170"/>
      <c r="N73" s="170"/>
      <c r="O73" s="170"/>
      <c r="P73" s="170"/>
      <c r="Q73" s="170"/>
    </row>
    <row r="74" spans="13:17" ht="12.75">
      <c r="M74" s="170"/>
      <c r="N74" s="170"/>
      <c r="O74" s="170"/>
      <c r="P74" s="170"/>
      <c r="Q74" s="170"/>
    </row>
    <row r="75" spans="13:17" ht="12.75">
      <c r="M75" s="170"/>
      <c r="N75" s="170"/>
      <c r="O75" s="170"/>
      <c r="P75" s="170"/>
      <c r="Q75" s="170"/>
    </row>
    <row r="76" spans="13:17" ht="12.75">
      <c r="M76" s="170"/>
      <c r="N76" s="170"/>
      <c r="O76" s="170"/>
      <c r="P76" s="170"/>
      <c r="Q76" s="170"/>
    </row>
    <row r="77" spans="13:17" ht="12.75">
      <c r="M77" s="170"/>
      <c r="N77" s="170"/>
      <c r="O77" s="170"/>
      <c r="P77" s="170"/>
      <c r="Q77" s="170"/>
    </row>
    <row r="78" spans="13:17" ht="12.75">
      <c r="M78" s="170"/>
      <c r="N78" s="170"/>
      <c r="O78" s="170"/>
      <c r="P78" s="170"/>
      <c r="Q78" s="170"/>
    </row>
    <row r="79" spans="13:17" ht="12.75">
      <c r="M79" s="170"/>
      <c r="N79" s="170"/>
      <c r="O79" s="170"/>
      <c r="P79" s="170"/>
      <c r="Q79" s="170"/>
    </row>
    <row r="80" spans="13:17" ht="12.75">
      <c r="M80" s="170"/>
      <c r="N80" s="170"/>
      <c r="O80" s="170"/>
      <c r="P80" s="170"/>
      <c r="Q80" s="170"/>
    </row>
    <row r="81" spans="13:17" ht="12.75">
      <c r="M81" s="170"/>
      <c r="N81" s="170"/>
      <c r="O81" s="170"/>
      <c r="P81" s="170"/>
      <c r="Q81" s="170"/>
    </row>
    <row r="82" spans="13:17" ht="12.75">
      <c r="M82" s="170"/>
      <c r="N82" s="170"/>
      <c r="O82" s="170"/>
      <c r="P82" s="170"/>
      <c r="Q82" s="170"/>
    </row>
    <row r="83" spans="13:17" ht="12.75">
      <c r="M83" s="170"/>
      <c r="N83" s="170"/>
      <c r="O83" s="170"/>
      <c r="P83" s="170"/>
      <c r="Q83" s="170"/>
    </row>
    <row r="84" spans="13:17" ht="12.75">
      <c r="M84" s="170"/>
      <c r="N84" s="170"/>
      <c r="O84" s="170"/>
      <c r="P84" s="170"/>
      <c r="Q84" s="170"/>
    </row>
    <row r="85" spans="13:17" ht="12.75">
      <c r="M85" s="170"/>
      <c r="N85" s="170"/>
      <c r="O85" s="170"/>
      <c r="P85" s="170"/>
      <c r="Q85" s="170"/>
    </row>
    <row r="86" spans="13:17" ht="12.75">
      <c r="M86" s="170"/>
      <c r="N86" s="170"/>
      <c r="O86" s="170"/>
      <c r="P86" s="170"/>
      <c r="Q86" s="170"/>
    </row>
    <row r="87" spans="13:17" ht="12.75">
      <c r="M87" s="170"/>
      <c r="N87" s="170"/>
      <c r="O87" s="170"/>
      <c r="P87" s="170"/>
      <c r="Q87" s="170"/>
    </row>
    <row r="88" spans="13:17" ht="12.75">
      <c r="M88" s="170"/>
      <c r="N88" s="170"/>
      <c r="O88" s="170"/>
      <c r="P88" s="170"/>
      <c r="Q88" s="170"/>
    </row>
    <row r="89" spans="13:17" ht="12.75">
      <c r="M89" s="170"/>
      <c r="N89" s="170"/>
      <c r="O89" s="170"/>
      <c r="P89" s="170"/>
      <c r="Q89" s="170"/>
    </row>
    <row r="90" spans="13:17" ht="12.75">
      <c r="M90" s="170"/>
      <c r="N90" s="170"/>
      <c r="O90" s="170"/>
      <c r="P90" s="170"/>
      <c r="Q90" s="170"/>
    </row>
    <row r="91" spans="13:17" ht="12.75">
      <c r="M91" s="170"/>
      <c r="N91" s="170"/>
      <c r="O91" s="170"/>
      <c r="P91" s="170"/>
      <c r="Q91" s="170"/>
    </row>
    <row r="92" spans="13:17" ht="12.75">
      <c r="M92" s="170"/>
      <c r="N92" s="170"/>
      <c r="O92" s="170"/>
      <c r="P92" s="170"/>
      <c r="Q92" s="170"/>
    </row>
    <row r="93" spans="13:17" ht="12.75">
      <c r="M93" s="170"/>
      <c r="N93" s="170"/>
      <c r="O93" s="170"/>
      <c r="P93" s="170"/>
      <c r="Q93" s="170"/>
    </row>
    <row r="94" spans="13:17" ht="12.75">
      <c r="M94" s="170"/>
      <c r="N94" s="170"/>
      <c r="O94" s="170"/>
      <c r="P94" s="170"/>
      <c r="Q94" s="170"/>
    </row>
    <row r="95" spans="13:17" ht="12.75">
      <c r="M95" s="170"/>
      <c r="N95" s="170"/>
      <c r="O95" s="170"/>
      <c r="P95" s="170"/>
      <c r="Q95" s="170"/>
    </row>
    <row r="96" spans="13:17" ht="12.75">
      <c r="M96" s="170"/>
      <c r="N96" s="170"/>
      <c r="O96" s="170"/>
      <c r="P96" s="170"/>
      <c r="Q96" s="170"/>
    </row>
    <row r="97" spans="13:17" ht="12.75">
      <c r="M97" s="170"/>
      <c r="N97" s="170"/>
      <c r="O97" s="170"/>
      <c r="P97" s="170"/>
      <c r="Q97" s="170"/>
    </row>
    <row r="98" spans="13:17" ht="12.75">
      <c r="M98" s="170"/>
      <c r="N98" s="170"/>
      <c r="O98" s="170"/>
      <c r="P98" s="170"/>
      <c r="Q98" s="170"/>
    </row>
    <row r="99" spans="13:17" ht="12.75">
      <c r="M99" s="170"/>
      <c r="N99" s="170"/>
      <c r="O99" s="170"/>
      <c r="P99" s="170"/>
      <c r="Q99" s="170"/>
    </row>
    <row r="100" spans="13:17" ht="12.75">
      <c r="M100" s="170"/>
      <c r="N100" s="170"/>
      <c r="O100" s="170"/>
      <c r="P100" s="170"/>
      <c r="Q100" s="170"/>
    </row>
    <row r="101" spans="13:17" ht="12.75">
      <c r="M101" s="170"/>
      <c r="N101" s="170"/>
      <c r="O101" s="170"/>
      <c r="P101" s="170"/>
      <c r="Q101" s="170"/>
    </row>
    <row r="102" spans="13:17" ht="12.75">
      <c r="M102" s="170"/>
      <c r="N102" s="170"/>
      <c r="O102" s="170"/>
      <c r="P102" s="170"/>
      <c r="Q102" s="170"/>
    </row>
    <row r="103" spans="13:17" ht="12.75">
      <c r="M103" s="170"/>
      <c r="N103" s="170"/>
      <c r="O103" s="170"/>
      <c r="P103" s="170"/>
      <c r="Q103" s="170"/>
    </row>
    <row r="104" spans="13:17" ht="12.75">
      <c r="M104" s="170"/>
      <c r="N104" s="170"/>
      <c r="O104" s="170"/>
      <c r="P104" s="170"/>
      <c r="Q104" s="170"/>
    </row>
    <row r="105" spans="13:17" ht="12.75">
      <c r="M105" s="170"/>
      <c r="N105" s="170"/>
      <c r="O105" s="170"/>
      <c r="P105" s="170"/>
      <c r="Q105" s="170"/>
    </row>
    <row r="106" spans="13:17" ht="12.75">
      <c r="M106" s="170"/>
      <c r="N106" s="170"/>
      <c r="O106" s="170"/>
      <c r="P106" s="170"/>
      <c r="Q106" s="170"/>
    </row>
    <row r="107" spans="13:17" ht="12.75">
      <c r="M107" s="170"/>
      <c r="N107" s="170"/>
      <c r="O107" s="170"/>
      <c r="P107" s="170"/>
      <c r="Q107" s="170"/>
    </row>
    <row r="108" spans="13:17" ht="12.75">
      <c r="M108" s="170"/>
      <c r="N108" s="170"/>
      <c r="O108" s="170"/>
      <c r="P108" s="170"/>
      <c r="Q108" s="170"/>
    </row>
    <row r="109" spans="13:17" ht="12.75">
      <c r="M109" s="170"/>
      <c r="N109" s="170"/>
      <c r="O109" s="170"/>
      <c r="P109" s="170"/>
      <c r="Q109" s="170"/>
    </row>
    <row r="110" spans="13:17" ht="12.75">
      <c r="M110" s="170"/>
      <c r="N110" s="170"/>
      <c r="O110" s="170"/>
      <c r="P110" s="170"/>
      <c r="Q110" s="170"/>
    </row>
    <row r="111" spans="13:17" ht="12.75">
      <c r="M111" s="170"/>
      <c r="N111" s="170"/>
      <c r="O111" s="170"/>
      <c r="P111" s="170"/>
      <c r="Q111" s="170"/>
    </row>
    <row r="112" spans="13:17" ht="12.75">
      <c r="M112" s="170"/>
      <c r="N112" s="170"/>
      <c r="O112" s="170"/>
      <c r="P112" s="170"/>
      <c r="Q112" s="170"/>
    </row>
    <row r="113" spans="13:17" ht="12.75">
      <c r="M113" s="170"/>
      <c r="N113" s="170"/>
      <c r="O113" s="170"/>
      <c r="P113" s="170"/>
      <c r="Q113" s="170"/>
    </row>
    <row r="114" spans="13:17" ht="12.75">
      <c r="M114" s="170"/>
      <c r="N114" s="170"/>
      <c r="O114" s="170"/>
      <c r="P114" s="170"/>
      <c r="Q114" s="170"/>
    </row>
    <row r="115" spans="13:17" ht="12.75">
      <c r="M115" s="170"/>
      <c r="N115" s="170"/>
      <c r="O115" s="170"/>
      <c r="P115" s="170"/>
      <c r="Q115" s="170"/>
    </row>
    <row r="116" spans="13:17" ht="12.75">
      <c r="M116" s="170"/>
      <c r="N116" s="170"/>
      <c r="O116" s="170"/>
      <c r="P116" s="170"/>
      <c r="Q116" s="170"/>
    </row>
    <row r="117" spans="13:17" ht="12.75">
      <c r="M117" s="170"/>
      <c r="N117" s="170"/>
      <c r="O117" s="170"/>
      <c r="P117" s="170"/>
      <c r="Q117" s="170"/>
    </row>
    <row r="118" spans="13:17" ht="12.75">
      <c r="M118" s="170"/>
      <c r="N118" s="170"/>
      <c r="O118" s="170"/>
      <c r="P118" s="170"/>
      <c r="Q118" s="170"/>
    </row>
    <row r="119" spans="13:17" ht="12.75">
      <c r="M119" s="170"/>
      <c r="N119" s="170"/>
      <c r="O119" s="170"/>
      <c r="P119" s="170"/>
      <c r="Q119" s="170"/>
    </row>
    <row r="120" spans="13:17" ht="12.75">
      <c r="M120" s="170"/>
      <c r="N120" s="170"/>
      <c r="O120" s="170"/>
      <c r="P120" s="170"/>
      <c r="Q120" s="170"/>
    </row>
    <row r="121" spans="13:17" ht="12.75">
      <c r="M121" s="170"/>
      <c r="N121" s="170"/>
      <c r="O121" s="170"/>
      <c r="P121" s="170"/>
      <c r="Q121" s="170"/>
    </row>
    <row r="122" spans="13:17" ht="12.75">
      <c r="M122" s="170"/>
      <c r="N122" s="170"/>
      <c r="O122" s="170"/>
      <c r="P122" s="170"/>
      <c r="Q122" s="170"/>
    </row>
    <row r="123" spans="13:17" ht="12.75">
      <c r="M123" s="170"/>
      <c r="N123" s="170"/>
      <c r="O123" s="170"/>
      <c r="P123" s="170"/>
      <c r="Q123" s="170"/>
    </row>
    <row r="124" spans="13:17" ht="12.75">
      <c r="M124" s="170"/>
      <c r="N124" s="170"/>
      <c r="O124" s="170"/>
      <c r="P124" s="170"/>
      <c r="Q124" s="170"/>
    </row>
    <row r="125" spans="13:17" ht="12.75">
      <c r="M125" s="170"/>
      <c r="N125" s="170"/>
      <c r="O125" s="170"/>
      <c r="P125" s="170"/>
      <c r="Q125" s="170"/>
    </row>
    <row r="126" spans="13:17" ht="12.75">
      <c r="M126" s="170"/>
      <c r="N126" s="170"/>
      <c r="O126" s="170"/>
      <c r="P126" s="170"/>
      <c r="Q126" s="170"/>
    </row>
    <row r="127" spans="13:17" ht="12.75">
      <c r="M127" s="170"/>
      <c r="N127" s="170"/>
      <c r="O127" s="170"/>
      <c r="P127" s="170"/>
      <c r="Q127" s="170"/>
    </row>
    <row r="128" spans="13:17" ht="12.75">
      <c r="M128" s="170"/>
      <c r="N128" s="170"/>
      <c r="O128" s="170"/>
      <c r="P128" s="170"/>
      <c r="Q128" s="170"/>
    </row>
    <row r="129" spans="13:17" ht="12.75">
      <c r="M129" s="170"/>
      <c r="N129" s="170"/>
      <c r="O129" s="170"/>
      <c r="P129" s="170"/>
      <c r="Q129" s="170"/>
    </row>
    <row r="130" spans="13:17" ht="12.75">
      <c r="M130" s="170"/>
      <c r="N130" s="170"/>
      <c r="O130" s="170"/>
      <c r="P130" s="170"/>
      <c r="Q130" s="170"/>
    </row>
    <row r="131" spans="13:17" ht="12.75">
      <c r="M131" s="170"/>
      <c r="N131" s="170"/>
      <c r="O131" s="170"/>
      <c r="P131" s="170"/>
      <c r="Q131" s="170"/>
    </row>
    <row r="132" spans="13:17" ht="12.75">
      <c r="M132" s="170"/>
      <c r="N132" s="170"/>
      <c r="O132" s="170"/>
      <c r="P132" s="170"/>
      <c r="Q132" s="170"/>
    </row>
    <row r="133" spans="13:17" ht="12.75">
      <c r="M133" s="170"/>
      <c r="N133" s="170"/>
      <c r="O133" s="170"/>
      <c r="P133" s="170"/>
      <c r="Q133" s="170"/>
    </row>
    <row r="134" spans="13:17" ht="12.75">
      <c r="M134" s="170"/>
      <c r="N134" s="170"/>
      <c r="O134" s="170"/>
      <c r="P134" s="170"/>
      <c r="Q134" s="170"/>
    </row>
    <row r="135" spans="13:17" ht="12.75">
      <c r="M135" s="170"/>
      <c r="N135" s="170"/>
      <c r="O135" s="170"/>
      <c r="P135" s="170"/>
      <c r="Q135" s="170"/>
    </row>
    <row r="136" spans="13:17" ht="12.75">
      <c r="M136" s="170"/>
      <c r="N136" s="170"/>
      <c r="O136" s="170"/>
      <c r="P136" s="170"/>
      <c r="Q136" s="170"/>
    </row>
    <row r="137" spans="13:17" ht="12.75">
      <c r="M137" s="170"/>
      <c r="N137" s="170"/>
      <c r="O137" s="170"/>
      <c r="P137" s="170"/>
      <c r="Q137" s="170"/>
    </row>
    <row r="138" spans="13:17" ht="12.75">
      <c r="M138" s="170"/>
      <c r="N138" s="170"/>
      <c r="O138" s="170"/>
      <c r="P138" s="170"/>
      <c r="Q138" s="170"/>
    </row>
    <row r="139" spans="13:17" ht="12.75">
      <c r="M139" s="170"/>
      <c r="N139" s="170"/>
      <c r="O139" s="170"/>
      <c r="P139" s="170"/>
      <c r="Q139" s="170"/>
    </row>
    <row r="140" spans="13:17" ht="12.75">
      <c r="M140" s="170"/>
      <c r="N140" s="170"/>
      <c r="O140" s="170"/>
      <c r="P140" s="170"/>
      <c r="Q140" s="170"/>
    </row>
    <row r="141" spans="13:17" ht="12.75">
      <c r="M141" s="170"/>
      <c r="N141" s="170"/>
      <c r="O141" s="170"/>
      <c r="P141" s="170"/>
      <c r="Q141" s="170"/>
    </row>
    <row r="142" spans="13:17" ht="12.75">
      <c r="M142" s="170"/>
      <c r="N142" s="170"/>
      <c r="O142" s="170"/>
      <c r="P142" s="170"/>
      <c r="Q142" s="170"/>
    </row>
    <row r="143" spans="13:17" ht="12.75">
      <c r="M143" s="170"/>
      <c r="N143" s="170"/>
      <c r="O143" s="170"/>
      <c r="P143" s="170"/>
      <c r="Q143" s="170"/>
    </row>
    <row r="144" spans="13:17" ht="12.75">
      <c r="M144" s="170"/>
      <c r="N144" s="170"/>
      <c r="O144" s="170"/>
      <c r="P144" s="170"/>
      <c r="Q144" s="170"/>
    </row>
    <row r="145" spans="13:17" ht="12.75">
      <c r="M145" s="170"/>
      <c r="N145" s="170"/>
      <c r="O145" s="170"/>
      <c r="P145" s="170"/>
      <c r="Q145" s="170"/>
    </row>
    <row r="146" spans="13:17" ht="12.75">
      <c r="M146" s="170"/>
      <c r="N146" s="170"/>
      <c r="O146" s="170"/>
      <c r="P146" s="170"/>
      <c r="Q146" s="170"/>
    </row>
    <row r="147" spans="13:17" ht="12.75">
      <c r="M147" s="170"/>
      <c r="N147" s="170"/>
      <c r="O147" s="170"/>
      <c r="P147" s="170"/>
      <c r="Q147" s="170"/>
    </row>
    <row r="148" spans="13:17" ht="12.75">
      <c r="M148" s="170"/>
      <c r="N148" s="170"/>
      <c r="O148" s="170"/>
      <c r="P148" s="170"/>
      <c r="Q148" s="170"/>
    </row>
    <row r="149" spans="13:17" ht="12.75">
      <c r="M149" s="170"/>
      <c r="N149" s="170"/>
      <c r="O149" s="170"/>
      <c r="P149" s="170"/>
      <c r="Q149" s="170"/>
    </row>
    <row r="150" spans="13:17" ht="12.75">
      <c r="M150" s="170"/>
      <c r="N150" s="170"/>
      <c r="O150" s="170"/>
      <c r="P150" s="170"/>
      <c r="Q150" s="170"/>
    </row>
    <row r="151" spans="13:17" ht="12.75">
      <c r="M151" s="170"/>
      <c r="N151" s="170"/>
      <c r="O151" s="170"/>
      <c r="P151" s="170"/>
      <c r="Q151" s="170"/>
    </row>
    <row r="152" spans="13:17" ht="12.75">
      <c r="M152" s="170"/>
      <c r="N152" s="170"/>
      <c r="O152" s="170"/>
      <c r="P152" s="170"/>
      <c r="Q152" s="170"/>
    </row>
    <row r="153" spans="13:17" ht="12.75">
      <c r="M153" s="170"/>
      <c r="N153" s="170"/>
      <c r="O153" s="170"/>
      <c r="P153" s="170"/>
      <c r="Q153" s="170"/>
    </row>
    <row r="154" spans="13:17" ht="12.75">
      <c r="M154" s="170"/>
      <c r="N154" s="170"/>
      <c r="O154" s="170"/>
      <c r="P154" s="170"/>
      <c r="Q154" s="170"/>
    </row>
    <row r="155" spans="13:17" ht="12.75">
      <c r="M155" s="170"/>
      <c r="N155" s="170"/>
      <c r="O155" s="170"/>
      <c r="P155" s="170"/>
      <c r="Q155" s="170"/>
    </row>
    <row r="156" spans="13:17" ht="12.75">
      <c r="M156" s="170"/>
      <c r="N156" s="170"/>
      <c r="O156" s="170"/>
      <c r="P156" s="170"/>
      <c r="Q156" s="170"/>
    </row>
    <row r="157" spans="13:17" ht="12.75">
      <c r="M157" s="170"/>
      <c r="N157" s="170"/>
      <c r="O157" s="170"/>
      <c r="P157" s="170"/>
      <c r="Q157" s="170"/>
    </row>
    <row r="158" spans="13:17" ht="12.75">
      <c r="M158" s="170"/>
      <c r="N158" s="170"/>
      <c r="O158" s="170"/>
      <c r="P158" s="170"/>
      <c r="Q158" s="170"/>
    </row>
    <row r="159" spans="13:17" ht="12.75">
      <c r="M159" s="170"/>
      <c r="N159" s="170"/>
      <c r="O159" s="170"/>
      <c r="P159" s="170"/>
      <c r="Q159" s="170"/>
    </row>
    <row r="160" spans="13:17" ht="12.75">
      <c r="M160" s="170"/>
      <c r="N160" s="170"/>
      <c r="O160" s="170"/>
      <c r="P160" s="170"/>
      <c r="Q160" s="170"/>
    </row>
    <row r="161" spans="13:17" ht="12.75">
      <c r="M161" s="170"/>
      <c r="N161" s="170"/>
      <c r="O161" s="170"/>
      <c r="P161" s="170"/>
      <c r="Q161" s="170"/>
    </row>
    <row r="162" spans="13:17" ht="12.75">
      <c r="M162" s="170"/>
      <c r="N162" s="170"/>
      <c r="O162" s="170"/>
      <c r="P162" s="170"/>
      <c r="Q162" s="170"/>
    </row>
    <row r="163" spans="13:17" ht="12.75">
      <c r="M163" s="170"/>
      <c r="N163" s="170"/>
      <c r="O163" s="170"/>
      <c r="P163" s="170"/>
      <c r="Q163" s="170"/>
    </row>
    <row r="164" spans="13:17" ht="12.75">
      <c r="M164" s="170"/>
      <c r="N164" s="170"/>
      <c r="O164" s="170"/>
      <c r="P164" s="170"/>
      <c r="Q164" s="170"/>
    </row>
    <row r="165" spans="13:17" ht="12.75">
      <c r="M165" s="170"/>
      <c r="N165" s="170"/>
      <c r="O165" s="170"/>
      <c r="P165" s="170"/>
      <c r="Q165" s="170"/>
    </row>
    <row r="166" spans="13:17" ht="12.75">
      <c r="M166" s="170"/>
      <c r="N166" s="170"/>
      <c r="O166" s="170"/>
      <c r="P166" s="170"/>
      <c r="Q166" s="170"/>
    </row>
    <row r="167" spans="13:17" ht="12.75">
      <c r="M167" s="170"/>
      <c r="N167" s="170"/>
      <c r="O167" s="170"/>
      <c r="P167" s="170"/>
      <c r="Q167" s="170"/>
    </row>
    <row r="168" spans="13:17" ht="12.75">
      <c r="M168" s="170"/>
      <c r="N168" s="170"/>
      <c r="O168" s="170"/>
      <c r="P168" s="170"/>
      <c r="Q168" s="170"/>
    </row>
    <row r="169" spans="13:17" ht="12.75">
      <c r="M169" s="170"/>
      <c r="N169" s="170"/>
      <c r="O169" s="170"/>
      <c r="P169" s="170"/>
      <c r="Q169" s="170"/>
    </row>
    <row r="170" spans="13:17" ht="12.75">
      <c r="M170" s="170"/>
      <c r="N170" s="170"/>
      <c r="O170" s="170"/>
      <c r="P170" s="170"/>
      <c r="Q170" s="170"/>
    </row>
    <row r="171" spans="13:17" ht="12.75">
      <c r="M171" s="170"/>
      <c r="N171" s="170"/>
      <c r="O171" s="170"/>
      <c r="P171" s="170"/>
      <c r="Q171" s="170"/>
    </row>
    <row r="172" spans="13:17" ht="12.75">
      <c r="M172" s="170"/>
      <c r="N172" s="170"/>
      <c r="O172" s="170"/>
      <c r="P172" s="170"/>
      <c r="Q172" s="170"/>
    </row>
    <row r="173" spans="13:17" ht="12.75">
      <c r="M173" s="170"/>
      <c r="N173" s="170"/>
      <c r="O173" s="170"/>
      <c r="P173" s="170"/>
      <c r="Q173" s="170"/>
    </row>
    <row r="174" spans="13:17" ht="12.75">
      <c r="M174" s="170"/>
      <c r="N174" s="170"/>
      <c r="O174" s="170"/>
      <c r="P174" s="170"/>
      <c r="Q174" s="170"/>
    </row>
    <row r="175" spans="13:17" ht="12.75">
      <c r="M175" s="170"/>
      <c r="N175" s="170"/>
      <c r="O175" s="170"/>
      <c r="P175" s="170"/>
      <c r="Q175" s="170"/>
    </row>
    <row r="176" spans="13:17" ht="12.75">
      <c r="M176" s="170"/>
      <c r="N176" s="170"/>
      <c r="O176" s="170"/>
      <c r="P176" s="170"/>
      <c r="Q176" s="170"/>
    </row>
    <row r="177" spans="13:17" ht="12.75">
      <c r="M177" s="170"/>
      <c r="N177" s="170"/>
      <c r="O177" s="170"/>
      <c r="P177" s="170"/>
      <c r="Q177" s="170"/>
    </row>
    <row r="178" spans="13:17" ht="12.75">
      <c r="M178" s="170"/>
      <c r="N178" s="170"/>
      <c r="O178" s="170"/>
      <c r="P178" s="170"/>
      <c r="Q178" s="170"/>
    </row>
    <row r="179" spans="13:17" ht="12.75">
      <c r="M179" s="170"/>
      <c r="N179" s="170"/>
      <c r="O179" s="170"/>
      <c r="P179" s="170"/>
      <c r="Q179" s="170"/>
    </row>
    <row r="180" spans="13:17" ht="12.75">
      <c r="M180" s="170"/>
      <c r="N180" s="170"/>
      <c r="O180" s="170"/>
      <c r="P180" s="170"/>
      <c r="Q180" s="170"/>
    </row>
    <row r="181" spans="13:17" ht="12.75">
      <c r="M181" s="170"/>
      <c r="N181" s="170"/>
      <c r="O181" s="170"/>
      <c r="P181" s="170"/>
      <c r="Q181" s="170"/>
    </row>
    <row r="182" spans="13:17" ht="12.75">
      <c r="M182" s="170"/>
      <c r="N182" s="170"/>
      <c r="O182" s="170"/>
      <c r="P182" s="170"/>
      <c r="Q182" s="170"/>
    </row>
    <row r="183" spans="13:17" ht="12.75">
      <c r="M183" s="170"/>
      <c r="N183" s="170"/>
      <c r="O183" s="170"/>
      <c r="P183" s="170"/>
      <c r="Q183" s="170"/>
    </row>
    <row r="184" spans="13:17" ht="12.75">
      <c r="M184" s="170"/>
      <c r="N184" s="170"/>
      <c r="O184" s="170"/>
      <c r="P184" s="170"/>
      <c r="Q184" s="170"/>
    </row>
    <row r="185" spans="13:17" ht="12.75">
      <c r="M185" s="170"/>
      <c r="N185" s="170"/>
      <c r="O185" s="170"/>
      <c r="P185" s="170"/>
      <c r="Q185" s="170"/>
    </row>
    <row r="186" spans="13:17" ht="12.75">
      <c r="M186" s="170"/>
      <c r="N186" s="170"/>
      <c r="O186" s="170"/>
      <c r="P186" s="170"/>
      <c r="Q186" s="170"/>
    </row>
    <row r="187" spans="13:17" ht="12.75">
      <c r="M187" s="170"/>
      <c r="N187" s="170"/>
      <c r="O187" s="170"/>
      <c r="P187" s="170"/>
      <c r="Q187" s="170"/>
    </row>
    <row r="188" spans="13:17" ht="12.75">
      <c r="M188" s="170"/>
      <c r="N188" s="170"/>
      <c r="O188" s="170"/>
      <c r="P188" s="170"/>
      <c r="Q188" s="170"/>
    </row>
    <row r="189" spans="13:17" ht="12.75">
      <c r="M189" s="170"/>
      <c r="N189" s="170"/>
      <c r="O189" s="170"/>
      <c r="P189" s="170"/>
      <c r="Q189" s="170"/>
    </row>
    <row r="190" spans="13:17" ht="12.75">
      <c r="M190" s="170"/>
      <c r="N190" s="170"/>
      <c r="O190" s="170"/>
      <c r="P190" s="170"/>
      <c r="Q190" s="170"/>
    </row>
    <row r="191" spans="13:17" ht="12.75">
      <c r="M191" s="170"/>
      <c r="N191" s="170"/>
      <c r="O191" s="170"/>
      <c r="P191" s="170"/>
      <c r="Q191" s="170"/>
    </row>
    <row r="192" spans="13:17" ht="12.75">
      <c r="M192" s="170"/>
      <c r="N192" s="170"/>
      <c r="O192" s="170"/>
      <c r="P192" s="170"/>
      <c r="Q192" s="170"/>
    </row>
    <row r="193" spans="13:17" ht="12.75">
      <c r="M193" s="170"/>
      <c r="N193" s="170"/>
      <c r="O193" s="170"/>
      <c r="P193" s="170"/>
      <c r="Q193" s="170"/>
    </row>
    <row r="194" spans="13:17" ht="12.75">
      <c r="M194" s="170"/>
      <c r="N194" s="170"/>
      <c r="O194" s="170"/>
      <c r="P194" s="170"/>
      <c r="Q194" s="170"/>
    </row>
    <row r="195" spans="13:17" ht="12.75">
      <c r="M195" s="170"/>
      <c r="N195" s="170"/>
      <c r="O195" s="170"/>
      <c r="P195" s="170"/>
      <c r="Q195" s="170"/>
    </row>
    <row r="196" spans="13:17" ht="12.75">
      <c r="M196" s="170"/>
      <c r="N196" s="170"/>
      <c r="O196" s="170"/>
      <c r="P196" s="170"/>
      <c r="Q196" s="170"/>
    </row>
    <row r="197" spans="13:17" ht="12.75">
      <c r="M197" s="170"/>
      <c r="N197" s="170"/>
      <c r="O197" s="170"/>
      <c r="P197" s="170"/>
      <c r="Q197" s="17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8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GL114"/>
  <sheetViews>
    <sheetView zoomScale="50" zoomScaleNormal="50" workbookViewId="0" topLeftCell="A52">
      <selection activeCell="D98" sqref="D97:D98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69"/>
      <c r="V1" s="970"/>
    </row>
    <row r="2" spans="2:22" s="18" customFormat="1" ht="26.25">
      <c r="B2" s="440" t="str">
        <f>+DAG!B2</f>
        <v>ANEXO IV al Memorándum D.T.E.E. N°   366  / 2010          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971"/>
    </row>
    <row r="3" spans="1:22" s="25" customFormat="1" ht="11.25">
      <c r="A3" s="23" t="s">
        <v>1</v>
      </c>
      <c r="B3" s="123"/>
      <c r="U3" s="972"/>
      <c r="V3" s="972"/>
    </row>
    <row r="4" spans="1:22" s="25" customFormat="1" ht="11.25">
      <c r="A4" s="23" t="s">
        <v>2</v>
      </c>
      <c r="B4" s="123"/>
      <c r="U4" s="123"/>
      <c r="V4" s="972"/>
    </row>
    <row r="5" spans="21:22" ht="9.75" customHeight="1">
      <c r="U5" s="22"/>
      <c r="V5" s="970"/>
    </row>
    <row r="6" spans="2:178" s="973" customFormat="1" ht="23.25">
      <c r="B6" s="974" t="s">
        <v>350</v>
      </c>
      <c r="C6" s="974"/>
      <c r="D6" s="975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6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  <c r="BC6" s="974"/>
      <c r="BD6" s="974"/>
      <c r="BE6" s="974"/>
      <c r="BF6" s="974"/>
      <c r="BG6" s="974"/>
      <c r="BH6" s="974"/>
      <c r="BI6" s="974"/>
      <c r="BJ6" s="974"/>
      <c r="BK6" s="974"/>
      <c r="BL6" s="974"/>
      <c r="BM6" s="974"/>
      <c r="BN6" s="974"/>
      <c r="BO6" s="974"/>
      <c r="BP6" s="974"/>
      <c r="BQ6" s="974"/>
      <c r="BR6" s="974"/>
      <c r="BS6" s="974"/>
      <c r="BT6" s="974"/>
      <c r="BU6" s="974"/>
      <c r="BV6" s="974"/>
      <c r="BW6" s="974"/>
      <c r="BX6" s="974"/>
      <c r="BY6" s="974"/>
      <c r="BZ6" s="974"/>
      <c r="CA6" s="974"/>
      <c r="CB6" s="974"/>
      <c r="CC6" s="974"/>
      <c r="CD6" s="974"/>
      <c r="CE6" s="974"/>
      <c r="CF6" s="974"/>
      <c r="CG6" s="974"/>
      <c r="CH6" s="974"/>
      <c r="CI6" s="974"/>
      <c r="CJ6" s="974"/>
      <c r="CK6" s="974"/>
      <c r="CL6" s="974"/>
      <c r="CM6" s="974"/>
      <c r="CN6" s="974"/>
      <c r="CO6" s="974"/>
      <c r="CP6" s="974"/>
      <c r="CQ6" s="974"/>
      <c r="CR6" s="974"/>
      <c r="CS6" s="974"/>
      <c r="CT6" s="974"/>
      <c r="CU6" s="974"/>
      <c r="CV6" s="974"/>
      <c r="CW6" s="974"/>
      <c r="CX6" s="974"/>
      <c r="CY6" s="974"/>
      <c r="CZ6" s="974"/>
      <c r="DA6" s="974"/>
      <c r="DB6" s="974"/>
      <c r="DC6" s="974"/>
      <c r="DD6" s="974"/>
      <c r="DE6" s="974"/>
      <c r="DF6" s="974"/>
      <c r="DG6" s="974"/>
      <c r="DH6" s="974"/>
      <c r="DI6" s="974"/>
      <c r="DJ6" s="974"/>
      <c r="DK6" s="974"/>
      <c r="DL6" s="974"/>
      <c r="DM6" s="974"/>
      <c r="DN6" s="974"/>
      <c r="DO6" s="974"/>
      <c r="DP6" s="974"/>
      <c r="DQ6" s="974"/>
      <c r="DR6" s="974"/>
      <c r="DS6" s="974"/>
      <c r="DT6" s="974"/>
      <c r="DU6" s="974"/>
      <c r="DV6" s="974"/>
      <c r="DW6" s="974"/>
      <c r="DX6" s="974"/>
      <c r="DY6" s="974"/>
      <c r="DZ6" s="974"/>
      <c r="EA6" s="974"/>
      <c r="EB6" s="974"/>
      <c r="EC6" s="974"/>
      <c r="ED6" s="974"/>
      <c r="EE6" s="974"/>
      <c r="EF6" s="974"/>
      <c r="EG6" s="974"/>
      <c r="EH6" s="974"/>
      <c r="EI6" s="974"/>
      <c r="EJ6" s="974"/>
      <c r="EK6" s="974"/>
      <c r="EL6" s="974"/>
      <c r="EM6" s="974"/>
      <c r="EN6" s="974"/>
      <c r="EO6" s="974"/>
      <c r="EP6" s="974"/>
      <c r="EQ6" s="974"/>
      <c r="ER6" s="974"/>
      <c r="ES6" s="974"/>
      <c r="ET6" s="974"/>
      <c r="EU6" s="974"/>
      <c r="EV6" s="974"/>
      <c r="EW6" s="974"/>
      <c r="EX6" s="974"/>
      <c r="EY6" s="974"/>
      <c r="EZ6" s="974"/>
      <c r="FA6" s="974"/>
      <c r="FB6" s="974"/>
      <c r="FC6" s="974"/>
      <c r="FD6" s="974"/>
      <c r="FE6" s="974"/>
      <c r="FF6" s="974"/>
      <c r="FG6" s="974"/>
      <c r="FH6" s="974"/>
      <c r="FI6" s="974"/>
      <c r="FJ6" s="974"/>
      <c r="FK6" s="974"/>
      <c r="FL6" s="974"/>
      <c r="FM6" s="974"/>
      <c r="FN6" s="974"/>
      <c r="FO6" s="974"/>
      <c r="FP6" s="974"/>
      <c r="FQ6" s="974"/>
      <c r="FR6" s="974"/>
      <c r="FS6" s="974"/>
      <c r="FT6" s="974"/>
      <c r="FU6" s="974"/>
      <c r="FV6" s="974"/>
    </row>
    <row r="7" spans="2:178" s="32" customFormat="1" ht="9.75" customHeight="1"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965"/>
      <c r="V7" s="965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49"/>
      <c r="AZ7" s="749"/>
      <c r="BA7" s="749"/>
      <c r="BB7" s="749"/>
      <c r="BC7" s="749"/>
      <c r="BD7" s="749"/>
      <c r="BE7" s="749"/>
      <c r="BF7" s="749"/>
      <c r="BG7" s="749"/>
      <c r="BH7" s="749"/>
      <c r="BI7" s="749"/>
      <c r="BJ7" s="749"/>
      <c r="BK7" s="749"/>
      <c r="BL7" s="749"/>
      <c r="BM7" s="749"/>
      <c r="BN7" s="749"/>
      <c r="BO7" s="749"/>
      <c r="BP7" s="749"/>
      <c r="BQ7" s="749"/>
      <c r="BR7" s="749"/>
      <c r="BS7" s="749"/>
      <c r="BT7" s="749"/>
      <c r="BU7" s="749"/>
      <c r="BV7" s="749"/>
      <c r="BW7" s="749"/>
      <c r="BX7" s="749"/>
      <c r="BY7" s="749"/>
      <c r="BZ7" s="749"/>
      <c r="CA7" s="749"/>
      <c r="CB7" s="749"/>
      <c r="CC7" s="749"/>
      <c r="CD7" s="749"/>
      <c r="CE7" s="749"/>
      <c r="CF7" s="749"/>
      <c r="CG7" s="749"/>
      <c r="CH7" s="749"/>
      <c r="CI7" s="749"/>
      <c r="CJ7" s="749"/>
      <c r="CK7" s="749"/>
      <c r="CL7" s="749"/>
      <c r="CM7" s="749"/>
      <c r="CN7" s="749"/>
      <c r="CO7" s="749"/>
      <c r="CP7" s="749"/>
      <c r="CQ7" s="749"/>
      <c r="CR7" s="749"/>
      <c r="CS7" s="749"/>
      <c r="CT7" s="749"/>
      <c r="CU7" s="749"/>
      <c r="CV7" s="749"/>
      <c r="CW7" s="749"/>
      <c r="CX7" s="749"/>
      <c r="CY7" s="749"/>
      <c r="CZ7" s="749"/>
      <c r="DA7" s="749"/>
      <c r="DB7" s="749"/>
      <c r="DC7" s="749"/>
      <c r="DD7" s="749"/>
      <c r="DE7" s="749"/>
      <c r="DF7" s="749"/>
      <c r="DG7" s="749"/>
      <c r="DH7" s="749"/>
      <c r="DI7" s="749"/>
      <c r="DJ7" s="749"/>
      <c r="DK7" s="749"/>
      <c r="DL7" s="749"/>
      <c r="DM7" s="749"/>
      <c r="DN7" s="749"/>
      <c r="DO7" s="749"/>
      <c r="DP7" s="749"/>
      <c r="DQ7" s="749"/>
      <c r="DR7" s="749"/>
      <c r="DS7" s="749"/>
      <c r="DT7" s="749"/>
      <c r="DU7" s="749"/>
      <c r="DV7" s="749"/>
      <c r="DW7" s="749"/>
      <c r="DX7" s="749"/>
      <c r="DY7" s="749"/>
      <c r="DZ7" s="749"/>
      <c r="EA7" s="749"/>
      <c r="EB7" s="749"/>
      <c r="EC7" s="749"/>
      <c r="ED7" s="749"/>
      <c r="EE7" s="749"/>
      <c r="EF7" s="749"/>
      <c r="EG7" s="749"/>
      <c r="EH7" s="749"/>
      <c r="EI7" s="749"/>
      <c r="EJ7" s="749"/>
      <c r="EK7" s="749"/>
      <c r="EL7" s="749"/>
      <c r="EM7" s="749"/>
      <c r="EN7" s="749"/>
      <c r="EO7" s="749"/>
      <c r="EP7" s="749"/>
      <c r="EQ7" s="749"/>
      <c r="ER7" s="749"/>
      <c r="ES7" s="749"/>
      <c r="ET7" s="749"/>
      <c r="EU7" s="749"/>
      <c r="EV7" s="749"/>
      <c r="EW7" s="749"/>
      <c r="EX7" s="749"/>
      <c r="EY7" s="749"/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</row>
    <row r="8" spans="2:178" s="977" customFormat="1" ht="23.25">
      <c r="B8" s="974" t="s">
        <v>60</v>
      </c>
      <c r="C8" s="975"/>
      <c r="D8" s="975"/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8"/>
      <c r="W8" s="975"/>
      <c r="X8" s="975"/>
      <c r="Y8" s="975"/>
      <c r="Z8" s="975"/>
      <c r="AA8" s="975"/>
      <c r="AB8" s="975"/>
      <c r="AC8" s="975"/>
      <c r="AD8" s="975"/>
      <c r="AE8" s="975"/>
      <c r="AF8" s="975"/>
      <c r="AG8" s="975"/>
      <c r="AH8" s="975"/>
      <c r="AI8" s="975"/>
      <c r="AJ8" s="975"/>
      <c r="AK8" s="975"/>
      <c r="AL8" s="975"/>
      <c r="AM8" s="975"/>
      <c r="AN8" s="975"/>
      <c r="AO8" s="975"/>
      <c r="AP8" s="975"/>
      <c r="AQ8" s="975"/>
      <c r="AR8" s="975"/>
      <c r="AS8" s="975"/>
      <c r="AT8" s="975"/>
      <c r="AU8" s="975"/>
      <c r="AV8" s="975"/>
      <c r="AW8" s="975"/>
      <c r="AX8" s="975"/>
      <c r="AY8" s="975"/>
      <c r="AZ8" s="975"/>
      <c r="BA8" s="975"/>
      <c r="BB8" s="975"/>
      <c r="BC8" s="975"/>
      <c r="BD8" s="975"/>
      <c r="BE8" s="975"/>
      <c r="BF8" s="975"/>
      <c r="BG8" s="975"/>
      <c r="BH8" s="975"/>
      <c r="BI8" s="975"/>
      <c r="BJ8" s="975"/>
      <c r="BK8" s="975"/>
      <c r="BL8" s="975"/>
      <c r="BM8" s="975"/>
      <c r="BN8" s="975"/>
      <c r="BO8" s="975"/>
      <c r="BP8" s="975"/>
      <c r="BQ8" s="975"/>
      <c r="BR8" s="975"/>
      <c r="BS8" s="975"/>
      <c r="BT8" s="975"/>
      <c r="BU8" s="975"/>
      <c r="BV8" s="975"/>
      <c r="BW8" s="975"/>
      <c r="BX8" s="975"/>
      <c r="BY8" s="975"/>
      <c r="BZ8" s="975"/>
      <c r="CA8" s="975"/>
      <c r="CB8" s="975"/>
      <c r="CC8" s="975"/>
      <c r="CD8" s="975"/>
      <c r="CE8" s="975"/>
      <c r="CF8" s="975"/>
      <c r="CG8" s="975"/>
      <c r="CH8" s="975"/>
      <c r="CI8" s="975"/>
      <c r="CJ8" s="975"/>
      <c r="CK8" s="975"/>
      <c r="CL8" s="975"/>
      <c r="CM8" s="975"/>
      <c r="CN8" s="975"/>
      <c r="CO8" s="975"/>
      <c r="CP8" s="975"/>
      <c r="CQ8" s="975"/>
      <c r="CR8" s="975"/>
      <c r="CS8" s="975"/>
      <c r="CT8" s="975"/>
      <c r="CU8" s="975"/>
      <c r="CV8" s="975"/>
      <c r="CW8" s="975"/>
      <c r="CX8" s="975"/>
      <c r="CY8" s="975"/>
      <c r="CZ8" s="975"/>
      <c r="DA8" s="975"/>
      <c r="DB8" s="975"/>
      <c r="DC8" s="975"/>
      <c r="DD8" s="975"/>
      <c r="DE8" s="975"/>
      <c r="DF8" s="975"/>
      <c r="DG8" s="975"/>
      <c r="DH8" s="975"/>
      <c r="DI8" s="975"/>
      <c r="DJ8" s="975"/>
      <c r="DK8" s="975"/>
      <c r="DL8" s="975"/>
      <c r="DM8" s="975"/>
      <c r="DN8" s="975"/>
      <c r="DO8" s="975"/>
      <c r="DP8" s="975"/>
      <c r="DQ8" s="975"/>
      <c r="DR8" s="975"/>
      <c r="DS8" s="975"/>
      <c r="DT8" s="975"/>
      <c r="DU8" s="975"/>
      <c r="DV8" s="975"/>
      <c r="DW8" s="975"/>
      <c r="DX8" s="975"/>
      <c r="DY8" s="975"/>
      <c r="DZ8" s="975"/>
      <c r="EA8" s="975"/>
      <c r="EB8" s="975"/>
      <c r="EC8" s="975"/>
      <c r="ED8" s="975"/>
      <c r="EE8" s="975"/>
      <c r="EF8" s="975"/>
      <c r="EG8" s="975"/>
      <c r="EH8" s="975"/>
      <c r="EI8" s="975"/>
      <c r="EJ8" s="975"/>
      <c r="EK8" s="975"/>
      <c r="EL8" s="975"/>
      <c r="EM8" s="975"/>
      <c r="EN8" s="975"/>
      <c r="EO8" s="975"/>
      <c r="EP8" s="975"/>
      <c r="EQ8" s="975"/>
      <c r="ER8" s="975"/>
      <c r="ES8" s="975"/>
      <c r="ET8" s="975"/>
      <c r="EU8" s="975"/>
      <c r="EV8" s="975"/>
      <c r="EW8" s="975"/>
      <c r="EX8" s="975"/>
      <c r="EY8" s="975"/>
      <c r="EZ8" s="975"/>
      <c r="FA8" s="975"/>
      <c r="FB8" s="975"/>
      <c r="FC8" s="975"/>
      <c r="FD8" s="975"/>
      <c r="FE8" s="975"/>
      <c r="FF8" s="975"/>
      <c r="FG8" s="975"/>
      <c r="FH8" s="975"/>
      <c r="FI8" s="975"/>
      <c r="FJ8" s="975"/>
      <c r="FK8" s="975"/>
      <c r="FL8" s="975"/>
      <c r="FM8" s="975"/>
      <c r="FN8" s="975"/>
      <c r="FO8" s="975"/>
      <c r="FP8" s="975"/>
      <c r="FQ8" s="975"/>
      <c r="FR8" s="975"/>
      <c r="FS8" s="975"/>
      <c r="FT8" s="975"/>
      <c r="FU8" s="975"/>
      <c r="FV8" s="975"/>
    </row>
    <row r="9" spans="2:178" s="32" customFormat="1" ht="9.75" customHeight="1"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965"/>
      <c r="V9" s="965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  <c r="BI9" s="749"/>
      <c r="BJ9" s="749"/>
      <c r="BK9" s="749"/>
      <c r="BL9" s="749"/>
      <c r="BM9" s="749"/>
      <c r="BN9" s="749"/>
      <c r="BO9" s="749"/>
      <c r="BP9" s="749"/>
      <c r="BQ9" s="749"/>
      <c r="BR9" s="749"/>
      <c r="BS9" s="749"/>
      <c r="BT9" s="749"/>
      <c r="BU9" s="749"/>
      <c r="BV9" s="749"/>
      <c r="BW9" s="749"/>
      <c r="BX9" s="749"/>
      <c r="BY9" s="749"/>
      <c r="BZ9" s="749"/>
      <c r="CA9" s="749"/>
      <c r="CB9" s="749"/>
      <c r="CC9" s="749"/>
      <c r="CD9" s="749"/>
      <c r="CE9" s="749"/>
      <c r="CF9" s="749"/>
      <c r="CG9" s="749"/>
      <c r="CH9" s="749"/>
      <c r="CI9" s="749"/>
      <c r="CJ9" s="749"/>
      <c r="CK9" s="749"/>
      <c r="CL9" s="749"/>
      <c r="CM9" s="749"/>
      <c r="CN9" s="749"/>
      <c r="CO9" s="749"/>
      <c r="CP9" s="749"/>
      <c r="CQ9" s="749"/>
      <c r="CR9" s="749"/>
      <c r="CS9" s="749"/>
      <c r="CT9" s="749"/>
      <c r="CU9" s="749"/>
      <c r="CV9" s="749"/>
      <c r="CW9" s="749"/>
      <c r="CX9" s="749"/>
      <c r="CY9" s="749"/>
      <c r="CZ9" s="749"/>
      <c r="DA9" s="749"/>
      <c r="DB9" s="749"/>
      <c r="DC9" s="749"/>
      <c r="DD9" s="749"/>
      <c r="DE9" s="749"/>
      <c r="DF9" s="749"/>
      <c r="DG9" s="749"/>
      <c r="DH9" s="749"/>
      <c r="DI9" s="749"/>
      <c r="DJ9" s="749"/>
      <c r="DK9" s="749"/>
      <c r="DL9" s="749"/>
      <c r="DM9" s="749"/>
      <c r="DN9" s="749"/>
      <c r="DO9" s="749"/>
      <c r="DP9" s="749"/>
      <c r="DQ9" s="749"/>
      <c r="DR9" s="749"/>
      <c r="DS9" s="749"/>
      <c r="DT9" s="749"/>
      <c r="DU9" s="749"/>
      <c r="DV9" s="749"/>
      <c r="DW9" s="749"/>
      <c r="DX9" s="749"/>
      <c r="DY9" s="749"/>
      <c r="DZ9" s="749"/>
      <c r="EA9" s="749"/>
      <c r="EB9" s="749"/>
      <c r="EC9" s="749"/>
      <c r="ED9" s="749"/>
      <c r="EE9" s="749"/>
      <c r="EF9" s="749"/>
      <c r="EG9" s="749"/>
      <c r="EH9" s="749"/>
      <c r="EI9" s="749"/>
      <c r="EJ9" s="749"/>
      <c r="EK9" s="749"/>
      <c r="EL9" s="749"/>
      <c r="EM9" s="749"/>
      <c r="EN9" s="749"/>
      <c r="EO9" s="749"/>
      <c r="EP9" s="749"/>
      <c r="EQ9" s="749"/>
      <c r="ER9" s="749"/>
      <c r="ES9" s="749"/>
      <c r="ET9" s="749"/>
      <c r="EU9" s="749"/>
      <c r="EV9" s="749"/>
      <c r="EW9" s="749"/>
      <c r="EX9" s="749"/>
      <c r="EY9" s="749"/>
      <c r="EZ9" s="749"/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</row>
    <row r="10" spans="2:178" s="977" customFormat="1" ht="23.25">
      <c r="B10" s="974" t="s">
        <v>351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8"/>
      <c r="W10" s="975"/>
      <c r="X10" s="975"/>
      <c r="Y10" s="975"/>
      <c r="Z10" s="975"/>
      <c r="AA10" s="975"/>
      <c r="AB10" s="975"/>
      <c r="AC10" s="975"/>
      <c r="AD10" s="975"/>
      <c r="AE10" s="975"/>
      <c r="AF10" s="975"/>
      <c r="AG10" s="975"/>
      <c r="AH10" s="975"/>
      <c r="AI10" s="975"/>
      <c r="AJ10" s="975"/>
      <c r="AK10" s="975"/>
      <c r="AL10" s="975"/>
      <c r="AM10" s="975"/>
      <c r="AN10" s="975"/>
      <c r="AO10" s="975"/>
      <c r="AP10" s="975"/>
      <c r="AQ10" s="975"/>
      <c r="AR10" s="975"/>
      <c r="AS10" s="975"/>
      <c r="AT10" s="975"/>
      <c r="AU10" s="975"/>
      <c r="AV10" s="975"/>
      <c r="AW10" s="975"/>
      <c r="AX10" s="975"/>
      <c r="AY10" s="975"/>
      <c r="AZ10" s="975"/>
      <c r="BA10" s="975"/>
      <c r="BB10" s="975"/>
      <c r="BC10" s="975"/>
      <c r="BD10" s="975"/>
      <c r="BE10" s="975"/>
      <c r="BF10" s="975"/>
      <c r="BG10" s="975"/>
      <c r="BH10" s="975"/>
      <c r="BI10" s="975"/>
      <c r="BJ10" s="975"/>
      <c r="BK10" s="975"/>
      <c r="BL10" s="975"/>
      <c r="BM10" s="975"/>
      <c r="BN10" s="975"/>
      <c r="BO10" s="975"/>
      <c r="BP10" s="975"/>
      <c r="BQ10" s="975"/>
      <c r="BR10" s="975"/>
      <c r="BS10" s="975"/>
      <c r="BT10" s="975"/>
      <c r="BU10" s="975"/>
      <c r="BV10" s="975"/>
      <c r="BW10" s="975"/>
      <c r="BX10" s="975"/>
      <c r="BY10" s="975"/>
      <c r="BZ10" s="975"/>
      <c r="CA10" s="975"/>
      <c r="CB10" s="975"/>
      <c r="CC10" s="975"/>
      <c r="CD10" s="975"/>
      <c r="CE10" s="975"/>
      <c r="CF10" s="975"/>
      <c r="CG10" s="975"/>
      <c r="CH10" s="975"/>
      <c r="CI10" s="975"/>
      <c r="CJ10" s="975"/>
      <c r="CK10" s="975"/>
      <c r="CL10" s="975"/>
      <c r="CM10" s="975"/>
      <c r="CN10" s="975"/>
      <c r="CO10" s="975"/>
      <c r="CP10" s="975"/>
      <c r="CQ10" s="975"/>
      <c r="CR10" s="975"/>
      <c r="CS10" s="975"/>
      <c r="CT10" s="975"/>
      <c r="CU10" s="975"/>
      <c r="CV10" s="975"/>
      <c r="CW10" s="975"/>
      <c r="CX10" s="975"/>
      <c r="CY10" s="975"/>
      <c r="CZ10" s="975"/>
      <c r="DA10" s="975"/>
      <c r="DB10" s="975"/>
      <c r="DC10" s="975"/>
      <c r="DD10" s="975"/>
      <c r="DE10" s="975"/>
      <c r="DF10" s="975"/>
      <c r="DG10" s="975"/>
      <c r="DH10" s="975"/>
      <c r="DI10" s="975"/>
      <c r="DJ10" s="975"/>
      <c r="DK10" s="975"/>
      <c r="DL10" s="975"/>
      <c r="DM10" s="975"/>
      <c r="DN10" s="975"/>
      <c r="DO10" s="975"/>
      <c r="DP10" s="975"/>
      <c r="DQ10" s="975"/>
      <c r="DR10" s="975"/>
      <c r="DS10" s="975"/>
      <c r="DT10" s="975"/>
      <c r="DU10" s="975"/>
      <c r="DV10" s="975"/>
      <c r="DW10" s="975"/>
      <c r="DX10" s="975"/>
      <c r="DY10" s="975"/>
      <c r="DZ10" s="975"/>
      <c r="EA10" s="975"/>
      <c r="EB10" s="975"/>
      <c r="EC10" s="975"/>
      <c r="ED10" s="975"/>
      <c r="EE10" s="975"/>
      <c r="EF10" s="975"/>
      <c r="EG10" s="975"/>
      <c r="EH10" s="975"/>
      <c r="EI10" s="975"/>
      <c r="EJ10" s="975"/>
      <c r="EK10" s="975"/>
      <c r="EL10" s="975"/>
      <c r="EM10" s="975"/>
      <c r="EN10" s="975"/>
      <c r="EO10" s="975"/>
      <c r="EP10" s="975"/>
      <c r="EQ10" s="975"/>
      <c r="ER10" s="975"/>
      <c r="ES10" s="975"/>
      <c r="ET10" s="975"/>
      <c r="EU10" s="975"/>
      <c r="EV10" s="975"/>
      <c r="EW10" s="975"/>
      <c r="EX10" s="975"/>
      <c r="EY10" s="975"/>
      <c r="EZ10" s="975"/>
      <c r="FA10" s="975"/>
      <c r="FB10" s="975"/>
      <c r="FC10" s="975"/>
      <c r="FD10" s="975"/>
      <c r="FE10" s="975"/>
      <c r="FF10" s="975"/>
      <c r="FG10" s="975"/>
      <c r="FH10" s="975"/>
      <c r="FI10" s="975"/>
      <c r="FJ10" s="975"/>
      <c r="FK10" s="975"/>
      <c r="FL10" s="975"/>
      <c r="FM10" s="975"/>
      <c r="FN10" s="975"/>
      <c r="FO10" s="975"/>
      <c r="FP10" s="975"/>
      <c r="FQ10" s="975"/>
      <c r="FR10" s="975"/>
      <c r="FS10" s="975"/>
      <c r="FT10" s="975"/>
      <c r="FU10" s="975"/>
      <c r="FV10" s="975"/>
    </row>
    <row r="11" spans="2:178" s="32" customFormat="1" ht="9.75" customHeight="1" thickBot="1">
      <c r="B11" s="749"/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965"/>
      <c r="V11" s="965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  <c r="BI11" s="749"/>
      <c r="BJ11" s="749"/>
      <c r="BK11" s="749"/>
      <c r="BL11" s="749"/>
      <c r="BM11" s="749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49"/>
      <c r="CE11" s="749"/>
      <c r="CF11" s="749"/>
      <c r="CG11" s="749"/>
      <c r="CH11" s="749"/>
      <c r="CI11" s="749"/>
      <c r="CJ11" s="749"/>
      <c r="CK11" s="749"/>
      <c r="CL11" s="749"/>
      <c r="CM11" s="749"/>
      <c r="CN11" s="749"/>
      <c r="CO11" s="749"/>
      <c r="CP11" s="749"/>
      <c r="CQ11" s="749"/>
      <c r="CR11" s="749"/>
      <c r="CS11" s="749"/>
      <c r="CT11" s="749"/>
      <c r="CU11" s="749"/>
      <c r="CV11" s="749"/>
      <c r="CW11" s="749"/>
      <c r="CX11" s="749"/>
      <c r="CY11" s="749"/>
      <c r="CZ11" s="749"/>
      <c r="DA11" s="749"/>
      <c r="DB11" s="749"/>
      <c r="DC11" s="749"/>
      <c r="DD11" s="749"/>
      <c r="DE11" s="749"/>
      <c r="DF11" s="749"/>
      <c r="DG11" s="749"/>
      <c r="DH11" s="749"/>
      <c r="DI11" s="749"/>
      <c r="DJ11" s="749"/>
      <c r="DK11" s="749"/>
      <c r="DL11" s="749"/>
      <c r="DM11" s="749"/>
      <c r="DN11" s="749"/>
      <c r="DO11" s="749"/>
      <c r="DP11" s="749"/>
      <c r="DQ11" s="749"/>
      <c r="DR11" s="749"/>
      <c r="DS11" s="749"/>
      <c r="DT11" s="749"/>
      <c r="DU11" s="749"/>
      <c r="DV11" s="749"/>
      <c r="DW11" s="749"/>
      <c r="DX11" s="749"/>
      <c r="DY11" s="749"/>
      <c r="DZ11" s="749"/>
      <c r="EA11" s="749"/>
      <c r="EB11" s="749"/>
      <c r="EC11" s="749"/>
      <c r="ED11" s="749"/>
      <c r="EE11" s="749"/>
      <c r="EF11" s="749"/>
      <c r="EG11" s="749"/>
      <c r="EH11" s="749"/>
      <c r="EI11" s="749"/>
      <c r="EJ11" s="749"/>
      <c r="EK11" s="749"/>
      <c r="EL11" s="749"/>
      <c r="EM11" s="749"/>
      <c r="EN11" s="749"/>
      <c r="EO11" s="749"/>
      <c r="EP11" s="749"/>
      <c r="EQ11" s="749"/>
      <c r="ER11" s="749"/>
      <c r="ES11" s="749"/>
      <c r="ET11" s="749"/>
      <c r="EU11" s="749"/>
      <c r="EV11" s="749"/>
      <c r="EW11" s="749"/>
      <c r="EX11" s="749"/>
      <c r="EY11" s="749"/>
      <c r="EZ11" s="749"/>
      <c r="FA11" s="749"/>
      <c r="FB11" s="749"/>
      <c r="FC11" s="749"/>
      <c r="FD11" s="749"/>
      <c r="FE11" s="749"/>
      <c r="FF11" s="749"/>
      <c r="FG11" s="749"/>
      <c r="FH11" s="749"/>
      <c r="FI11" s="749"/>
      <c r="FJ11" s="749"/>
      <c r="FK11" s="749"/>
      <c r="FL11" s="749"/>
      <c r="FM11" s="749"/>
      <c r="FN11" s="749"/>
      <c r="FO11" s="749"/>
      <c r="FP11" s="749"/>
      <c r="FQ11" s="749"/>
      <c r="FR11" s="749"/>
      <c r="FS11" s="749"/>
      <c r="FT11" s="749"/>
      <c r="FU11" s="749"/>
      <c r="FV11" s="749"/>
    </row>
    <row r="12" spans="2:177" s="32" customFormat="1" ht="9.75" customHeight="1" thickTop="1">
      <c r="B12" s="979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1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  <c r="BI12" s="749"/>
      <c r="BJ12" s="749"/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/>
      <c r="BV12" s="749"/>
      <c r="BW12" s="749"/>
      <c r="BX12" s="749"/>
      <c r="BY12" s="749"/>
      <c r="BZ12" s="749"/>
      <c r="CA12" s="749"/>
      <c r="CB12" s="749"/>
      <c r="CC12" s="749"/>
      <c r="CD12" s="749"/>
      <c r="CE12" s="749"/>
      <c r="CF12" s="749"/>
      <c r="CG12" s="749"/>
      <c r="CH12" s="749"/>
      <c r="CI12" s="749"/>
      <c r="CJ12" s="749"/>
      <c r="CK12" s="749"/>
      <c r="CL12" s="749"/>
      <c r="CM12" s="749"/>
      <c r="CN12" s="749"/>
      <c r="CO12" s="749"/>
      <c r="CP12" s="749"/>
      <c r="CQ12" s="749"/>
      <c r="CR12" s="749"/>
      <c r="CS12" s="749"/>
      <c r="CT12" s="749"/>
      <c r="CU12" s="749"/>
      <c r="CV12" s="749"/>
      <c r="CW12" s="749"/>
      <c r="CX12" s="749"/>
      <c r="CY12" s="749"/>
      <c r="CZ12" s="749"/>
      <c r="DA12" s="749"/>
      <c r="DB12" s="749"/>
      <c r="DC12" s="749"/>
      <c r="DD12" s="749"/>
      <c r="DE12" s="749"/>
      <c r="DF12" s="749"/>
      <c r="DG12" s="749"/>
      <c r="DH12" s="749"/>
      <c r="DI12" s="749"/>
      <c r="DJ12" s="749"/>
      <c r="DK12" s="749"/>
      <c r="DL12" s="749"/>
      <c r="DM12" s="749"/>
      <c r="DN12" s="749"/>
      <c r="DO12" s="749"/>
      <c r="DP12" s="749"/>
      <c r="DQ12" s="749"/>
      <c r="DR12" s="749"/>
      <c r="DS12" s="749"/>
      <c r="DT12" s="749"/>
      <c r="DU12" s="749"/>
      <c r="DV12" s="749"/>
      <c r="DW12" s="749"/>
      <c r="DX12" s="749"/>
      <c r="DY12" s="749"/>
      <c r="DZ12" s="749"/>
      <c r="EA12" s="749"/>
      <c r="EB12" s="749"/>
      <c r="EC12" s="749"/>
      <c r="ED12" s="749"/>
      <c r="EE12" s="749"/>
      <c r="EF12" s="749"/>
      <c r="EG12" s="749"/>
      <c r="EH12" s="749"/>
      <c r="EI12" s="749"/>
      <c r="EJ12" s="749"/>
      <c r="EK12" s="749"/>
      <c r="EL12" s="749"/>
      <c r="EM12" s="749"/>
      <c r="EN12" s="749"/>
      <c r="EO12" s="749"/>
      <c r="EP12" s="749"/>
      <c r="EQ12" s="749"/>
      <c r="ER12" s="749"/>
      <c r="ES12" s="749"/>
      <c r="ET12" s="749"/>
      <c r="EU12" s="749"/>
      <c r="EV12" s="749"/>
      <c r="EW12" s="749"/>
      <c r="EX12" s="749"/>
      <c r="EY12" s="749"/>
      <c r="EZ12" s="749"/>
      <c r="FA12" s="749"/>
      <c r="FB12" s="749"/>
      <c r="FC12" s="749"/>
      <c r="FD12" s="74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</row>
    <row r="13" spans="2:177" s="32" customFormat="1" ht="19.5">
      <c r="B13" s="37" t="s">
        <v>352</v>
      </c>
      <c r="C13" s="982"/>
      <c r="D13" s="982"/>
      <c r="E13" s="982"/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3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49"/>
      <c r="BA13" s="749"/>
      <c r="BB13" s="749"/>
      <c r="BC13" s="749"/>
      <c r="BD13" s="749"/>
      <c r="BE13" s="749"/>
      <c r="BF13" s="749"/>
      <c r="BG13" s="749"/>
      <c r="BH13" s="749"/>
      <c r="BI13" s="749"/>
      <c r="BJ13" s="749"/>
      <c r="BK13" s="749"/>
      <c r="BL13" s="749"/>
      <c r="BM13" s="749"/>
      <c r="BN13" s="749"/>
      <c r="BO13" s="749"/>
      <c r="BP13" s="749"/>
      <c r="BQ13" s="749"/>
      <c r="BR13" s="749"/>
      <c r="BS13" s="749"/>
      <c r="BT13" s="749"/>
      <c r="BU13" s="749"/>
      <c r="BV13" s="749"/>
      <c r="BW13" s="749"/>
      <c r="BX13" s="749"/>
      <c r="BY13" s="749"/>
      <c r="BZ13" s="749"/>
      <c r="CA13" s="749"/>
      <c r="CB13" s="749"/>
      <c r="CC13" s="749"/>
      <c r="CD13" s="749"/>
      <c r="CE13" s="749"/>
      <c r="CF13" s="749"/>
      <c r="CG13" s="749"/>
      <c r="CH13" s="749"/>
      <c r="CI13" s="749"/>
      <c r="CJ13" s="749"/>
      <c r="CK13" s="749"/>
      <c r="CL13" s="749"/>
      <c r="CM13" s="749"/>
      <c r="CN13" s="749"/>
      <c r="CO13" s="749"/>
      <c r="CP13" s="749"/>
      <c r="CQ13" s="749"/>
      <c r="CR13" s="749"/>
      <c r="CS13" s="749"/>
      <c r="CT13" s="749"/>
      <c r="CU13" s="749"/>
      <c r="CV13" s="749"/>
      <c r="CW13" s="749"/>
      <c r="CX13" s="749"/>
      <c r="CY13" s="749"/>
      <c r="CZ13" s="749"/>
      <c r="DA13" s="749"/>
      <c r="DB13" s="749"/>
      <c r="DC13" s="749"/>
      <c r="DD13" s="749"/>
      <c r="DE13" s="749"/>
      <c r="DF13" s="749"/>
      <c r="DG13" s="749"/>
      <c r="DH13" s="749"/>
      <c r="DI13" s="749"/>
      <c r="DJ13" s="749"/>
      <c r="DK13" s="749"/>
      <c r="DL13" s="749"/>
      <c r="DM13" s="749"/>
      <c r="DN13" s="749"/>
      <c r="DO13" s="749"/>
      <c r="DP13" s="749"/>
      <c r="DQ13" s="749"/>
      <c r="DR13" s="749"/>
      <c r="DS13" s="749"/>
      <c r="DT13" s="749"/>
      <c r="DU13" s="749"/>
      <c r="DV13" s="749"/>
      <c r="DW13" s="749"/>
      <c r="DX13" s="749"/>
      <c r="DY13" s="749"/>
      <c r="DZ13" s="749"/>
      <c r="EA13" s="749"/>
      <c r="EB13" s="749"/>
      <c r="EC13" s="749"/>
      <c r="ED13" s="749"/>
      <c r="EE13" s="749"/>
      <c r="EF13" s="749"/>
      <c r="EG13" s="749"/>
      <c r="EH13" s="749"/>
      <c r="EI13" s="749"/>
      <c r="EJ13" s="749"/>
      <c r="EK13" s="749"/>
      <c r="EL13" s="749"/>
      <c r="EM13" s="749"/>
      <c r="EN13" s="749"/>
      <c r="EO13" s="749"/>
      <c r="EP13" s="749"/>
      <c r="EQ13" s="749"/>
      <c r="ER13" s="749"/>
      <c r="ES13" s="749"/>
      <c r="ET13" s="749"/>
      <c r="EU13" s="749"/>
      <c r="EV13" s="749"/>
      <c r="EW13" s="749"/>
      <c r="EX13" s="749"/>
      <c r="EY13" s="749"/>
      <c r="EZ13" s="749"/>
      <c r="FA13" s="749"/>
      <c r="FB13" s="749"/>
      <c r="FC13" s="749"/>
      <c r="FD13" s="749"/>
      <c r="FE13" s="749"/>
      <c r="FF13" s="749"/>
      <c r="FG13" s="749"/>
      <c r="FH13" s="749"/>
      <c r="FI13" s="749"/>
      <c r="FJ13" s="749"/>
      <c r="FK13" s="749"/>
      <c r="FL13" s="749"/>
      <c r="FM13" s="749"/>
      <c r="FN13" s="749"/>
      <c r="FO13" s="749"/>
      <c r="FP13" s="749"/>
      <c r="FQ13" s="749"/>
      <c r="FR13" s="749"/>
      <c r="FS13" s="749"/>
      <c r="FT13" s="749"/>
      <c r="FU13" s="749"/>
    </row>
    <row r="14" spans="2:21" s="32" customFormat="1" ht="9.75" customHeight="1" thickBot="1">
      <c r="B14" s="65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84"/>
    </row>
    <row r="15" spans="2:21" s="985" customFormat="1" ht="33.75" customHeight="1" thickBot="1" thickTop="1">
      <c r="B15" s="986"/>
      <c r="C15" s="84"/>
      <c r="D15" s="84" t="s">
        <v>0</v>
      </c>
      <c r="E15" s="131" t="s">
        <v>13</v>
      </c>
      <c r="F15" s="131" t="s">
        <v>14</v>
      </c>
      <c r="G15" s="987" t="s">
        <v>353</v>
      </c>
      <c r="H15" s="987">
        <v>39326</v>
      </c>
      <c r="I15" s="987">
        <v>39356</v>
      </c>
      <c r="J15" s="987">
        <v>39387</v>
      </c>
      <c r="K15" s="987">
        <v>39417</v>
      </c>
      <c r="L15" s="987">
        <v>39448</v>
      </c>
      <c r="M15" s="987">
        <v>39479</v>
      </c>
      <c r="N15" s="987">
        <v>39508</v>
      </c>
      <c r="O15" s="987">
        <v>39539</v>
      </c>
      <c r="P15" s="987">
        <v>39569</v>
      </c>
      <c r="Q15" s="987">
        <v>39600</v>
      </c>
      <c r="R15" s="987">
        <v>39630</v>
      </c>
      <c r="S15" s="987">
        <v>39661</v>
      </c>
      <c r="T15" s="987">
        <v>39692</v>
      </c>
      <c r="U15" s="988"/>
    </row>
    <row r="16" spans="2:21" s="989" customFormat="1" ht="9.75" customHeight="1" thickTop="1">
      <c r="B16" s="990"/>
      <c r="C16" s="991"/>
      <c r="D16" s="992"/>
      <c r="E16" s="992"/>
      <c r="F16" s="992"/>
      <c r="G16" s="992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4"/>
      <c r="U16" s="995"/>
    </row>
    <row r="17" spans="2:21" s="989" customFormat="1" ht="19.5" customHeight="1">
      <c r="B17" s="990"/>
      <c r="C17" s="996">
        <f>IF('[2]BASE'!C17=0,"",'[2]BASE'!C17)</f>
        <v>1</v>
      </c>
      <c r="D17" s="996" t="str">
        <f>IF('[2]BASE'!D17=0,"",'[2]BASE'!D17)</f>
        <v>ABASTO - OLAVARRIA 1</v>
      </c>
      <c r="E17" s="996">
        <f>IF('[2]BASE'!E17=0,"",'[2]BASE'!E17)</f>
        <v>500</v>
      </c>
      <c r="F17" s="996">
        <f>IF('[2]BASE'!F17=0,"",'[2]BASE'!F17)</f>
        <v>291</v>
      </c>
      <c r="G17" s="997" t="str">
        <f>IF('[2]BASE'!G17=0,"",'[2]BASE'!G17)</f>
        <v>B</v>
      </c>
      <c r="H17" s="998">
        <f>IF('[2]BASE'!FQ17=0,"",'[2]BASE'!FQ17)</f>
      </c>
      <c r="I17" s="998">
        <f>IF('[2]BASE'!FR17=0,"",'[2]BASE'!FR17)</f>
      </c>
      <c r="J17" s="998">
        <f>IF('[2]BASE'!FS17=0,"",'[2]BASE'!FS17)</f>
      </c>
      <c r="K17" s="998">
        <f>IF('[2]BASE'!FT17=0,"",'[2]BASE'!FT17)</f>
      </c>
      <c r="L17" s="998">
        <f>IF('[2]BASE'!FU17=0,"",'[2]BASE'!FU17)</f>
      </c>
      <c r="M17" s="998">
        <f>IF('[2]BASE'!FV17=0,"",'[2]BASE'!FV17)</f>
      </c>
      <c r="N17" s="998">
        <f>IF('[2]BASE'!FW17=0,"",'[2]BASE'!FW17)</f>
      </c>
      <c r="O17" s="998">
        <f>IF('[2]BASE'!FX17=0,"",'[2]BASE'!FX17)</f>
      </c>
      <c r="P17" s="998">
        <f>IF('[2]BASE'!FY17=0,"",'[2]BASE'!FY17)</f>
      </c>
      <c r="Q17" s="998">
        <f>IF('[2]BASE'!FZ17=0,"",'[2]BASE'!FZ17)</f>
      </c>
      <c r="R17" s="998">
        <f>IF('[2]BASE'!GA17=0,"",'[2]BASE'!GA17)</f>
      </c>
      <c r="S17" s="998">
        <f>IF('[2]BASE'!GB17=0,"",'[2]BASE'!GB17)</f>
      </c>
      <c r="T17" s="999"/>
      <c r="U17" s="995"/>
    </row>
    <row r="18" spans="2:21" s="989" customFormat="1" ht="19.5" customHeight="1">
      <c r="B18" s="990"/>
      <c r="C18" s="1000">
        <f>IF('[2]BASE'!C18=0,"",'[2]BASE'!C18)</f>
        <v>2</v>
      </c>
      <c r="D18" s="1000" t="str">
        <f>IF('[2]BASE'!D18=0,"",'[2]BASE'!D18)</f>
        <v>ABASTO - OLAVARRIA 2</v>
      </c>
      <c r="E18" s="1000">
        <f>IF('[2]BASE'!E18=0,"",'[2]BASE'!E18)</f>
        <v>500</v>
      </c>
      <c r="F18" s="1000">
        <f>IF('[2]BASE'!F18=0,"",'[2]BASE'!F18)</f>
        <v>301.9</v>
      </c>
      <c r="G18" s="1001">
        <f>IF('[2]BASE'!G18=0,"",'[2]BASE'!G18)</f>
      </c>
      <c r="H18" s="998">
        <f>IF('[2]BASE'!FQ18=0,"",'[2]BASE'!FQ18)</f>
      </c>
      <c r="I18" s="998">
        <f>IF('[2]BASE'!FR18=0,"",'[2]BASE'!FR18)</f>
      </c>
      <c r="J18" s="998">
        <f>IF('[2]BASE'!FS18=0,"",'[2]BASE'!FS18)</f>
      </c>
      <c r="K18" s="998">
        <f>IF('[2]BASE'!FT18=0,"",'[2]BASE'!FT18)</f>
      </c>
      <c r="L18" s="998">
        <f>IF('[2]BASE'!FU18=0,"",'[2]BASE'!FU18)</f>
      </c>
      <c r="M18" s="998">
        <f>IF('[2]BASE'!FV18=0,"",'[2]BASE'!FV18)</f>
      </c>
      <c r="N18" s="998">
        <f>IF('[2]BASE'!FW18=0,"",'[2]BASE'!FW18)</f>
      </c>
      <c r="O18" s="998">
        <f>IF('[2]BASE'!FX18=0,"",'[2]BASE'!FX18)</f>
      </c>
      <c r="P18" s="998">
        <f>IF('[2]BASE'!FY18=0,"",'[2]BASE'!FY18)</f>
      </c>
      <c r="Q18" s="998">
        <f>IF('[2]BASE'!FZ18=0,"",'[2]BASE'!FZ18)</f>
      </c>
      <c r="R18" s="998">
        <f>IF('[2]BASE'!GA18=0,"",'[2]BASE'!GA18)</f>
      </c>
      <c r="S18" s="998">
        <f>IF('[2]BASE'!GB18=0,"",'[2]BASE'!GB18)</f>
      </c>
      <c r="T18" s="999"/>
      <c r="U18" s="995"/>
    </row>
    <row r="19" spans="2:21" s="989" customFormat="1" ht="19.5" customHeight="1">
      <c r="B19" s="990"/>
      <c r="C19" s="1002">
        <f>IF('[2]BASE'!C19=0,"",'[2]BASE'!C19)</f>
        <v>3</v>
      </c>
      <c r="D19" s="1002" t="str">
        <f>IF('[2]BASE'!D19=0,"",'[2]BASE'!D19)</f>
        <v>AGUA DEL CAJON - CHOCON OESTE</v>
      </c>
      <c r="E19" s="1002">
        <f>IF('[2]BASE'!E19=0,"",'[2]BASE'!E19)</f>
        <v>500</v>
      </c>
      <c r="F19" s="1002">
        <f>IF('[2]BASE'!F19=0,"",'[2]BASE'!F19)</f>
        <v>52</v>
      </c>
      <c r="G19" s="1003">
        <f>IF('[2]BASE'!G19=0,"",'[2]BASE'!G19)</f>
      </c>
      <c r="H19" s="998">
        <f>IF('[2]BASE'!FQ19=0,"",'[2]BASE'!FQ19)</f>
      </c>
      <c r="I19" s="998">
        <f>IF('[2]BASE'!FR19=0,"",'[2]BASE'!FR19)</f>
      </c>
      <c r="J19" s="998">
        <f>IF('[2]BASE'!FS19=0,"",'[2]BASE'!FS19)</f>
      </c>
      <c r="K19" s="998">
        <f>IF('[2]BASE'!FT19=0,"",'[2]BASE'!FT19)</f>
      </c>
      <c r="L19" s="998">
        <f>IF('[2]BASE'!FU19=0,"",'[2]BASE'!FU19)</f>
      </c>
      <c r="M19" s="998">
        <f>IF('[2]BASE'!FV19=0,"",'[2]BASE'!FV19)</f>
      </c>
      <c r="N19" s="998">
        <f>IF('[2]BASE'!FW19=0,"",'[2]BASE'!FW19)</f>
      </c>
      <c r="O19" s="998">
        <f>IF('[2]BASE'!FX19=0,"",'[2]BASE'!FX19)</f>
      </c>
      <c r="P19" s="998">
        <f>IF('[2]BASE'!FY19=0,"",'[2]BASE'!FY19)</f>
      </c>
      <c r="Q19" s="998">
        <f>IF('[2]BASE'!FZ19=0,"",'[2]BASE'!FZ19)</f>
      </c>
      <c r="R19" s="998">
        <f>IF('[2]BASE'!GA19=0,"",'[2]BASE'!GA19)</f>
      </c>
      <c r="S19" s="998">
        <f>IF('[2]BASE'!GB19=0,"",'[2]BASE'!GB19)</f>
      </c>
      <c r="T19" s="999"/>
      <c r="U19" s="995"/>
    </row>
    <row r="20" spans="2:21" s="989" customFormat="1" ht="19.5" customHeight="1">
      <c r="B20" s="990"/>
      <c r="C20" s="1000">
        <f>IF('[2]BASE'!C20=0,"",'[2]BASE'!C20)</f>
        <v>4</v>
      </c>
      <c r="D20" s="1000" t="str">
        <f>IF('[2]BASE'!D20=0,"",'[2]BASE'!D20)</f>
        <v>ALICURA - E.T. P.del A. 1 (5LG1)</v>
      </c>
      <c r="E20" s="1000">
        <f>IF('[2]BASE'!E20=0,"",'[2]BASE'!E20)</f>
        <v>500</v>
      </c>
      <c r="F20" s="1000">
        <f>IF('[2]BASE'!F20=0,"",'[2]BASE'!F20)</f>
        <v>76</v>
      </c>
      <c r="G20" s="1001" t="str">
        <f>IF('[2]BASE'!G20=0,"",'[2]BASE'!G20)</f>
        <v>C</v>
      </c>
      <c r="H20" s="998">
        <f>IF('[2]BASE'!FQ20=0,"",'[2]BASE'!FQ20)</f>
      </c>
      <c r="I20" s="998">
        <f>IF('[2]BASE'!FR20=0,"",'[2]BASE'!FR20)</f>
      </c>
      <c r="J20" s="998">
        <f>IF('[2]BASE'!FS20=0,"",'[2]BASE'!FS20)</f>
      </c>
      <c r="K20" s="998">
        <f>IF('[2]BASE'!FT20=0,"",'[2]BASE'!FT20)</f>
        <v>1</v>
      </c>
      <c r="L20" s="998">
        <f>IF('[2]BASE'!FU20=0,"",'[2]BASE'!FU20)</f>
      </c>
      <c r="M20" s="998">
        <f>IF('[2]BASE'!FV20=0,"",'[2]BASE'!FV20)</f>
      </c>
      <c r="N20" s="998">
        <f>IF('[2]BASE'!FW20=0,"",'[2]BASE'!FW20)</f>
      </c>
      <c r="O20" s="998">
        <f>IF('[2]BASE'!FX20=0,"",'[2]BASE'!FX20)</f>
      </c>
      <c r="P20" s="998">
        <f>IF('[2]BASE'!FY20=0,"",'[2]BASE'!FY20)</f>
      </c>
      <c r="Q20" s="998">
        <f>IF('[2]BASE'!FZ20=0,"",'[2]BASE'!FZ20)</f>
      </c>
      <c r="R20" s="998">
        <f>IF('[2]BASE'!GA20=0,"",'[2]BASE'!GA20)</f>
      </c>
      <c r="S20" s="998">
        <f>IF('[2]BASE'!GB20=0,"",'[2]BASE'!GB20)</f>
      </c>
      <c r="T20" s="999"/>
      <c r="U20" s="995"/>
    </row>
    <row r="21" spans="2:21" s="989" customFormat="1" ht="19.5" customHeight="1">
      <c r="B21" s="990"/>
      <c r="C21" s="1002">
        <f>IF('[2]BASE'!C21=0,"",'[2]BASE'!C21)</f>
        <v>5</v>
      </c>
      <c r="D21" s="1002" t="str">
        <f>IF('[2]BASE'!D21=0,"",'[2]BASE'!D21)</f>
        <v>ALICURA - E.T. P.del A. 2 (5LG2)</v>
      </c>
      <c r="E21" s="1002">
        <f>IF('[2]BASE'!E21=0,"",'[2]BASE'!E21)</f>
        <v>500</v>
      </c>
      <c r="F21" s="1002">
        <f>IF('[2]BASE'!F21=0,"",'[2]BASE'!F21)</f>
        <v>76</v>
      </c>
      <c r="G21" s="1003" t="str">
        <f>IF('[2]BASE'!G21=0,"",'[2]BASE'!G21)</f>
        <v>C</v>
      </c>
      <c r="H21" s="998">
        <f>IF('[2]BASE'!FQ21=0,"",'[2]BASE'!FQ21)</f>
      </c>
      <c r="I21" s="998">
        <f>IF('[2]BASE'!FR21=0,"",'[2]BASE'!FR21)</f>
      </c>
      <c r="J21" s="998">
        <f>IF('[2]BASE'!FS21=0,"",'[2]BASE'!FS21)</f>
      </c>
      <c r="K21" s="998">
        <f>IF('[2]BASE'!FT21=0,"",'[2]BASE'!FT21)</f>
      </c>
      <c r="L21" s="998">
        <f>IF('[2]BASE'!FU21=0,"",'[2]BASE'!FU21)</f>
      </c>
      <c r="M21" s="998">
        <f>IF('[2]BASE'!FV21=0,"",'[2]BASE'!FV21)</f>
      </c>
      <c r="N21" s="998">
        <f>IF('[2]BASE'!FW21=0,"",'[2]BASE'!FW21)</f>
      </c>
      <c r="O21" s="998">
        <f>IF('[2]BASE'!FX21=0,"",'[2]BASE'!FX21)</f>
      </c>
      <c r="P21" s="998">
        <f>IF('[2]BASE'!FY21=0,"",'[2]BASE'!FY21)</f>
      </c>
      <c r="Q21" s="998">
        <f>IF('[2]BASE'!FZ21=0,"",'[2]BASE'!FZ21)</f>
      </c>
      <c r="R21" s="998">
        <f>IF('[2]BASE'!GA21=0,"",'[2]BASE'!GA21)</f>
      </c>
      <c r="S21" s="998">
        <f>IF('[2]BASE'!GB21=0,"",'[2]BASE'!GB21)</f>
      </c>
      <c r="T21" s="999"/>
      <c r="U21" s="995"/>
    </row>
    <row r="22" spans="2:21" s="989" customFormat="1" ht="19.5" customHeight="1">
      <c r="B22" s="990"/>
      <c r="C22" s="1000">
        <f>IF('[2]BASE'!C22=0,"",'[2]BASE'!C22)</f>
        <v>6</v>
      </c>
      <c r="D22" s="1000" t="str">
        <f>IF('[2]BASE'!D22=0,"",'[2]BASE'!D22)</f>
        <v>ALMAFUERTE - EMBALSE </v>
      </c>
      <c r="E22" s="1000">
        <f>IF('[2]BASE'!E22=0,"",'[2]BASE'!E22)</f>
        <v>500</v>
      </c>
      <c r="F22" s="1000">
        <f>IF('[2]BASE'!F22=0,"",'[2]BASE'!F22)</f>
        <v>12</v>
      </c>
      <c r="G22" s="1001" t="str">
        <f>IF('[2]BASE'!G22=0,"",'[2]BASE'!G22)</f>
        <v>A</v>
      </c>
      <c r="H22" s="998">
        <f>IF('[2]BASE'!FQ22=0,"",'[2]BASE'!FQ22)</f>
      </c>
      <c r="I22" s="998">
        <f>IF('[2]BASE'!FR22=0,"",'[2]BASE'!FR22)</f>
      </c>
      <c r="J22" s="998">
        <f>IF('[2]BASE'!FS22=0,"",'[2]BASE'!FS22)</f>
      </c>
      <c r="K22" s="998">
        <f>IF('[2]BASE'!FT22=0,"",'[2]BASE'!FT22)</f>
      </c>
      <c r="L22" s="998">
        <f>IF('[2]BASE'!FU22=0,"",'[2]BASE'!FU22)</f>
      </c>
      <c r="M22" s="998">
        <f>IF('[2]BASE'!FV22=0,"",'[2]BASE'!FV22)</f>
      </c>
      <c r="N22" s="998">
        <f>IF('[2]BASE'!FW22=0,"",'[2]BASE'!FW22)</f>
      </c>
      <c r="O22" s="998">
        <f>IF('[2]BASE'!FX22=0,"",'[2]BASE'!FX22)</f>
      </c>
      <c r="P22" s="998">
        <f>IF('[2]BASE'!FY22=0,"",'[2]BASE'!FY22)</f>
      </c>
      <c r="Q22" s="998">
        <f>IF('[2]BASE'!FZ22=0,"",'[2]BASE'!FZ22)</f>
      </c>
      <c r="R22" s="998">
        <f>IF('[2]BASE'!GA22=0,"",'[2]BASE'!GA22)</f>
      </c>
      <c r="S22" s="998">
        <f>IF('[2]BASE'!GB22=0,"",'[2]BASE'!GB22)</f>
      </c>
      <c r="T22" s="999"/>
      <c r="U22" s="995"/>
    </row>
    <row r="23" spans="2:21" s="989" customFormat="1" ht="19.5" customHeight="1">
      <c r="B23" s="990"/>
      <c r="C23" s="1002">
        <f>IF('[2]BASE'!C23=0,"",'[2]BASE'!C23)</f>
        <v>7</v>
      </c>
      <c r="D23" s="1002" t="str">
        <f>IF('[2]BASE'!D23=0,"",'[2]BASE'!D23)</f>
        <v> ALMAFUERTE - ROSARIO OESTE</v>
      </c>
      <c r="E23" s="1002">
        <f>IF('[2]BASE'!E23=0,"",'[2]BASE'!E23)</f>
        <v>500</v>
      </c>
      <c r="F23" s="1002">
        <f>IF('[2]BASE'!F23=0,"",'[2]BASE'!F23)</f>
        <v>345</v>
      </c>
      <c r="G23" s="1003" t="str">
        <f>IF('[2]BASE'!G23=0,"",'[2]BASE'!G23)</f>
        <v>B</v>
      </c>
      <c r="H23" s="998">
        <f>IF('[2]BASE'!FQ23=0,"",'[2]BASE'!FQ23)</f>
      </c>
      <c r="I23" s="998">
        <f>IF('[2]BASE'!FR23=0,"",'[2]BASE'!FR23)</f>
      </c>
      <c r="J23" s="998">
        <f>IF('[2]BASE'!FS23=0,"",'[2]BASE'!FS23)</f>
      </c>
      <c r="K23" s="998">
        <f>IF('[2]BASE'!FT23=0,"",'[2]BASE'!FT23)</f>
      </c>
      <c r="L23" s="998">
        <f>IF('[2]BASE'!FU23=0,"",'[2]BASE'!FU23)</f>
      </c>
      <c r="M23" s="998">
        <f>IF('[2]BASE'!FV23=0,"",'[2]BASE'!FV23)</f>
      </c>
      <c r="N23" s="998">
        <f>IF('[2]BASE'!FW23=0,"",'[2]BASE'!FW23)</f>
      </c>
      <c r="O23" s="998">
        <f>IF('[2]BASE'!FX23=0,"",'[2]BASE'!FX23)</f>
      </c>
      <c r="P23" s="998">
        <f>IF('[2]BASE'!FY23=0,"",'[2]BASE'!FY23)</f>
      </c>
      <c r="Q23" s="998">
        <f>IF('[2]BASE'!FZ23=0,"",'[2]BASE'!FZ23)</f>
      </c>
      <c r="R23" s="998">
        <f>IF('[2]BASE'!GA23=0,"",'[2]BASE'!GA23)</f>
        <v>1</v>
      </c>
      <c r="S23" s="998">
        <f>IF('[2]BASE'!GB23=0,"",'[2]BASE'!GB23)</f>
      </c>
      <c r="T23" s="999"/>
      <c r="U23" s="995"/>
    </row>
    <row r="24" spans="2:21" s="989" customFormat="1" ht="19.5" customHeight="1">
      <c r="B24" s="990"/>
      <c r="C24" s="1000">
        <f>IF('[2]BASE'!C24=0,"",'[2]BASE'!C24)</f>
        <v>8</v>
      </c>
      <c r="D24" s="1000" t="str">
        <f>IF('[2]BASE'!D24=0,"",'[2]BASE'!D24)</f>
        <v>BAHIA BLANCA - CHOELE CHOEL 1</v>
      </c>
      <c r="E24" s="1000">
        <f>IF('[2]BASE'!E24=0,"",'[2]BASE'!E24)</f>
        <v>500</v>
      </c>
      <c r="F24" s="1000">
        <f>IF('[2]BASE'!F24=0,"",'[2]BASE'!F24)</f>
        <v>346</v>
      </c>
      <c r="G24" s="1001" t="str">
        <f>IF('[2]BASE'!G24=0,"",'[2]BASE'!G24)</f>
        <v>B</v>
      </c>
      <c r="H24" s="998">
        <f>IF('[2]BASE'!FQ24=0,"",'[2]BASE'!FQ24)</f>
      </c>
      <c r="I24" s="998">
        <f>IF('[2]BASE'!FR24=0,"",'[2]BASE'!FR24)</f>
      </c>
      <c r="J24" s="998">
        <f>IF('[2]BASE'!FS24=0,"",'[2]BASE'!FS24)</f>
        <v>1</v>
      </c>
      <c r="K24" s="998">
        <f>IF('[2]BASE'!FT24=0,"",'[2]BASE'!FT24)</f>
      </c>
      <c r="L24" s="998">
        <f>IF('[2]BASE'!FU24=0,"",'[2]BASE'!FU24)</f>
      </c>
      <c r="M24" s="998">
        <f>IF('[2]BASE'!FV24=0,"",'[2]BASE'!FV24)</f>
      </c>
      <c r="N24" s="998">
        <f>IF('[2]BASE'!FW24=0,"",'[2]BASE'!FW24)</f>
      </c>
      <c r="O24" s="998">
        <f>IF('[2]BASE'!FX24=0,"",'[2]BASE'!FX24)</f>
      </c>
      <c r="P24" s="998">
        <f>IF('[2]BASE'!FY24=0,"",'[2]BASE'!FY24)</f>
      </c>
      <c r="Q24" s="998">
        <f>IF('[2]BASE'!FZ24=0,"",'[2]BASE'!FZ24)</f>
      </c>
      <c r="R24" s="998">
        <f>IF('[2]BASE'!GA24=0,"",'[2]BASE'!GA24)</f>
      </c>
      <c r="S24" s="998">
        <f>IF('[2]BASE'!GB24=0,"",'[2]BASE'!GB24)</f>
      </c>
      <c r="T24" s="999"/>
      <c r="U24" s="995"/>
    </row>
    <row r="25" spans="2:21" s="989" customFormat="1" ht="19.5" customHeight="1">
      <c r="B25" s="990"/>
      <c r="C25" s="1002">
        <f>IF('[2]BASE'!C25=0,"",'[2]BASE'!C25)</f>
        <v>9</v>
      </c>
      <c r="D25" s="1002" t="str">
        <f>IF('[2]BASE'!D25=0,"",'[2]BASE'!D25)</f>
        <v>BAHIA BLANCA - CHOELE CHOEL 2</v>
      </c>
      <c r="E25" s="1002">
        <f>IF('[2]BASE'!E25=0,"",'[2]BASE'!E25)</f>
        <v>500</v>
      </c>
      <c r="F25" s="1002">
        <f>IF('[2]BASE'!F25=0,"",'[2]BASE'!F25)</f>
        <v>348.4</v>
      </c>
      <c r="G25" s="1003">
        <f>IF('[2]BASE'!G25=0,"",'[2]BASE'!G25)</f>
      </c>
      <c r="H25" s="998">
        <f>IF('[2]BASE'!FQ25=0,"",'[2]BASE'!FQ25)</f>
      </c>
      <c r="I25" s="998">
        <f>IF('[2]BASE'!FR25=0,"",'[2]BASE'!FR25)</f>
      </c>
      <c r="J25" s="998">
        <f>IF('[2]BASE'!FS25=0,"",'[2]BASE'!FS25)</f>
      </c>
      <c r="K25" s="998">
        <f>IF('[2]BASE'!FT25=0,"",'[2]BASE'!FT25)</f>
      </c>
      <c r="L25" s="998">
        <f>IF('[2]BASE'!FU25=0,"",'[2]BASE'!FU25)</f>
      </c>
      <c r="M25" s="998">
        <f>IF('[2]BASE'!FV25=0,"",'[2]BASE'!FV25)</f>
      </c>
      <c r="N25" s="998">
        <f>IF('[2]BASE'!FW25=0,"",'[2]BASE'!FW25)</f>
      </c>
      <c r="O25" s="998">
        <f>IF('[2]BASE'!FX25=0,"",'[2]BASE'!FX25)</f>
      </c>
      <c r="P25" s="998">
        <f>IF('[2]BASE'!FY25=0,"",'[2]BASE'!FY25)</f>
      </c>
      <c r="Q25" s="998">
        <f>IF('[2]BASE'!FZ25=0,"",'[2]BASE'!FZ25)</f>
      </c>
      <c r="R25" s="998">
        <f>IF('[2]BASE'!GA25=0,"",'[2]BASE'!GA25)</f>
      </c>
      <c r="S25" s="998">
        <f>IF('[2]BASE'!GB25=0,"",'[2]BASE'!GB25)</f>
      </c>
      <c r="T25" s="999"/>
      <c r="U25" s="995"/>
    </row>
    <row r="26" spans="2:21" s="989" customFormat="1" ht="19.5" customHeight="1">
      <c r="B26" s="990"/>
      <c r="C26" s="1000">
        <f>IF('[2]BASE'!C26=0,"",'[2]BASE'!C26)</f>
        <v>10</v>
      </c>
      <c r="D26" s="1000" t="str">
        <f>IF('[2]BASE'!D26=0,"",'[2]BASE'!D26)</f>
        <v>CERR. de la CTA - P.BAND. (A3)</v>
      </c>
      <c r="E26" s="1000">
        <f>IF('[2]BASE'!E26=0,"",'[2]BASE'!E26)</f>
        <v>500</v>
      </c>
      <c r="F26" s="1000">
        <f>IF('[2]BASE'!F26=0,"",'[2]BASE'!F26)</f>
        <v>27</v>
      </c>
      <c r="G26" s="1001" t="str">
        <f>IF('[2]BASE'!G26=0,"",'[2]BASE'!G26)</f>
        <v>C</v>
      </c>
      <c r="H26" s="998">
        <f>IF('[2]BASE'!FQ26=0,"",'[2]BASE'!FQ26)</f>
      </c>
      <c r="I26" s="998">
        <f>IF('[2]BASE'!FR26=0,"",'[2]BASE'!FR26)</f>
      </c>
      <c r="J26" s="998">
        <f>IF('[2]BASE'!FS26=0,"",'[2]BASE'!FS26)</f>
        <v>2</v>
      </c>
      <c r="K26" s="998">
        <f>IF('[2]BASE'!FT26=0,"",'[2]BASE'!FT26)</f>
      </c>
      <c r="L26" s="998">
        <f>IF('[2]BASE'!FU26=0,"",'[2]BASE'!FU26)</f>
      </c>
      <c r="M26" s="998">
        <f>IF('[2]BASE'!FV26=0,"",'[2]BASE'!FV26)</f>
      </c>
      <c r="N26" s="998">
        <f>IF('[2]BASE'!FW26=0,"",'[2]BASE'!FW26)</f>
      </c>
      <c r="O26" s="998">
        <f>IF('[2]BASE'!FX26=0,"",'[2]BASE'!FX26)</f>
        <v>2</v>
      </c>
      <c r="P26" s="998">
        <f>IF('[2]BASE'!FY26=0,"",'[2]BASE'!FY26)</f>
      </c>
      <c r="Q26" s="998">
        <f>IF('[2]BASE'!FZ26=0,"",'[2]BASE'!FZ26)</f>
      </c>
      <c r="R26" s="998">
        <f>IF('[2]BASE'!GA26=0,"",'[2]BASE'!GA26)</f>
        <v>1</v>
      </c>
      <c r="S26" s="998">
        <f>IF('[2]BASE'!GB26=0,"",'[2]BASE'!GB26)</f>
      </c>
      <c r="T26" s="999"/>
      <c r="U26" s="995"/>
    </row>
    <row r="27" spans="2:21" s="989" customFormat="1" ht="19.5" customHeight="1">
      <c r="B27" s="990"/>
      <c r="C27" s="1002">
        <f>IF('[2]BASE'!C27=0,"",'[2]BASE'!C27)</f>
        <v>11</v>
      </c>
      <c r="D27" s="1002" t="str">
        <f>IF('[2]BASE'!D27=0,"",'[2]BASE'!D27)</f>
        <v>COLONIA ELIA - CAMPANA</v>
      </c>
      <c r="E27" s="1002">
        <f>IF('[2]BASE'!E27=0,"",'[2]BASE'!E27)</f>
        <v>500</v>
      </c>
      <c r="F27" s="1002">
        <f>IF('[2]BASE'!F27=0,"",'[2]BASE'!F27)</f>
        <v>194</v>
      </c>
      <c r="G27" s="1003" t="str">
        <f>IF('[2]BASE'!G27=0,"",'[2]BASE'!G27)</f>
        <v>C</v>
      </c>
      <c r="H27" s="998">
        <f>IF('[2]BASE'!FQ27=0,"",'[2]BASE'!FQ27)</f>
      </c>
      <c r="I27" s="998">
        <f>IF('[2]BASE'!FR27=0,"",'[2]BASE'!FR27)</f>
      </c>
      <c r="J27" s="998">
        <f>IF('[2]BASE'!FS27=0,"",'[2]BASE'!FS27)</f>
      </c>
      <c r="K27" s="998">
        <f>IF('[2]BASE'!FT27=0,"",'[2]BASE'!FT27)</f>
      </c>
      <c r="L27" s="998">
        <f>IF('[2]BASE'!FU27=0,"",'[2]BASE'!FU27)</f>
      </c>
      <c r="M27" s="998">
        <f>IF('[2]BASE'!FV27=0,"",'[2]BASE'!FV27)</f>
      </c>
      <c r="N27" s="998">
        <f>IF('[2]BASE'!FW27=0,"",'[2]BASE'!FW27)</f>
      </c>
      <c r="O27" s="998">
        <f>IF('[2]BASE'!FX27=0,"",'[2]BASE'!FX27)</f>
      </c>
      <c r="P27" s="998">
        <f>IF('[2]BASE'!FY27=0,"",'[2]BASE'!FY27)</f>
      </c>
      <c r="Q27" s="998">
        <f>IF('[2]BASE'!FZ27=0,"",'[2]BASE'!FZ27)</f>
      </c>
      <c r="R27" s="998">
        <f>IF('[2]BASE'!GA27=0,"",'[2]BASE'!GA27)</f>
      </c>
      <c r="S27" s="998">
        <f>IF('[2]BASE'!GB27=0,"",'[2]BASE'!GB27)</f>
      </c>
      <c r="T27" s="999"/>
      <c r="U27" s="995"/>
    </row>
    <row r="28" spans="2:21" s="989" customFormat="1" ht="19.5" customHeight="1">
      <c r="B28" s="990"/>
      <c r="C28" s="1000">
        <f>IF('[2]BASE'!C28=0,"",'[2]BASE'!C28)</f>
        <v>12</v>
      </c>
      <c r="D28" s="1000" t="str">
        <f>IF('[2]BASE'!D28=0,"",'[2]BASE'!D28)</f>
        <v>CHO. W. - CHOELE CHOEL (5WH1)</v>
      </c>
      <c r="E28" s="1000">
        <f>IF('[2]BASE'!E28=0,"",'[2]BASE'!E28)</f>
        <v>500</v>
      </c>
      <c r="F28" s="1000">
        <f>IF('[2]BASE'!F28=0,"",'[2]BASE'!F28)</f>
        <v>269</v>
      </c>
      <c r="G28" s="1001" t="str">
        <f>IF('[2]BASE'!G28=0,"",'[2]BASE'!G28)</f>
        <v>B</v>
      </c>
      <c r="H28" s="998">
        <f>IF('[2]BASE'!FQ28=0,"",'[2]BASE'!FQ28)</f>
      </c>
      <c r="I28" s="998">
        <f>IF('[2]BASE'!FR28=0,"",'[2]BASE'!FR28)</f>
      </c>
      <c r="J28" s="998">
        <f>IF('[2]BASE'!FS28=0,"",'[2]BASE'!FS28)</f>
      </c>
      <c r="K28" s="998">
        <f>IF('[2]BASE'!FT28=0,"",'[2]BASE'!FT28)</f>
      </c>
      <c r="L28" s="998">
        <f>IF('[2]BASE'!FU28=0,"",'[2]BASE'!FU28)</f>
      </c>
      <c r="M28" s="998">
        <f>IF('[2]BASE'!FV28=0,"",'[2]BASE'!FV28)</f>
      </c>
      <c r="N28" s="998">
        <f>IF('[2]BASE'!FW28=0,"",'[2]BASE'!FW28)</f>
      </c>
      <c r="O28" s="998">
        <f>IF('[2]BASE'!FX28=0,"",'[2]BASE'!FX28)</f>
      </c>
      <c r="P28" s="998">
        <f>IF('[2]BASE'!FY28=0,"",'[2]BASE'!FY28)</f>
      </c>
      <c r="Q28" s="998">
        <f>IF('[2]BASE'!FZ28=0,"",'[2]BASE'!FZ28)</f>
      </c>
      <c r="R28" s="998">
        <f>IF('[2]BASE'!GA28=0,"",'[2]BASE'!GA28)</f>
      </c>
      <c r="S28" s="998">
        <f>IF('[2]BASE'!GB28=0,"",'[2]BASE'!GB28)</f>
      </c>
      <c r="T28" s="999"/>
      <c r="U28" s="995"/>
    </row>
    <row r="29" spans="2:21" s="989" customFormat="1" ht="19.5" customHeight="1">
      <c r="B29" s="990"/>
      <c r="C29" s="1002">
        <f>IF('[2]BASE'!C29=0,"",'[2]BASE'!C29)</f>
        <v>13</v>
      </c>
      <c r="D29" s="1002" t="str">
        <f>IF('[2]BASE'!D29=0,"",'[2]BASE'!D29)</f>
        <v>CHO.W. - CHO. 1 (5WC1)</v>
      </c>
      <c r="E29" s="1002">
        <f>IF('[2]BASE'!E29=0,"",'[2]BASE'!E29)</f>
        <v>500</v>
      </c>
      <c r="F29" s="1002">
        <f>IF('[2]BASE'!F29=0,"",'[2]BASE'!F29)</f>
        <v>4.5</v>
      </c>
      <c r="G29" s="1003" t="str">
        <f>IF('[2]BASE'!G29=0,"",'[2]BASE'!G29)</f>
        <v>C</v>
      </c>
      <c r="H29" s="998">
        <f>IF('[2]BASE'!FQ29=0,"",'[2]BASE'!FQ29)</f>
      </c>
      <c r="I29" s="998">
        <f>IF('[2]BASE'!FR29=0,"",'[2]BASE'!FR29)</f>
      </c>
      <c r="J29" s="998">
        <f>IF('[2]BASE'!FS29=0,"",'[2]BASE'!FS29)</f>
      </c>
      <c r="K29" s="998">
        <f>IF('[2]BASE'!FT29=0,"",'[2]BASE'!FT29)</f>
      </c>
      <c r="L29" s="998">
        <f>IF('[2]BASE'!FU29=0,"",'[2]BASE'!FU29)</f>
      </c>
      <c r="M29" s="998">
        <f>IF('[2]BASE'!FV29=0,"",'[2]BASE'!FV29)</f>
      </c>
      <c r="N29" s="998">
        <f>IF('[2]BASE'!FW29=0,"",'[2]BASE'!FW29)</f>
      </c>
      <c r="O29" s="998">
        <f>IF('[2]BASE'!FX29=0,"",'[2]BASE'!FX29)</f>
      </c>
      <c r="P29" s="998">
        <f>IF('[2]BASE'!FY29=0,"",'[2]BASE'!FY29)</f>
      </c>
      <c r="Q29" s="998">
        <f>IF('[2]BASE'!FZ29=0,"",'[2]BASE'!FZ29)</f>
      </c>
      <c r="R29" s="998">
        <f>IF('[2]BASE'!GA29=0,"",'[2]BASE'!GA29)</f>
      </c>
      <c r="S29" s="998">
        <f>IF('[2]BASE'!GB29=0,"",'[2]BASE'!GB29)</f>
      </c>
      <c r="T29" s="999"/>
      <c r="U29" s="995"/>
    </row>
    <row r="30" spans="2:21" s="989" customFormat="1" ht="19.5" customHeight="1">
      <c r="B30" s="990"/>
      <c r="C30" s="1000">
        <f>IF('[2]BASE'!C30=0,"",'[2]BASE'!C30)</f>
        <v>14</v>
      </c>
      <c r="D30" s="1000" t="str">
        <f>IF('[2]BASE'!D30=0,"",'[2]BASE'!D30)</f>
        <v>CHO.W. - CHO. 2 (5WC2)</v>
      </c>
      <c r="E30" s="1000">
        <f>IF('[2]BASE'!E30=0,"",'[2]BASE'!E30)</f>
        <v>500</v>
      </c>
      <c r="F30" s="1000">
        <f>IF('[2]BASE'!F30=0,"",'[2]BASE'!F30)</f>
        <v>4.5</v>
      </c>
      <c r="G30" s="1001" t="str">
        <f>IF('[2]BASE'!G30=0,"",'[2]BASE'!G30)</f>
        <v>C</v>
      </c>
      <c r="H30" s="998">
        <f>IF('[2]BASE'!FQ30=0,"",'[2]BASE'!FQ30)</f>
      </c>
      <c r="I30" s="998">
        <f>IF('[2]BASE'!FR30=0,"",'[2]BASE'!FR30)</f>
      </c>
      <c r="J30" s="998">
        <f>IF('[2]BASE'!FS30=0,"",'[2]BASE'!FS30)</f>
      </c>
      <c r="K30" s="998">
        <f>IF('[2]BASE'!FT30=0,"",'[2]BASE'!FT30)</f>
      </c>
      <c r="L30" s="998">
        <f>IF('[2]BASE'!FU30=0,"",'[2]BASE'!FU30)</f>
      </c>
      <c r="M30" s="998">
        <f>IF('[2]BASE'!FV30=0,"",'[2]BASE'!FV30)</f>
      </c>
      <c r="N30" s="998">
        <f>IF('[2]BASE'!FW30=0,"",'[2]BASE'!FW30)</f>
      </c>
      <c r="O30" s="998">
        <f>IF('[2]BASE'!FX30=0,"",'[2]BASE'!FX30)</f>
      </c>
      <c r="P30" s="998">
        <f>IF('[2]BASE'!FY30=0,"",'[2]BASE'!FY30)</f>
      </c>
      <c r="Q30" s="998">
        <f>IF('[2]BASE'!FZ30=0,"",'[2]BASE'!FZ30)</f>
      </c>
      <c r="R30" s="998">
        <f>IF('[2]BASE'!GA30=0,"",'[2]BASE'!GA30)</f>
      </c>
      <c r="S30" s="998">
        <f>IF('[2]BASE'!GB30=0,"",'[2]BASE'!GB30)</f>
      </c>
      <c r="T30" s="999"/>
      <c r="U30" s="995"/>
    </row>
    <row r="31" spans="2:21" s="989" customFormat="1" ht="19.5" customHeight="1">
      <c r="B31" s="990"/>
      <c r="C31" s="1002">
        <f>IF('[2]BASE'!C31=0,"",'[2]BASE'!C31)</f>
        <v>15</v>
      </c>
      <c r="D31" s="1002" t="str">
        <f>IF('[2]BASE'!D31=0,"",'[2]BASE'!D31)</f>
        <v>CHOCON - C.H. CHOCON 1</v>
      </c>
      <c r="E31" s="1002">
        <f>IF('[2]BASE'!E31=0,"",'[2]BASE'!E31)</f>
        <v>500</v>
      </c>
      <c r="F31" s="1002">
        <f>IF('[2]BASE'!F31=0,"",'[2]BASE'!F31)</f>
        <v>3</v>
      </c>
      <c r="G31" s="1003" t="str">
        <f>IF('[2]BASE'!G31=0,"",'[2]BASE'!G31)</f>
        <v>C</v>
      </c>
      <c r="H31" s="998">
        <f>IF('[2]BASE'!FQ31=0,"",'[2]BASE'!FQ31)</f>
      </c>
      <c r="I31" s="998">
        <f>IF('[2]BASE'!FR31=0,"",'[2]BASE'!FR31)</f>
      </c>
      <c r="J31" s="998">
        <f>IF('[2]BASE'!FS31=0,"",'[2]BASE'!FS31)</f>
      </c>
      <c r="K31" s="998">
        <f>IF('[2]BASE'!FT31=0,"",'[2]BASE'!FT31)</f>
      </c>
      <c r="L31" s="998">
        <f>IF('[2]BASE'!FU31=0,"",'[2]BASE'!FU31)</f>
      </c>
      <c r="M31" s="998">
        <f>IF('[2]BASE'!FV31=0,"",'[2]BASE'!FV31)</f>
      </c>
      <c r="N31" s="998">
        <f>IF('[2]BASE'!FW31=0,"",'[2]BASE'!FW31)</f>
      </c>
      <c r="O31" s="998">
        <f>IF('[2]BASE'!FX31=0,"",'[2]BASE'!FX31)</f>
      </c>
      <c r="P31" s="998">
        <f>IF('[2]BASE'!FY31=0,"",'[2]BASE'!FY31)</f>
      </c>
      <c r="Q31" s="998">
        <f>IF('[2]BASE'!FZ31=0,"",'[2]BASE'!FZ31)</f>
      </c>
      <c r="R31" s="998">
        <f>IF('[2]BASE'!GA31=0,"",'[2]BASE'!GA31)</f>
      </c>
      <c r="S31" s="998">
        <f>IF('[2]BASE'!GB31=0,"",'[2]BASE'!GB31)</f>
      </c>
      <c r="T31" s="999"/>
      <c r="U31" s="995"/>
    </row>
    <row r="32" spans="2:21" s="989" customFormat="1" ht="19.5" customHeight="1">
      <c r="B32" s="990"/>
      <c r="C32" s="1000">
        <f>IF('[2]BASE'!C32=0,"",'[2]BASE'!C32)</f>
        <v>16</v>
      </c>
      <c r="D32" s="1000" t="str">
        <f>IF('[2]BASE'!D32=0,"",'[2]BASE'!D32)</f>
        <v>CHOCON - C.H. CHOCON 2</v>
      </c>
      <c r="E32" s="1000">
        <f>IF('[2]BASE'!E32=0,"",'[2]BASE'!E32)</f>
        <v>500</v>
      </c>
      <c r="F32" s="1000">
        <f>IF('[2]BASE'!F32=0,"",'[2]BASE'!F32)</f>
        <v>3</v>
      </c>
      <c r="G32" s="1001" t="str">
        <f>IF('[2]BASE'!G32=0,"",'[2]BASE'!G32)</f>
        <v>C</v>
      </c>
      <c r="H32" s="998">
        <f>IF('[2]BASE'!FQ32=0,"",'[2]BASE'!FQ32)</f>
      </c>
      <c r="I32" s="998">
        <f>IF('[2]BASE'!FR32=0,"",'[2]BASE'!FR32)</f>
      </c>
      <c r="J32" s="998">
        <f>IF('[2]BASE'!FS32=0,"",'[2]BASE'!FS32)</f>
      </c>
      <c r="K32" s="998">
        <f>IF('[2]BASE'!FT32=0,"",'[2]BASE'!FT32)</f>
      </c>
      <c r="L32" s="998">
        <f>IF('[2]BASE'!FU32=0,"",'[2]BASE'!FU32)</f>
      </c>
      <c r="M32" s="998">
        <f>IF('[2]BASE'!FV32=0,"",'[2]BASE'!FV32)</f>
      </c>
      <c r="N32" s="998">
        <f>IF('[2]BASE'!FW32=0,"",'[2]BASE'!FW32)</f>
      </c>
      <c r="O32" s="998">
        <f>IF('[2]BASE'!FX32=0,"",'[2]BASE'!FX32)</f>
      </c>
      <c r="P32" s="998">
        <f>IF('[2]BASE'!FY32=0,"",'[2]BASE'!FY32)</f>
      </c>
      <c r="Q32" s="998">
        <f>IF('[2]BASE'!FZ32=0,"",'[2]BASE'!FZ32)</f>
      </c>
      <c r="R32" s="998">
        <f>IF('[2]BASE'!GA32=0,"",'[2]BASE'!GA32)</f>
      </c>
      <c r="S32" s="998">
        <f>IF('[2]BASE'!GB32=0,"",'[2]BASE'!GB32)</f>
      </c>
      <c r="T32" s="999"/>
      <c r="U32" s="995"/>
    </row>
    <row r="33" spans="2:21" s="989" customFormat="1" ht="19.5" customHeight="1">
      <c r="B33" s="990"/>
      <c r="C33" s="1002">
        <f>IF('[2]BASE'!C33=0,"",'[2]BASE'!C33)</f>
        <v>17</v>
      </c>
      <c r="D33" s="1002" t="str">
        <f>IF('[2]BASE'!D33=0,"",'[2]BASE'!D33)</f>
        <v>CHOCON - C.H. CHOCON 3</v>
      </c>
      <c r="E33" s="1002">
        <f>IF('[2]BASE'!E33=0,"",'[2]BASE'!E33)</f>
        <v>500</v>
      </c>
      <c r="F33" s="1002">
        <f>IF('[2]BASE'!F33=0,"",'[2]BASE'!F33)</f>
        <v>3</v>
      </c>
      <c r="G33" s="1003" t="str">
        <f>IF('[2]BASE'!G33=0,"",'[2]BASE'!G33)</f>
        <v>C</v>
      </c>
      <c r="H33" s="998">
        <f>IF('[2]BASE'!FQ33=0,"",'[2]BASE'!FQ33)</f>
      </c>
      <c r="I33" s="998">
        <f>IF('[2]BASE'!FR33=0,"",'[2]BASE'!FR33)</f>
      </c>
      <c r="J33" s="998">
        <f>IF('[2]BASE'!FS33=0,"",'[2]BASE'!FS33)</f>
      </c>
      <c r="K33" s="998">
        <f>IF('[2]BASE'!FT33=0,"",'[2]BASE'!FT33)</f>
      </c>
      <c r="L33" s="998">
        <f>IF('[2]BASE'!FU33=0,"",'[2]BASE'!FU33)</f>
      </c>
      <c r="M33" s="998">
        <f>IF('[2]BASE'!FV33=0,"",'[2]BASE'!FV33)</f>
      </c>
      <c r="N33" s="998">
        <f>IF('[2]BASE'!FW33=0,"",'[2]BASE'!FW33)</f>
      </c>
      <c r="O33" s="998">
        <f>IF('[2]BASE'!FX33=0,"",'[2]BASE'!FX33)</f>
        <v>1</v>
      </c>
      <c r="P33" s="998">
        <f>IF('[2]BASE'!FY33=0,"",'[2]BASE'!FY33)</f>
      </c>
      <c r="Q33" s="998">
        <f>IF('[2]BASE'!FZ33=0,"",'[2]BASE'!FZ33)</f>
      </c>
      <c r="R33" s="998">
        <f>IF('[2]BASE'!GA33=0,"",'[2]BASE'!GA33)</f>
      </c>
      <c r="S33" s="998">
        <f>IF('[2]BASE'!GB33=0,"",'[2]BASE'!GB33)</f>
      </c>
      <c r="T33" s="999"/>
      <c r="U33" s="995"/>
    </row>
    <row r="34" spans="2:21" s="989" customFormat="1" ht="19.5" customHeight="1">
      <c r="B34" s="990"/>
      <c r="C34" s="1000">
        <f>IF('[2]BASE'!C34=0,"",'[2]BASE'!C34)</f>
        <v>18</v>
      </c>
      <c r="D34" s="1000" t="str">
        <f>IF('[2]BASE'!D34=0,"",'[2]BASE'!D34)</f>
        <v>CHOCON - PUELCHES 1</v>
      </c>
      <c r="E34" s="1000">
        <f>IF('[2]BASE'!E34=0,"",'[2]BASE'!E34)</f>
        <v>500</v>
      </c>
      <c r="F34" s="1000">
        <f>IF('[2]BASE'!F34=0,"",'[2]BASE'!F34)</f>
        <v>304</v>
      </c>
      <c r="G34" s="1001" t="str">
        <f>IF('[2]BASE'!G34=0,"",'[2]BASE'!G34)</f>
        <v>A</v>
      </c>
      <c r="H34" s="998">
        <f>IF('[2]BASE'!FQ34=0,"",'[2]BASE'!FQ34)</f>
      </c>
      <c r="I34" s="998">
        <f>IF('[2]BASE'!FR34=0,"",'[2]BASE'!FR34)</f>
      </c>
      <c r="J34" s="998">
        <f>IF('[2]BASE'!FS34=0,"",'[2]BASE'!FS34)</f>
      </c>
      <c r="K34" s="998">
        <f>IF('[2]BASE'!FT34=0,"",'[2]BASE'!FT34)</f>
      </c>
      <c r="L34" s="998">
        <f>IF('[2]BASE'!FU34=0,"",'[2]BASE'!FU34)</f>
      </c>
      <c r="M34" s="998">
        <f>IF('[2]BASE'!FV34=0,"",'[2]BASE'!FV34)</f>
      </c>
      <c r="N34" s="998">
        <f>IF('[2]BASE'!FW34=0,"",'[2]BASE'!FW34)</f>
      </c>
      <c r="O34" s="998">
        <f>IF('[2]BASE'!FX34=0,"",'[2]BASE'!FX34)</f>
      </c>
      <c r="P34" s="998">
        <f>IF('[2]BASE'!FY34=0,"",'[2]BASE'!FY34)</f>
      </c>
      <c r="Q34" s="998">
        <f>IF('[2]BASE'!FZ34=0,"",'[2]BASE'!FZ34)</f>
      </c>
      <c r="R34" s="998">
        <f>IF('[2]BASE'!GA34=0,"",'[2]BASE'!GA34)</f>
      </c>
      <c r="S34" s="998">
        <f>IF('[2]BASE'!GB34=0,"",'[2]BASE'!GB34)</f>
      </c>
      <c r="T34" s="999"/>
      <c r="U34" s="995"/>
    </row>
    <row r="35" spans="2:21" s="989" customFormat="1" ht="19.5" customHeight="1">
      <c r="B35" s="990"/>
      <c r="C35" s="1002">
        <f>IF('[2]BASE'!C35=0,"",'[2]BASE'!C35)</f>
        <v>19</v>
      </c>
      <c r="D35" s="1002" t="str">
        <f>IF('[2]BASE'!D35=0,"",'[2]BASE'!D35)</f>
        <v>CHOCON - PUELCHES 2</v>
      </c>
      <c r="E35" s="1002">
        <f>IF('[2]BASE'!E35=0,"",'[2]BASE'!E35)</f>
        <v>500</v>
      </c>
      <c r="F35" s="1002">
        <f>IF('[2]BASE'!F35=0,"",'[2]BASE'!F35)</f>
        <v>304</v>
      </c>
      <c r="G35" s="1003" t="str">
        <f>IF('[2]BASE'!G35=0,"",'[2]BASE'!G35)</f>
        <v>A</v>
      </c>
      <c r="H35" s="998">
        <f>IF('[2]BASE'!FQ35=0,"",'[2]BASE'!FQ35)</f>
      </c>
      <c r="I35" s="998">
        <f>IF('[2]BASE'!FR35=0,"",'[2]BASE'!FR35)</f>
      </c>
      <c r="J35" s="998">
        <f>IF('[2]BASE'!FS35=0,"",'[2]BASE'!FS35)</f>
      </c>
      <c r="K35" s="998">
        <f>IF('[2]BASE'!FT35=0,"",'[2]BASE'!FT35)</f>
      </c>
      <c r="L35" s="998">
        <f>IF('[2]BASE'!FU35=0,"",'[2]BASE'!FU35)</f>
      </c>
      <c r="M35" s="998">
        <f>IF('[2]BASE'!FV35=0,"",'[2]BASE'!FV35)</f>
      </c>
      <c r="N35" s="998">
        <f>IF('[2]BASE'!FW35=0,"",'[2]BASE'!FW35)</f>
        <v>1</v>
      </c>
      <c r="O35" s="998">
        <f>IF('[2]BASE'!FX35=0,"",'[2]BASE'!FX35)</f>
      </c>
      <c r="P35" s="998">
        <f>IF('[2]BASE'!FY35=0,"",'[2]BASE'!FY35)</f>
      </c>
      <c r="Q35" s="998">
        <f>IF('[2]BASE'!FZ35=0,"",'[2]BASE'!FZ35)</f>
      </c>
      <c r="R35" s="998">
        <f>IF('[2]BASE'!GA35=0,"",'[2]BASE'!GA35)</f>
      </c>
      <c r="S35" s="998">
        <f>IF('[2]BASE'!GB35=0,"",'[2]BASE'!GB35)</f>
      </c>
      <c r="T35" s="999"/>
      <c r="U35" s="995"/>
    </row>
    <row r="36" spans="2:21" s="989" customFormat="1" ht="19.5" customHeight="1">
      <c r="B36" s="990"/>
      <c r="C36" s="1000">
        <f>IF('[2]BASE'!C36=0,"",'[2]BASE'!C36)</f>
        <v>20</v>
      </c>
      <c r="D36" s="1000" t="str">
        <f>IF('[2]BASE'!D36=0,"",'[2]BASE'!D36)</f>
        <v>E.T.P.del AGUILA - CENTRAL P.del A. 1</v>
      </c>
      <c r="E36" s="1000">
        <f>IF('[2]BASE'!E36=0,"",'[2]BASE'!E36)</f>
        <v>500</v>
      </c>
      <c r="F36" s="1000">
        <f>IF('[2]BASE'!F36=0,"",'[2]BASE'!F36)</f>
        <v>5.6</v>
      </c>
      <c r="G36" s="1001" t="str">
        <f>IF('[2]BASE'!G36=0,"",'[2]BASE'!G36)</f>
        <v>C</v>
      </c>
      <c r="H36" s="998">
        <f>IF('[2]BASE'!FQ36=0,"",'[2]BASE'!FQ36)</f>
      </c>
      <c r="I36" s="998">
        <f>IF('[2]BASE'!FR36=0,"",'[2]BASE'!FR36)</f>
      </c>
      <c r="J36" s="998">
        <f>IF('[2]BASE'!FS36=0,"",'[2]BASE'!FS36)</f>
      </c>
      <c r="K36" s="998">
        <f>IF('[2]BASE'!FT36=0,"",'[2]BASE'!FT36)</f>
      </c>
      <c r="L36" s="998">
        <f>IF('[2]BASE'!FU36=0,"",'[2]BASE'!FU36)</f>
      </c>
      <c r="M36" s="998">
        <f>IF('[2]BASE'!FV36=0,"",'[2]BASE'!FV36)</f>
      </c>
      <c r="N36" s="998">
        <f>IF('[2]BASE'!FW36=0,"",'[2]BASE'!FW36)</f>
      </c>
      <c r="O36" s="998">
        <f>IF('[2]BASE'!FX36=0,"",'[2]BASE'!FX36)</f>
      </c>
      <c r="P36" s="998">
        <f>IF('[2]BASE'!FY36=0,"",'[2]BASE'!FY36)</f>
      </c>
      <c r="Q36" s="998">
        <f>IF('[2]BASE'!FZ36=0,"",'[2]BASE'!FZ36)</f>
      </c>
      <c r="R36" s="998">
        <f>IF('[2]BASE'!GA36=0,"",'[2]BASE'!GA36)</f>
      </c>
      <c r="S36" s="998">
        <f>IF('[2]BASE'!GB36=0,"",'[2]BASE'!GB36)</f>
      </c>
      <c r="T36" s="999"/>
      <c r="U36" s="995"/>
    </row>
    <row r="37" spans="2:21" s="989" customFormat="1" ht="19.5" customHeight="1">
      <c r="B37" s="990"/>
      <c r="C37" s="1002">
        <f>IF('[2]BASE'!C37=0,"",'[2]BASE'!C37)</f>
        <v>21</v>
      </c>
      <c r="D37" s="1002" t="str">
        <f>IF('[2]BASE'!D37=0,"",'[2]BASE'!D37)</f>
        <v>E.T.P.del AGUILA - CENTRAL P.del A. 2</v>
      </c>
      <c r="E37" s="1002">
        <f>IF('[2]BASE'!E37=0,"",'[2]BASE'!E37)</f>
        <v>500</v>
      </c>
      <c r="F37" s="1002">
        <f>IF('[2]BASE'!F37=0,"",'[2]BASE'!F37)</f>
        <v>5.6</v>
      </c>
      <c r="G37" s="1003" t="str">
        <f>IF('[2]BASE'!G37=0,"",'[2]BASE'!G37)</f>
        <v>C</v>
      </c>
      <c r="H37" s="998">
        <f>IF('[2]BASE'!FQ37=0,"",'[2]BASE'!FQ37)</f>
      </c>
      <c r="I37" s="998">
        <f>IF('[2]BASE'!FR37=0,"",'[2]BASE'!FR37)</f>
      </c>
      <c r="J37" s="998">
        <f>IF('[2]BASE'!FS37=0,"",'[2]BASE'!FS37)</f>
      </c>
      <c r="K37" s="998">
        <f>IF('[2]BASE'!FT37=0,"",'[2]BASE'!FT37)</f>
      </c>
      <c r="L37" s="998">
        <f>IF('[2]BASE'!FU37=0,"",'[2]BASE'!FU37)</f>
      </c>
      <c r="M37" s="998">
        <f>IF('[2]BASE'!FV37=0,"",'[2]BASE'!FV37)</f>
      </c>
      <c r="N37" s="998">
        <f>IF('[2]BASE'!FW37=0,"",'[2]BASE'!FW37)</f>
      </c>
      <c r="O37" s="998">
        <f>IF('[2]BASE'!FX37=0,"",'[2]BASE'!FX37)</f>
      </c>
      <c r="P37" s="998">
        <f>IF('[2]BASE'!FY37=0,"",'[2]BASE'!FY37)</f>
      </c>
      <c r="Q37" s="998">
        <f>IF('[2]BASE'!FZ37=0,"",'[2]BASE'!FZ37)</f>
      </c>
      <c r="R37" s="998">
        <f>IF('[2]BASE'!GA37=0,"",'[2]BASE'!GA37)</f>
      </c>
      <c r="S37" s="998">
        <f>IF('[2]BASE'!GB37=0,"",'[2]BASE'!GB37)</f>
      </c>
      <c r="T37" s="999"/>
      <c r="U37" s="995"/>
    </row>
    <row r="38" spans="2:21" s="989" customFormat="1" ht="19.5" customHeight="1">
      <c r="B38" s="990"/>
      <c r="C38" s="1000">
        <f>IF('[2]BASE'!C38=0,"",'[2]BASE'!C38)</f>
        <v>22</v>
      </c>
      <c r="D38" s="1000" t="str">
        <f>IF('[2]BASE'!D38=0,"",'[2]BASE'!D38)</f>
        <v>EL BRACHO - RECREO(5)</v>
      </c>
      <c r="E38" s="1000">
        <f>IF('[2]BASE'!E38=0,"",'[2]BASE'!E38)</f>
        <v>500</v>
      </c>
      <c r="F38" s="1000">
        <f>IF('[2]BASE'!F38=0,"",'[2]BASE'!F38)</f>
        <v>255</v>
      </c>
      <c r="G38" s="1001" t="str">
        <f>IF('[2]BASE'!G38=0,"",'[2]BASE'!G38)</f>
        <v>C</v>
      </c>
      <c r="H38" s="998">
        <f>IF('[2]BASE'!FQ38=0,"",'[2]BASE'!FQ38)</f>
      </c>
      <c r="I38" s="998">
        <f>IF('[2]BASE'!FR38=0,"",'[2]BASE'!FR38)</f>
      </c>
      <c r="J38" s="998">
        <f>IF('[2]BASE'!FS38=0,"",'[2]BASE'!FS38)</f>
      </c>
      <c r="K38" s="998">
        <f>IF('[2]BASE'!FT38=0,"",'[2]BASE'!FT38)</f>
      </c>
      <c r="L38" s="998">
        <f>IF('[2]BASE'!FU38=0,"",'[2]BASE'!FU38)</f>
      </c>
      <c r="M38" s="998">
        <f>IF('[2]BASE'!FV38=0,"",'[2]BASE'!FV38)</f>
      </c>
      <c r="N38" s="998">
        <f>IF('[2]BASE'!FW38=0,"",'[2]BASE'!FW38)</f>
      </c>
      <c r="O38" s="998">
        <f>IF('[2]BASE'!FX38=0,"",'[2]BASE'!FX38)</f>
      </c>
      <c r="P38" s="998">
        <f>IF('[2]BASE'!FY38=0,"",'[2]BASE'!FY38)</f>
      </c>
      <c r="Q38" s="998">
        <f>IF('[2]BASE'!FZ38=0,"",'[2]BASE'!FZ38)</f>
      </c>
      <c r="R38" s="998">
        <f>IF('[2]BASE'!GA38=0,"",'[2]BASE'!GA38)</f>
      </c>
      <c r="S38" s="998">
        <f>IF('[2]BASE'!GB38=0,"",'[2]BASE'!GB38)</f>
      </c>
      <c r="T38" s="999"/>
      <c r="U38" s="995"/>
    </row>
    <row r="39" spans="2:21" s="989" customFormat="1" ht="19.5" customHeight="1">
      <c r="B39" s="990"/>
      <c r="C39" s="1002">
        <f>IF('[2]BASE'!C39=0,"",'[2]BASE'!C39)</f>
        <v>23</v>
      </c>
      <c r="D39" s="1002" t="str">
        <f>IF('[2]BASE'!D39=0,"",'[2]BASE'!D39)</f>
        <v>EZEIZA - ABASTO 1</v>
      </c>
      <c r="E39" s="1002">
        <f>IF('[2]BASE'!E39=0,"",'[2]BASE'!E39)</f>
        <v>500</v>
      </c>
      <c r="F39" s="1002">
        <f>IF('[2]BASE'!F39=0,"",'[2]BASE'!F39)</f>
        <v>58</v>
      </c>
      <c r="G39" s="1003" t="str">
        <f>IF('[2]BASE'!G39=0,"",'[2]BASE'!G39)</f>
        <v>C</v>
      </c>
      <c r="H39" s="998">
        <f>IF('[2]BASE'!FQ39=0,"",'[2]BASE'!FQ39)</f>
      </c>
      <c r="I39" s="998">
        <f>IF('[2]BASE'!FR39=0,"",'[2]BASE'!FR39)</f>
      </c>
      <c r="J39" s="998">
        <f>IF('[2]BASE'!FS39=0,"",'[2]BASE'!FS39)</f>
      </c>
      <c r="K39" s="998">
        <f>IF('[2]BASE'!FT39=0,"",'[2]BASE'!FT39)</f>
      </c>
      <c r="L39" s="998">
        <f>IF('[2]BASE'!FU39=0,"",'[2]BASE'!FU39)</f>
      </c>
      <c r="M39" s="998">
        <f>IF('[2]BASE'!FV39=0,"",'[2]BASE'!FV39)</f>
      </c>
      <c r="N39" s="998">
        <f>IF('[2]BASE'!FW39=0,"",'[2]BASE'!FW39)</f>
      </c>
      <c r="O39" s="998">
        <f>IF('[2]BASE'!FX39=0,"",'[2]BASE'!FX39)</f>
      </c>
      <c r="P39" s="998">
        <f>IF('[2]BASE'!FY39=0,"",'[2]BASE'!FY39)</f>
      </c>
      <c r="Q39" s="998">
        <f>IF('[2]BASE'!FZ39=0,"",'[2]BASE'!FZ39)</f>
      </c>
      <c r="R39" s="998">
        <f>IF('[2]BASE'!GA39=0,"",'[2]BASE'!GA39)</f>
      </c>
      <c r="S39" s="998">
        <f>IF('[2]BASE'!GB39=0,"",'[2]BASE'!GB39)</f>
      </c>
      <c r="T39" s="999"/>
      <c r="U39" s="995"/>
    </row>
    <row r="40" spans="2:21" s="989" customFormat="1" ht="19.5" customHeight="1">
      <c r="B40" s="990"/>
      <c r="C40" s="1000">
        <f>IF('[2]BASE'!C40=0,"",'[2]BASE'!C40)</f>
        <v>24</v>
      </c>
      <c r="D40" s="1000" t="str">
        <f>IF('[2]BASE'!D40=0,"",'[2]BASE'!D40)</f>
        <v>EZEIZA - ABASTO 2</v>
      </c>
      <c r="E40" s="1000">
        <f>IF('[2]BASE'!E40=0,"",'[2]BASE'!E40)</f>
        <v>500</v>
      </c>
      <c r="F40" s="1000">
        <f>IF('[2]BASE'!F40=0,"",'[2]BASE'!F40)</f>
        <v>58</v>
      </c>
      <c r="G40" s="1001" t="str">
        <f>IF('[2]BASE'!G40=0,"",'[2]BASE'!G40)</f>
        <v>C</v>
      </c>
      <c r="H40" s="998">
        <f>IF('[2]BASE'!FQ40=0,"",'[2]BASE'!FQ40)</f>
      </c>
      <c r="I40" s="998">
        <f>IF('[2]BASE'!FR40=0,"",'[2]BASE'!FR40)</f>
      </c>
      <c r="J40" s="998">
        <f>IF('[2]BASE'!FS40=0,"",'[2]BASE'!FS40)</f>
      </c>
      <c r="K40" s="998">
        <f>IF('[2]BASE'!FT40=0,"",'[2]BASE'!FT40)</f>
      </c>
      <c r="L40" s="998">
        <f>IF('[2]BASE'!FU40=0,"",'[2]BASE'!FU40)</f>
      </c>
      <c r="M40" s="998">
        <f>IF('[2]BASE'!FV40=0,"",'[2]BASE'!FV40)</f>
      </c>
      <c r="N40" s="998">
        <f>IF('[2]BASE'!FW40=0,"",'[2]BASE'!FW40)</f>
      </c>
      <c r="O40" s="998">
        <f>IF('[2]BASE'!FX40=0,"",'[2]BASE'!FX40)</f>
      </c>
      <c r="P40" s="998">
        <f>IF('[2]BASE'!FY40=0,"",'[2]BASE'!FY40)</f>
      </c>
      <c r="Q40" s="998">
        <f>IF('[2]BASE'!FZ40=0,"",'[2]BASE'!FZ40)</f>
      </c>
      <c r="R40" s="998">
        <f>IF('[2]BASE'!GA40=0,"",'[2]BASE'!GA40)</f>
      </c>
      <c r="S40" s="998">
        <f>IF('[2]BASE'!GB40=0,"",'[2]BASE'!GB40)</f>
      </c>
      <c r="T40" s="999"/>
      <c r="U40" s="995"/>
    </row>
    <row r="41" spans="2:21" s="989" customFormat="1" ht="19.5" customHeight="1">
      <c r="B41" s="990"/>
      <c r="C41" s="1002">
        <f>IF('[2]BASE'!C41=0,"",'[2]BASE'!C41)</f>
        <v>25</v>
      </c>
      <c r="D41" s="1002" t="str">
        <f>IF('[2]BASE'!D41=0,"",'[2]BASE'!D41)</f>
        <v>EZEIZA - RODRIGUEZ 1</v>
      </c>
      <c r="E41" s="1002">
        <f>IF('[2]BASE'!E41=0,"",'[2]BASE'!E41)</f>
        <v>500</v>
      </c>
      <c r="F41" s="1002">
        <f>IF('[2]BASE'!F41=0,"",'[2]BASE'!F41)</f>
        <v>53</v>
      </c>
      <c r="G41" s="1003" t="str">
        <f>IF('[2]BASE'!G41=0,"",'[2]BASE'!G41)</f>
        <v>C</v>
      </c>
      <c r="H41" s="998">
        <f>IF('[2]BASE'!FQ41=0,"",'[2]BASE'!FQ41)</f>
      </c>
      <c r="I41" s="998">
        <f>IF('[2]BASE'!FR41=0,"",'[2]BASE'!FR41)</f>
      </c>
      <c r="J41" s="998">
        <f>IF('[2]BASE'!FS41=0,"",'[2]BASE'!FS41)</f>
      </c>
      <c r="K41" s="998">
        <f>IF('[2]BASE'!FT41=0,"",'[2]BASE'!FT41)</f>
      </c>
      <c r="L41" s="998">
        <f>IF('[2]BASE'!FU41=0,"",'[2]BASE'!FU41)</f>
      </c>
      <c r="M41" s="998">
        <f>IF('[2]BASE'!FV41=0,"",'[2]BASE'!FV41)</f>
      </c>
      <c r="N41" s="998">
        <f>IF('[2]BASE'!FW41=0,"",'[2]BASE'!FW41)</f>
      </c>
      <c r="O41" s="998">
        <f>IF('[2]BASE'!FX41=0,"",'[2]BASE'!FX41)</f>
      </c>
      <c r="P41" s="998">
        <f>IF('[2]BASE'!FY41=0,"",'[2]BASE'!FY41)</f>
      </c>
      <c r="Q41" s="998">
        <f>IF('[2]BASE'!FZ41=0,"",'[2]BASE'!FZ41)</f>
      </c>
      <c r="R41" s="998">
        <f>IF('[2]BASE'!GA41=0,"",'[2]BASE'!GA41)</f>
      </c>
      <c r="S41" s="998">
        <f>IF('[2]BASE'!GB41=0,"",'[2]BASE'!GB41)</f>
      </c>
      <c r="T41" s="999"/>
      <c r="U41" s="995"/>
    </row>
    <row r="42" spans="2:21" s="989" customFormat="1" ht="19.5" customHeight="1">
      <c r="B42" s="990"/>
      <c r="C42" s="1000">
        <f>IF('[2]BASE'!C42=0,"",'[2]BASE'!C42)</f>
        <v>26</v>
      </c>
      <c r="D42" s="1000" t="str">
        <f>IF('[2]BASE'!D42=0,"",'[2]BASE'!D42)</f>
        <v>EZEIZA - RODRIGUEZ 2</v>
      </c>
      <c r="E42" s="1000">
        <f>IF('[2]BASE'!E42=0,"",'[2]BASE'!E42)</f>
        <v>500</v>
      </c>
      <c r="F42" s="1000">
        <f>IF('[2]BASE'!F42=0,"",'[2]BASE'!F42)</f>
        <v>53</v>
      </c>
      <c r="G42" s="1001" t="str">
        <f>IF('[2]BASE'!G42=0,"",'[2]BASE'!G42)</f>
        <v>C</v>
      </c>
      <c r="H42" s="998">
        <f>IF('[2]BASE'!FQ42=0,"",'[2]BASE'!FQ42)</f>
      </c>
      <c r="I42" s="998">
        <f>IF('[2]BASE'!FR42=0,"",'[2]BASE'!FR42)</f>
      </c>
      <c r="J42" s="998">
        <f>IF('[2]BASE'!FS42=0,"",'[2]BASE'!FS42)</f>
      </c>
      <c r="K42" s="998">
        <f>IF('[2]BASE'!FT42=0,"",'[2]BASE'!FT42)</f>
      </c>
      <c r="L42" s="998">
        <f>IF('[2]BASE'!FU42=0,"",'[2]BASE'!FU42)</f>
      </c>
      <c r="M42" s="998">
        <f>IF('[2]BASE'!FV42=0,"",'[2]BASE'!FV42)</f>
      </c>
      <c r="N42" s="998">
        <f>IF('[2]BASE'!FW42=0,"",'[2]BASE'!FW42)</f>
      </c>
      <c r="O42" s="998">
        <f>IF('[2]BASE'!FX42=0,"",'[2]BASE'!FX42)</f>
      </c>
      <c r="P42" s="998">
        <f>IF('[2]BASE'!FY42=0,"",'[2]BASE'!FY42)</f>
      </c>
      <c r="Q42" s="998">
        <f>IF('[2]BASE'!FZ42=0,"",'[2]BASE'!FZ42)</f>
      </c>
      <c r="R42" s="998">
        <f>IF('[2]BASE'!GA42=0,"",'[2]BASE'!GA42)</f>
      </c>
      <c r="S42" s="998">
        <f>IF('[2]BASE'!GB42=0,"",'[2]BASE'!GB42)</f>
      </c>
      <c r="T42" s="999"/>
      <c r="U42" s="995"/>
    </row>
    <row r="43" spans="2:21" s="989" customFormat="1" ht="19.5" customHeight="1">
      <c r="B43" s="990"/>
      <c r="C43" s="1002">
        <f>IF('[2]BASE'!C43=0,"",'[2]BASE'!C43)</f>
        <v>27</v>
      </c>
      <c r="D43" s="1002" t="str">
        <f>IF('[2]BASE'!D43=0,"",'[2]BASE'!D43)</f>
        <v>EZEIZA- HENDERSON 1</v>
      </c>
      <c r="E43" s="1002">
        <f>IF('[2]BASE'!E43=0,"",'[2]BASE'!E43)</f>
        <v>500</v>
      </c>
      <c r="F43" s="1002">
        <f>IF('[2]BASE'!F43=0,"",'[2]BASE'!F43)</f>
        <v>313</v>
      </c>
      <c r="G43" s="1003" t="str">
        <f>IF('[2]BASE'!G43=0,"",'[2]BASE'!G43)</f>
        <v>A</v>
      </c>
      <c r="H43" s="998">
        <f>IF('[2]BASE'!FQ43=0,"",'[2]BASE'!FQ43)</f>
      </c>
      <c r="I43" s="998">
        <f>IF('[2]BASE'!FR43=0,"",'[2]BASE'!FR43)</f>
      </c>
      <c r="J43" s="998">
        <f>IF('[2]BASE'!FS43=0,"",'[2]BASE'!FS43)</f>
      </c>
      <c r="K43" s="998">
        <f>IF('[2]BASE'!FT43=0,"",'[2]BASE'!FT43)</f>
      </c>
      <c r="L43" s="998">
        <f>IF('[2]BASE'!FU43=0,"",'[2]BASE'!FU43)</f>
      </c>
      <c r="M43" s="998">
        <f>IF('[2]BASE'!FV43=0,"",'[2]BASE'!FV43)</f>
      </c>
      <c r="N43" s="998">
        <f>IF('[2]BASE'!FW43=0,"",'[2]BASE'!FW43)</f>
      </c>
      <c r="O43" s="998">
        <f>IF('[2]BASE'!FX43=0,"",'[2]BASE'!FX43)</f>
      </c>
      <c r="P43" s="998">
        <f>IF('[2]BASE'!FY43=0,"",'[2]BASE'!FY43)</f>
      </c>
      <c r="Q43" s="998">
        <f>IF('[2]BASE'!FZ43=0,"",'[2]BASE'!FZ43)</f>
      </c>
      <c r="R43" s="998">
        <f>IF('[2]BASE'!GA43=0,"",'[2]BASE'!GA43)</f>
      </c>
      <c r="S43" s="998">
        <f>IF('[2]BASE'!GB43=0,"",'[2]BASE'!GB43)</f>
        <v>1</v>
      </c>
      <c r="T43" s="999"/>
      <c r="U43" s="995"/>
    </row>
    <row r="44" spans="2:21" s="989" customFormat="1" ht="19.5" customHeight="1">
      <c r="B44" s="990"/>
      <c r="C44" s="1000">
        <f>IF('[2]BASE'!C44=0,"",'[2]BASE'!C44)</f>
        <v>28</v>
      </c>
      <c r="D44" s="1000" t="str">
        <f>IF('[2]BASE'!D44=0,"",'[2]BASE'!D44)</f>
        <v>EZEIZA - HENDERSON 2</v>
      </c>
      <c r="E44" s="1000">
        <f>IF('[2]BASE'!E44=0,"",'[2]BASE'!E44)</f>
        <v>500</v>
      </c>
      <c r="F44" s="1000">
        <f>IF('[2]BASE'!F44=0,"",'[2]BASE'!F44)</f>
        <v>313</v>
      </c>
      <c r="G44" s="1001" t="str">
        <f>IF('[2]BASE'!G44=0,"",'[2]BASE'!G44)</f>
        <v>A</v>
      </c>
      <c r="H44" s="998">
        <f>IF('[2]BASE'!FQ44=0,"",'[2]BASE'!FQ44)</f>
      </c>
      <c r="I44" s="998">
        <f>IF('[2]BASE'!FR44=0,"",'[2]BASE'!FR44)</f>
      </c>
      <c r="J44" s="998">
        <f>IF('[2]BASE'!FS44=0,"",'[2]BASE'!FS44)</f>
      </c>
      <c r="K44" s="998">
        <f>IF('[2]BASE'!FT44=0,"",'[2]BASE'!FT44)</f>
      </c>
      <c r="L44" s="998">
        <f>IF('[2]BASE'!FU44=0,"",'[2]BASE'!FU44)</f>
      </c>
      <c r="M44" s="998">
        <f>IF('[2]BASE'!FV44=0,"",'[2]BASE'!FV44)</f>
      </c>
      <c r="N44" s="998">
        <f>IF('[2]BASE'!FW44=0,"",'[2]BASE'!FW44)</f>
      </c>
      <c r="O44" s="998">
        <f>IF('[2]BASE'!FX44=0,"",'[2]BASE'!FX44)</f>
      </c>
      <c r="P44" s="998">
        <f>IF('[2]BASE'!FY44=0,"",'[2]BASE'!FY44)</f>
      </c>
      <c r="Q44" s="998">
        <f>IF('[2]BASE'!FZ44=0,"",'[2]BASE'!FZ44)</f>
      </c>
      <c r="R44" s="998">
        <f>IF('[2]BASE'!GA44=0,"",'[2]BASE'!GA44)</f>
      </c>
      <c r="S44" s="998">
        <f>IF('[2]BASE'!GB44=0,"",'[2]BASE'!GB44)</f>
        <v>2</v>
      </c>
      <c r="T44" s="999"/>
      <c r="U44" s="995"/>
    </row>
    <row r="45" spans="2:21" s="989" customFormat="1" ht="19.5" customHeight="1">
      <c r="B45" s="990"/>
      <c r="C45" s="1002">
        <f>IF('[2]BASE'!C45=0,"",'[2]BASE'!C45)</f>
        <v>29</v>
      </c>
      <c r="D45" s="1002" t="str">
        <f>IF('[2]BASE'!D45=0,"",'[2]BASE'!D45)</f>
        <v>GRAL. RODRIGUEZ - CAMPANA </v>
      </c>
      <c r="E45" s="1002">
        <f>IF('[2]BASE'!E45=0,"",'[2]BASE'!E45)</f>
        <v>500</v>
      </c>
      <c r="F45" s="1002">
        <f>IF('[2]BASE'!F45=0,"",'[2]BASE'!F45)</f>
        <v>42</v>
      </c>
      <c r="G45" s="1003" t="str">
        <f>IF('[2]BASE'!G45=0,"",'[2]BASE'!G45)</f>
        <v>B</v>
      </c>
      <c r="H45" s="998">
        <f>IF('[2]BASE'!FQ45=0,"",'[2]BASE'!FQ45)</f>
      </c>
      <c r="I45" s="998">
        <f>IF('[2]BASE'!FR45=0,"",'[2]BASE'!FR45)</f>
      </c>
      <c r="J45" s="998">
        <f>IF('[2]BASE'!FS45=0,"",'[2]BASE'!FS45)</f>
      </c>
      <c r="K45" s="998">
        <f>IF('[2]BASE'!FT45=0,"",'[2]BASE'!FT45)</f>
      </c>
      <c r="L45" s="998">
        <f>IF('[2]BASE'!FU45=0,"",'[2]BASE'!FU45)</f>
      </c>
      <c r="M45" s="998">
        <f>IF('[2]BASE'!FV45=0,"",'[2]BASE'!FV45)</f>
      </c>
      <c r="N45" s="998">
        <f>IF('[2]BASE'!FW45=0,"",'[2]BASE'!FW45)</f>
      </c>
      <c r="O45" s="998">
        <f>IF('[2]BASE'!FX45=0,"",'[2]BASE'!FX45)</f>
      </c>
      <c r="P45" s="998">
        <f>IF('[2]BASE'!FY45=0,"",'[2]BASE'!FY45)</f>
      </c>
      <c r="Q45" s="998">
        <f>IF('[2]BASE'!FZ45=0,"",'[2]BASE'!FZ45)</f>
      </c>
      <c r="R45" s="998">
        <f>IF('[2]BASE'!GA45=0,"",'[2]BASE'!GA45)</f>
      </c>
      <c r="S45" s="998">
        <f>IF('[2]BASE'!GB45=0,"",'[2]BASE'!GB45)</f>
        <v>1</v>
      </c>
      <c r="T45" s="999"/>
      <c r="U45" s="995"/>
    </row>
    <row r="46" spans="2:21" s="989" customFormat="1" ht="19.5" customHeight="1">
      <c r="B46" s="990"/>
      <c r="C46" s="1000">
        <f>IF('[2]BASE'!C46=0,"",'[2]BASE'!C46)</f>
        <v>30</v>
      </c>
      <c r="D46" s="1000" t="str">
        <f>IF('[2]BASE'!D46=0,"",'[2]BASE'!D46)</f>
        <v>GRAL. RODRIGUEZ- ROSARIO OESTE </v>
      </c>
      <c r="E46" s="1000">
        <f>IF('[2]BASE'!E46=0,"",'[2]BASE'!E46)</f>
        <v>500</v>
      </c>
      <c r="F46" s="1000">
        <f>IF('[2]BASE'!F46=0,"",'[2]BASE'!F46)</f>
        <v>258</v>
      </c>
      <c r="G46" s="1001" t="str">
        <f>IF('[2]BASE'!G46=0,"",'[2]BASE'!G46)</f>
        <v>C</v>
      </c>
      <c r="H46" s="998" t="str">
        <f>IF('[2]BASE'!FQ46=0,"",'[2]BASE'!FQ46)</f>
        <v>XXXX</v>
      </c>
      <c r="I46" s="998" t="str">
        <f>IF('[2]BASE'!FR46=0,"",'[2]BASE'!FR46)</f>
        <v>XXXX</v>
      </c>
      <c r="J46" s="998" t="str">
        <f>IF('[2]BASE'!FS46=0,"",'[2]BASE'!FS46)</f>
        <v>XXXX</v>
      </c>
      <c r="K46" s="998" t="str">
        <f>IF('[2]BASE'!FT46=0,"",'[2]BASE'!FT46)</f>
        <v>XXXX</v>
      </c>
      <c r="L46" s="998" t="str">
        <f>IF('[2]BASE'!FU46=0,"",'[2]BASE'!FU46)</f>
        <v>XXXX</v>
      </c>
      <c r="M46" s="998" t="str">
        <f>IF('[2]BASE'!FV46=0,"",'[2]BASE'!FV46)</f>
        <v>XXXX</v>
      </c>
      <c r="N46" s="998" t="str">
        <f>IF('[2]BASE'!FW46=0,"",'[2]BASE'!FW46)</f>
        <v>XXXX</v>
      </c>
      <c r="O46" s="998" t="str">
        <f>IF('[2]BASE'!FX46=0,"",'[2]BASE'!FX46)</f>
        <v>XXXX</v>
      </c>
      <c r="P46" s="998" t="str">
        <f>IF('[2]BASE'!FY46=0,"",'[2]BASE'!FY46)</f>
        <v>XXXX</v>
      </c>
      <c r="Q46" s="998" t="str">
        <f>IF('[2]BASE'!FZ46=0,"",'[2]BASE'!FZ46)</f>
        <v>XXXX</v>
      </c>
      <c r="R46" s="998" t="str">
        <f>IF('[2]BASE'!GA46=0,"",'[2]BASE'!GA46)</f>
        <v>XXXX</v>
      </c>
      <c r="S46" s="998" t="str">
        <f>IF('[2]BASE'!GB46=0,"",'[2]BASE'!GB46)</f>
        <v>XXXX</v>
      </c>
      <c r="T46" s="999"/>
      <c r="U46" s="995"/>
    </row>
    <row r="47" spans="2:21" s="989" customFormat="1" ht="19.5" customHeight="1">
      <c r="B47" s="990"/>
      <c r="C47" s="1002">
        <f>IF('[2]BASE'!C47=0,"",'[2]BASE'!C47)</f>
        <v>31</v>
      </c>
      <c r="D47" s="1002" t="str">
        <f>IF('[2]BASE'!D47=0,"",'[2]BASE'!D47)</f>
        <v>MALVINAS ARG. - ALMAFUERTE </v>
      </c>
      <c r="E47" s="1002">
        <f>IF('[2]BASE'!E47=0,"",'[2]BASE'!E47)</f>
        <v>500</v>
      </c>
      <c r="F47" s="1002">
        <f>IF('[2]BASE'!F47=0,"",'[2]BASE'!F47)</f>
        <v>105</v>
      </c>
      <c r="G47" s="1003" t="str">
        <f>IF('[2]BASE'!G47=0,"",'[2]BASE'!G47)</f>
        <v>B</v>
      </c>
      <c r="H47" s="998">
        <f>IF('[2]BASE'!FQ47=0,"",'[2]BASE'!FQ47)</f>
      </c>
      <c r="I47" s="998">
        <f>IF('[2]BASE'!FR47=0,"",'[2]BASE'!FR47)</f>
        <v>1</v>
      </c>
      <c r="J47" s="998">
        <f>IF('[2]BASE'!FS47=0,"",'[2]BASE'!FS47)</f>
      </c>
      <c r="K47" s="998">
        <f>IF('[2]BASE'!FT47=0,"",'[2]BASE'!FT47)</f>
      </c>
      <c r="L47" s="998">
        <f>IF('[2]BASE'!FU47=0,"",'[2]BASE'!FU47)</f>
      </c>
      <c r="M47" s="998">
        <f>IF('[2]BASE'!FV47=0,"",'[2]BASE'!FV47)</f>
      </c>
      <c r="N47" s="998">
        <f>IF('[2]BASE'!FW47=0,"",'[2]BASE'!FW47)</f>
      </c>
      <c r="O47" s="998">
        <f>IF('[2]BASE'!FX47=0,"",'[2]BASE'!FX47)</f>
      </c>
      <c r="P47" s="998">
        <f>IF('[2]BASE'!FY47=0,"",'[2]BASE'!FY47)</f>
      </c>
      <c r="Q47" s="998">
        <f>IF('[2]BASE'!FZ47=0,"",'[2]BASE'!FZ47)</f>
      </c>
      <c r="R47" s="998">
        <f>IF('[2]BASE'!GA47=0,"",'[2]BASE'!GA47)</f>
      </c>
      <c r="S47" s="998">
        <f>IF('[2]BASE'!GB47=0,"",'[2]BASE'!GB47)</f>
      </c>
      <c r="T47" s="999"/>
      <c r="U47" s="995"/>
    </row>
    <row r="48" spans="2:21" s="989" customFormat="1" ht="19.5" customHeight="1">
      <c r="B48" s="990"/>
      <c r="C48" s="1000">
        <f>IF('[2]BASE'!C48=0,"",'[2]BASE'!C48)</f>
        <v>32</v>
      </c>
      <c r="D48" s="1000" t="str">
        <f>IF('[2]BASE'!D48=0,"",'[2]BASE'!D48)</f>
        <v>OLAVARRIA - BAHIA BLANCA 1</v>
      </c>
      <c r="E48" s="1000">
        <f>IF('[2]BASE'!E48=0,"",'[2]BASE'!E48)</f>
        <v>500</v>
      </c>
      <c r="F48" s="1000">
        <f>IF('[2]BASE'!F48=0,"",'[2]BASE'!F48)</f>
        <v>255</v>
      </c>
      <c r="G48" s="1001" t="str">
        <f>IF('[2]BASE'!G48=0,"",'[2]BASE'!G48)</f>
        <v>B</v>
      </c>
      <c r="H48" s="998">
        <f>IF('[2]BASE'!FQ48=0,"",'[2]BASE'!FQ48)</f>
      </c>
      <c r="I48" s="998">
        <f>IF('[2]BASE'!FR48=0,"",'[2]BASE'!FR48)</f>
      </c>
      <c r="J48" s="998">
        <f>IF('[2]BASE'!FS48=0,"",'[2]BASE'!FS48)</f>
      </c>
      <c r="K48" s="998">
        <f>IF('[2]BASE'!FT48=0,"",'[2]BASE'!FT48)</f>
      </c>
      <c r="L48" s="998">
        <f>IF('[2]BASE'!FU48=0,"",'[2]BASE'!FU48)</f>
      </c>
      <c r="M48" s="998">
        <f>IF('[2]BASE'!FV48=0,"",'[2]BASE'!FV48)</f>
      </c>
      <c r="N48" s="998">
        <f>IF('[2]BASE'!FW48=0,"",'[2]BASE'!FW48)</f>
      </c>
      <c r="O48" s="998">
        <f>IF('[2]BASE'!FX48=0,"",'[2]BASE'!FX48)</f>
      </c>
      <c r="P48" s="998">
        <f>IF('[2]BASE'!FY48=0,"",'[2]BASE'!FY48)</f>
        <v>1</v>
      </c>
      <c r="Q48" s="998">
        <f>IF('[2]BASE'!FZ48=0,"",'[2]BASE'!FZ48)</f>
      </c>
      <c r="R48" s="998">
        <f>IF('[2]BASE'!GA48=0,"",'[2]BASE'!GA48)</f>
      </c>
      <c r="S48" s="998">
        <f>IF('[2]BASE'!GB48=0,"",'[2]BASE'!GB48)</f>
      </c>
      <c r="T48" s="999"/>
      <c r="U48" s="995"/>
    </row>
    <row r="49" spans="2:21" s="989" customFormat="1" ht="19.5" customHeight="1">
      <c r="B49" s="990"/>
      <c r="C49" s="1002">
        <f>IF('[2]BASE'!C49=0,"",'[2]BASE'!C49)</f>
        <v>33</v>
      </c>
      <c r="D49" s="1002" t="str">
        <f>IF('[2]BASE'!D49=0,"",'[2]BASE'!D49)</f>
        <v>OLAVARRIA - BAHIA BLANCA 2</v>
      </c>
      <c r="E49" s="1002">
        <f>IF('[2]BASE'!E49=0,"",'[2]BASE'!E49)</f>
        <v>500</v>
      </c>
      <c r="F49" s="1002">
        <f>IF('[2]BASE'!F49=0,"",'[2]BASE'!F49)</f>
        <v>254.8</v>
      </c>
      <c r="G49" s="1003">
        <f>IF('[2]BASE'!G49=0,"",'[2]BASE'!G49)</f>
      </c>
      <c r="H49" s="998">
        <f>IF('[2]BASE'!FQ49=0,"",'[2]BASE'!FQ49)</f>
      </c>
      <c r="I49" s="998">
        <f>IF('[2]BASE'!FR49=0,"",'[2]BASE'!FR49)</f>
      </c>
      <c r="J49" s="998">
        <f>IF('[2]BASE'!FS49=0,"",'[2]BASE'!FS49)</f>
      </c>
      <c r="K49" s="998">
        <f>IF('[2]BASE'!FT49=0,"",'[2]BASE'!FT49)</f>
      </c>
      <c r="L49" s="998">
        <f>IF('[2]BASE'!FU49=0,"",'[2]BASE'!FU49)</f>
      </c>
      <c r="M49" s="998">
        <f>IF('[2]BASE'!FV49=0,"",'[2]BASE'!FV49)</f>
      </c>
      <c r="N49" s="998">
        <f>IF('[2]BASE'!FW49=0,"",'[2]BASE'!FW49)</f>
      </c>
      <c r="O49" s="998">
        <f>IF('[2]BASE'!FX49=0,"",'[2]BASE'!FX49)</f>
      </c>
      <c r="P49" s="998">
        <f>IF('[2]BASE'!FY49=0,"",'[2]BASE'!FY49)</f>
      </c>
      <c r="Q49" s="998">
        <f>IF('[2]BASE'!FZ49=0,"",'[2]BASE'!FZ49)</f>
      </c>
      <c r="R49" s="998">
        <f>IF('[2]BASE'!GA49=0,"",'[2]BASE'!GA49)</f>
      </c>
      <c r="S49" s="998">
        <f>IF('[2]BASE'!GB49=0,"",'[2]BASE'!GB49)</f>
      </c>
      <c r="T49" s="999"/>
      <c r="U49" s="995"/>
    </row>
    <row r="50" spans="2:21" s="989" customFormat="1" ht="19.5" customHeight="1">
      <c r="B50" s="990"/>
      <c r="C50" s="1000">
        <f>IF('[2]BASE'!C50=0,"",'[2]BASE'!C50)</f>
        <v>34</v>
      </c>
      <c r="D50" s="1000" t="str">
        <f>IF('[2]BASE'!D50=0,"",'[2]BASE'!D50)</f>
        <v>P.del AGUILA  - CHOELE CHOEL</v>
      </c>
      <c r="E50" s="1000">
        <f>IF('[2]BASE'!E50=0,"",'[2]BASE'!E50)</f>
        <v>500</v>
      </c>
      <c r="F50" s="1000">
        <f>IF('[2]BASE'!F50=0,"",'[2]BASE'!F50)</f>
        <v>386.7</v>
      </c>
      <c r="G50" s="1001">
        <f>IF('[2]BASE'!G50=0,"",'[2]BASE'!G50)</f>
      </c>
      <c r="H50" s="998">
        <f>IF('[2]BASE'!FQ50=0,"",'[2]BASE'!FQ50)</f>
      </c>
      <c r="I50" s="998">
        <f>IF('[2]BASE'!FR50=0,"",'[2]BASE'!FR50)</f>
      </c>
      <c r="J50" s="998">
        <f>IF('[2]BASE'!FS50=0,"",'[2]BASE'!FS50)</f>
      </c>
      <c r="K50" s="998">
        <f>IF('[2]BASE'!FT50=0,"",'[2]BASE'!FT50)</f>
      </c>
      <c r="L50" s="998">
        <f>IF('[2]BASE'!FU50=0,"",'[2]BASE'!FU50)</f>
      </c>
      <c r="M50" s="998">
        <f>IF('[2]BASE'!FV50=0,"",'[2]BASE'!FV50)</f>
      </c>
      <c r="N50" s="998">
        <f>IF('[2]BASE'!FW50=0,"",'[2]BASE'!FW50)</f>
      </c>
      <c r="O50" s="998">
        <f>IF('[2]BASE'!FX50=0,"",'[2]BASE'!FX50)</f>
      </c>
      <c r="P50" s="998">
        <f>IF('[2]BASE'!FY50=0,"",'[2]BASE'!FY50)</f>
      </c>
      <c r="Q50" s="998">
        <f>IF('[2]BASE'!FZ50=0,"",'[2]BASE'!FZ50)</f>
      </c>
      <c r="R50" s="998">
        <f>IF('[2]BASE'!GA50=0,"",'[2]BASE'!GA50)</f>
      </c>
      <c r="S50" s="998">
        <f>IF('[2]BASE'!GB50=0,"",'[2]BASE'!GB50)</f>
      </c>
      <c r="T50" s="999"/>
      <c r="U50" s="995"/>
    </row>
    <row r="51" spans="2:21" s="989" customFormat="1" ht="19.5" customHeight="1">
      <c r="B51" s="990"/>
      <c r="C51" s="1002">
        <f>IF('[2]BASE'!C51=0,"",'[2]BASE'!C51)</f>
        <v>35</v>
      </c>
      <c r="D51" s="1002" t="str">
        <f>IF('[2]BASE'!D51=0,"",'[2]BASE'!D51)</f>
        <v>P.del AGUILA  - CHO. W. 1 (5GW1)</v>
      </c>
      <c r="E51" s="1002">
        <f>IF('[2]BASE'!E51=0,"",'[2]BASE'!E51)</f>
        <v>500</v>
      </c>
      <c r="F51" s="1002">
        <f>IF('[2]BASE'!F51=0,"",'[2]BASE'!F51)</f>
        <v>165</v>
      </c>
      <c r="G51" s="1003" t="str">
        <f>IF('[2]BASE'!G51=0,"",'[2]BASE'!G51)</f>
        <v>A</v>
      </c>
      <c r="H51" s="998">
        <f>IF('[2]BASE'!FQ51=0,"",'[2]BASE'!FQ51)</f>
      </c>
      <c r="I51" s="998">
        <f>IF('[2]BASE'!FR51=0,"",'[2]BASE'!FR51)</f>
      </c>
      <c r="J51" s="998">
        <f>IF('[2]BASE'!FS51=0,"",'[2]BASE'!FS51)</f>
        <v>1</v>
      </c>
      <c r="K51" s="998">
        <f>IF('[2]BASE'!FT51=0,"",'[2]BASE'!FT51)</f>
      </c>
      <c r="L51" s="998">
        <f>IF('[2]BASE'!FU51=0,"",'[2]BASE'!FU51)</f>
      </c>
      <c r="M51" s="998">
        <f>IF('[2]BASE'!FV51=0,"",'[2]BASE'!FV51)</f>
      </c>
      <c r="N51" s="998">
        <f>IF('[2]BASE'!FW51=0,"",'[2]BASE'!FW51)</f>
      </c>
      <c r="O51" s="998">
        <f>IF('[2]BASE'!FX51=0,"",'[2]BASE'!FX51)</f>
      </c>
      <c r="P51" s="998">
        <f>IF('[2]BASE'!FY51=0,"",'[2]BASE'!FY51)</f>
      </c>
      <c r="Q51" s="998">
        <f>IF('[2]BASE'!FZ51=0,"",'[2]BASE'!FZ51)</f>
      </c>
      <c r="R51" s="998">
        <f>IF('[2]BASE'!GA51=0,"",'[2]BASE'!GA51)</f>
      </c>
      <c r="S51" s="998">
        <f>IF('[2]BASE'!GB51=0,"",'[2]BASE'!GB51)</f>
      </c>
      <c r="T51" s="999"/>
      <c r="U51" s="995"/>
    </row>
    <row r="52" spans="2:21" s="989" customFormat="1" ht="19.5" customHeight="1">
      <c r="B52" s="990"/>
      <c r="C52" s="1000">
        <f>IF('[2]BASE'!C52=0,"",'[2]BASE'!C52)</f>
        <v>36</v>
      </c>
      <c r="D52" s="1000" t="str">
        <f>IF('[2]BASE'!D52=0,"",'[2]BASE'!D52)</f>
        <v>P.del AGUILA  - CHO. W. 2 (5GW2)</v>
      </c>
      <c r="E52" s="1000">
        <f>IF('[2]BASE'!E52=0,"",'[2]BASE'!E52)</f>
        <v>500</v>
      </c>
      <c r="F52" s="1000">
        <f>IF('[2]BASE'!F52=0,"",'[2]BASE'!F52)</f>
        <v>170</v>
      </c>
      <c r="G52" s="1001" t="str">
        <f>IF('[2]BASE'!G52=0,"",'[2]BASE'!G52)</f>
        <v>A</v>
      </c>
      <c r="H52" s="998">
        <f>IF('[2]BASE'!FQ52=0,"",'[2]BASE'!FQ52)</f>
      </c>
      <c r="I52" s="998">
        <f>IF('[2]BASE'!FR52=0,"",'[2]BASE'!FR52)</f>
      </c>
      <c r="J52" s="998">
        <f>IF('[2]BASE'!FS52=0,"",'[2]BASE'!FS52)</f>
      </c>
      <c r="K52" s="998">
        <f>IF('[2]BASE'!FT52=0,"",'[2]BASE'!FT52)</f>
      </c>
      <c r="L52" s="998">
        <f>IF('[2]BASE'!FU52=0,"",'[2]BASE'!FU52)</f>
      </c>
      <c r="M52" s="998">
        <f>IF('[2]BASE'!FV52=0,"",'[2]BASE'!FV52)</f>
      </c>
      <c r="N52" s="998">
        <f>IF('[2]BASE'!FW52=0,"",'[2]BASE'!FW52)</f>
      </c>
      <c r="O52" s="998">
        <f>IF('[2]BASE'!FX52=0,"",'[2]BASE'!FX52)</f>
      </c>
      <c r="P52" s="998">
        <f>IF('[2]BASE'!FY52=0,"",'[2]BASE'!FY52)</f>
      </c>
      <c r="Q52" s="998">
        <f>IF('[2]BASE'!FZ52=0,"",'[2]BASE'!FZ52)</f>
      </c>
      <c r="R52" s="998">
        <f>IF('[2]BASE'!GA52=0,"",'[2]BASE'!GA52)</f>
      </c>
      <c r="S52" s="998">
        <f>IF('[2]BASE'!GB52=0,"",'[2]BASE'!GB52)</f>
      </c>
      <c r="T52" s="999"/>
      <c r="U52" s="995"/>
    </row>
    <row r="53" spans="2:21" s="989" customFormat="1" ht="19.5" customHeight="1">
      <c r="B53" s="990"/>
      <c r="C53" s="1002">
        <f>IF('[2]BASE'!C53=0,"",'[2]BASE'!C53)</f>
        <v>37</v>
      </c>
      <c r="D53" s="1002" t="str">
        <f>IF('[2]BASE'!D53=0,"",'[2]BASE'!D53)</f>
        <v>PUELCHES - HENDERSON 1 (B1)</v>
      </c>
      <c r="E53" s="1002">
        <f>IF('[2]BASE'!E53=0,"",'[2]BASE'!E53)</f>
        <v>500</v>
      </c>
      <c r="F53" s="1002">
        <f>IF('[2]BASE'!F53=0,"",'[2]BASE'!F53)</f>
        <v>421</v>
      </c>
      <c r="G53" s="1003" t="str">
        <f>IF('[2]BASE'!G53=0,"",'[2]BASE'!G53)</f>
        <v>A</v>
      </c>
      <c r="H53" s="998">
        <f>IF('[2]BASE'!FQ53=0,"",'[2]BASE'!FQ53)</f>
      </c>
      <c r="I53" s="998">
        <f>IF('[2]BASE'!FR53=0,"",'[2]BASE'!FR53)</f>
        <v>1</v>
      </c>
      <c r="J53" s="998">
        <f>IF('[2]BASE'!FS53=0,"",'[2]BASE'!FS53)</f>
      </c>
      <c r="K53" s="998">
        <f>IF('[2]BASE'!FT53=0,"",'[2]BASE'!FT53)</f>
      </c>
      <c r="L53" s="998">
        <f>IF('[2]BASE'!FU53=0,"",'[2]BASE'!FU53)</f>
      </c>
      <c r="M53" s="998">
        <f>IF('[2]BASE'!FV53=0,"",'[2]BASE'!FV53)</f>
      </c>
      <c r="N53" s="998">
        <f>IF('[2]BASE'!FW53=0,"",'[2]BASE'!FW53)</f>
      </c>
      <c r="O53" s="998">
        <f>IF('[2]BASE'!FX53=0,"",'[2]BASE'!FX53)</f>
      </c>
      <c r="P53" s="998">
        <f>IF('[2]BASE'!FY53=0,"",'[2]BASE'!FY53)</f>
        <v>1</v>
      </c>
      <c r="Q53" s="998">
        <f>IF('[2]BASE'!FZ53=0,"",'[2]BASE'!FZ53)</f>
      </c>
      <c r="R53" s="998">
        <f>IF('[2]BASE'!GA53=0,"",'[2]BASE'!GA53)</f>
      </c>
      <c r="S53" s="998">
        <f>IF('[2]BASE'!GB53=0,"",'[2]BASE'!GB53)</f>
      </c>
      <c r="T53" s="999"/>
      <c r="U53" s="995"/>
    </row>
    <row r="54" spans="2:21" s="989" customFormat="1" ht="19.5" customHeight="1">
      <c r="B54" s="990"/>
      <c r="C54" s="1000">
        <f>IF('[2]BASE'!C54=0,"",'[2]BASE'!C54)</f>
        <v>38</v>
      </c>
      <c r="D54" s="1000" t="str">
        <f>IF('[2]BASE'!D54=0,"",'[2]BASE'!D54)</f>
        <v>PUELCHES - HENDERSON 2 (B2)</v>
      </c>
      <c r="E54" s="1000">
        <f>IF('[2]BASE'!E54=0,"",'[2]BASE'!E54)</f>
        <v>500</v>
      </c>
      <c r="F54" s="1000">
        <f>IF('[2]BASE'!F54=0,"",'[2]BASE'!F54)</f>
        <v>421</v>
      </c>
      <c r="G54" s="1001" t="str">
        <f>IF('[2]BASE'!G54=0,"",'[2]BASE'!G54)</f>
        <v>A</v>
      </c>
      <c r="H54" s="998" t="str">
        <f>IF('[2]BASE'!FQ54=0,"",'[2]BASE'!FQ54)</f>
        <v>XXXX</v>
      </c>
      <c r="I54" s="998" t="str">
        <f>IF('[2]BASE'!FR54=0,"",'[2]BASE'!FR54)</f>
        <v>XXXX</v>
      </c>
      <c r="J54" s="998" t="str">
        <f>IF('[2]BASE'!FS54=0,"",'[2]BASE'!FS54)</f>
        <v>XXXX</v>
      </c>
      <c r="K54" s="998" t="str">
        <f>IF('[2]BASE'!FT54=0,"",'[2]BASE'!FT54)</f>
        <v>XXXX</v>
      </c>
      <c r="L54" s="998" t="str">
        <f>IF('[2]BASE'!FU54=0,"",'[2]BASE'!FU54)</f>
        <v>XXXX</v>
      </c>
      <c r="M54" s="998" t="str">
        <f>IF('[2]BASE'!FV54=0,"",'[2]BASE'!FV54)</f>
        <v>XXXX</v>
      </c>
      <c r="N54" s="998" t="str">
        <f>IF('[2]BASE'!FW54=0,"",'[2]BASE'!FW54)</f>
        <v>XXXX</v>
      </c>
      <c r="O54" s="998" t="str">
        <f>IF('[2]BASE'!FX54=0,"",'[2]BASE'!FX54)</f>
        <v>XXXX</v>
      </c>
      <c r="P54" s="998" t="str">
        <f>IF('[2]BASE'!FY54=0,"",'[2]BASE'!FY54)</f>
        <v>XXXX</v>
      </c>
      <c r="Q54" s="998" t="str">
        <f>IF('[2]BASE'!FZ54=0,"",'[2]BASE'!FZ54)</f>
        <v>XXXX</v>
      </c>
      <c r="R54" s="998" t="str">
        <f>IF('[2]BASE'!GA54=0,"",'[2]BASE'!GA54)</f>
        <v>XXXX</v>
      </c>
      <c r="S54" s="998" t="str">
        <f>IF('[2]BASE'!GB54=0,"",'[2]BASE'!GB54)</f>
        <v>XXXX</v>
      </c>
      <c r="T54" s="999"/>
      <c r="U54" s="995"/>
    </row>
    <row r="55" spans="2:21" s="989" customFormat="1" ht="19.5" customHeight="1">
      <c r="B55" s="990"/>
      <c r="C55" s="1002">
        <f>IF('[2]BASE'!C55=0,"",'[2]BASE'!C55)</f>
        <v>39</v>
      </c>
      <c r="D55" s="1002" t="str">
        <f>IF('[2]BASE'!D55=0,"",'[2]BASE'!D55)</f>
        <v>RECREO - MALVINAS ARG. </v>
      </c>
      <c r="E55" s="1002">
        <f>IF('[2]BASE'!E55=0,"",'[2]BASE'!E55)</f>
        <v>500</v>
      </c>
      <c r="F55" s="1002">
        <f>IF('[2]BASE'!F55=0,"",'[2]BASE'!F55)</f>
        <v>259</v>
      </c>
      <c r="G55" s="1003" t="str">
        <f>IF('[2]BASE'!G55=0,"",'[2]BASE'!G55)</f>
        <v>C</v>
      </c>
      <c r="H55" s="998">
        <f>IF('[2]BASE'!FQ55=0,"",'[2]BASE'!FQ55)</f>
      </c>
      <c r="I55" s="998">
        <f>IF('[2]BASE'!FR55=0,"",'[2]BASE'!FR55)</f>
      </c>
      <c r="J55" s="998">
        <f>IF('[2]BASE'!FS55=0,"",'[2]BASE'!FS55)</f>
      </c>
      <c r="K55" s="998">
        <f>IF('[2]BASE'!FT55=0,"",'[2]BASE'!FT55)</f>
      </c>
      <c r="L55" s="998">
        <f>IF('[2]BASE'!FU55=0,"",'[2]BASE'!FU55)</f>
      </c>
      <c r="M55" s="998">
        <f>IF('[2]BASE'!FV55=0,"",'[2]BASE'!FV55)</f>
      </c>
      <c r="N55" s="998">
        <f>IF('[2]BASE'!FW55=0,"",'[2]BASE'!FW55)</f>
      </c>
      <c r="O55" s="998">
        <f>IF('[2]BASE'!FX55=0,"",'[2]BASE'!FX55)</f>
      </c>
      <c r="P55" s="998">
        <f>IF('[2]BASE'!FY55=0,"",'[2]BASE'!FY55)</f>
      </c>
      <c r="Q55" s="998">
        <f>IF('[2]BASE'!FZ55=0,"",'[2]BASE'!FZ55)</f>
      </c>
      <c r="R55" s="998">
        <f>IF('[2]BASE'!GA55=0,"",'[2]BASE'!GA55)</f>
      </c>
      <c r="S55" s="998">
        <f>IF('[2]BASE'!GB55=0,"",'[2]BASE'!GB55)</f>
      </c>
      <c r="T55" s="999"/>
      <c r="U55" s="995"/>
    </row>
    <row r="56" spans="2:21" s="989" customFormat="1" ht="19.5" customHeight="1">
      <c r="B56" s="990"/>
      <c r="C56" s="1000">
        <f>IF('[2]BASE'!C56=0,"",'[2]BASE'!C56)</f>
        <v>40</v>
      </c>
      <c r="D56" s="1000" t="str">
        <f>IF('[2]BASE'!D56=0,"",'[2]BASE'!D56)</f>
        <v>RIO GRANDE - EMBALSE</v>
      </c>
      <c r="E56" s="1000">
        <f>IF('[2]BASE'!E56=0,"",'[2]BASE'!E56)</f>
        <v>500</v>
      </c>
      <c r="F56" s="1000">
        <f>IF('[2]BASE'!F56=0,"",'[2]BASE'!F56)</f>
        <v>30</v>
      </c>
      <c r="G56" s="1001" t="str">
        <f>IF('[2]BASE'!G56=0,"",'[2]BASE'!G56)</f>
        <v>B</v>
      </c>
      <c r="H56" s="998">
        <f>IF('[2]BASE'!FQ56=0,"",'[2]BASE'!FQ56)</f>
      </c>
      <c r="I56" s="998">
        <f>IF('[2]BASE'!FR56=0,"",'[2]BASE'!FR56)</f>
      </c>
      <c r="J56" s="998">
        <f>IF('[2]BASE'!FS56=0,"",'[2]BASE'!FS56)</f>
      </c>
      <c r="K56" s="998">
        <f>IF('[2]BASE'!FT56=0,"",'[2]BASE'!FT56)</f>
      </c>
      <c r="L56" s="998">
        <f>IF('[2]BASE'!FU56=0,"",'[2]BASE'!FU56)</f>
      </c>
      <c r="M56" s="998">
        <f>IF('[2]BASE'!FV56=0,"",'[2]BASE'!FV56)</f>
      </c>
      <c r="N56" s="998">
        <f>IF('[2]BASE'!FW56=0,"",'[2]BASE'!FW56)</f>
      </c>
      <c r="O56" s="998">
        <f>IF('[2]BASE'!FX56=0,"",'[2]BASE'!FX56)</f>
      </c>
      <c r="P56" s="998">
        <f>IF('[2]BASE'!FY56=0,"",'[2]BASE'!FY56)</f>
      </c>
      <c r="Q56" s="998">
        <f>IF('[2]BASE'!FZ56=0,"",'[2]BASE'!FZ56)</f>
      </c>
      <c r="R56" s="998">
        <f>IF('[2]BASE'!GA56=0,"",'[2]BASE'!GA56)</f>
      </c>
      <c r="S56" s="998">
        <f>IF('[2]BASE'!GB56=0,"",'[2]BASE'!GB56)</f>
      </c>
      <c r="T56" s="999"/>
      <c r="U56" s="995"/>
    </row>
    <row r="57" spans="2:21" s="989" customFormat="1" ht="19.5" customHeight="1">
      <c r="B57" s="990"/>
      <c r="C57" s="1002">
        <f>IF('[2]BASE'!C57=0,"",'[2]BASE'!C57)</f>
        <v>41</v>
      </c>
      <c r="D57" s="1002" t="str">
        <f>IF('[2]BASE'!D57=0,"",'[2]BASE'!D57)</f>
        <v>RIO GRANDE - GRAN MENDOZA</v>
      </c>
      <c r="E57" s="1002">
        <f>IF('[2]BASE'!E57=0,"",'[2]BASE'!E57)</f>
        <v>500</v>
      </c>
      <c r="F57" s="1002">
        <f>IF('[2]BASE'!F57=0,"",'[2]BASE'!F57)</f>
        <v>407</v>
      </c>
      <c r="G57" s="1003" t="str">
        <f>IF('[2]BASE'!G57=0,"",'[2]BASE'!G57)</f>
        <v>B</v>
      </c>
      <c r="H57" s="998" t="str">
        <f>IF('[2]BASE'!FQ57=0,"",'[2]BASE'!FQ57)</f>
        <v>XXXX</v>
      </c>
      <c r="I57" s="998" t="str">
        <f>IF('[2]BASE'!FR57=0,"",'[2]BASE'!FR57)</f>
        <v>XXXX</v>
      </c>
      <c r="J57" s="998" t="str">
        <f>IF('[2]BASE'!FS57=0,"",'[2]BASE'!FS57)</f>
        <v>XXXX</v>
      </c>
      <c r="K57" s="998" t="str">
        <f>IF('[2]BASE'!FT57=0,"",'[2]BASE'!FT57)</f>
        <v>XXXX</v>
      </c>
      <c r="L57" s="998" t="str">
        <f>IF('[2]BASE'!FU57=0,"",'[2]BASE'!FU57)</f>
        <v>XXXX</v>
      </c>
      <c r="M57" s="998" t="str">
        <f>IF('[2]BASE'!FV57=0,"",'[2]BASE'!FV57)</f>
        <v>XXXX</v>
      </c>
      <c r="N57" s="998" t="str">
        <f>IF('[2]BASE'!FW57=0,"",'[2]BASE'!FW57)</f>
        <v>XXXX</v>
      </c>
      <c r="O57" s="998" t="str">
        <f>IF('[2]BASE'!FX57=0,"",'[2]BASE'!FX57)</f>
        <v>XXXX</v>
      </c>
      <c r="P57" s="998" t="str">
        <f>IF('[2]BASE'!FY57=0,"",'[2]BASE'!FY57)</f>
        <v>XXXX</v>
      </c>
      <c r="Q57" s="998" t="str">
        <f>IF('[2]BASE'!FZ57=0,"",'[2]BASE'!FZ57)</f>
        <v>XXXX</v>
      </c>
      <c r="R57" s="998" t="str">
        <f>IF('[2]BASE'!GA57=0,"",'[2]BASE'!GA57)</f>
        <v>XXXX</v>
      </c>
      <c r="S57" s="998" t="str">
        <f>IF('[2]BASE'!GB57=0,"",'[2]BASE'!GB57)</f>
        <v>XXXX</v>
      </c>
      <c r="T57" s="999"/>
      <c r="U57" s="995"/>
    </row>
    <row r="58" spans="2:21" s="989" customFormat="1" ht="19.5" customHeight="1">
      <c r="B58" s="990"/>
      <c r="C58" s="1000">
        <f>IF('[2]BASE'!C58=0,"",'[2]BASE'!C58)</f>
        <v>42</v>
      </c>
      <c r="D58" s="1000" t="str">
        <f>IF('[2]BASE'!D58=0,"",'[2]BASE'!D58)</f>
        <v>RIO GRANDE - LUJAN</v>
      </c>
      <c r="E58" s="1000">
        <f>IF('[2]BASE'!E58=0,"",'[2]BASE'!E58)</f>
        <v>500</v>
      </c>
      <c r="F58" s="1000">
        <f>IF('[2]BASE'!F58=0,"",'[2]BASE'!F58)</f>
        <v>150</v>
      </c>
      <c r="G58" s="1001" t="str">
        <f>IF('[2]BASE'!G58=0,"",'[2]BASE'!G58)</f>
        <v>A</v>
      </c>
      <c r="H58" s="998">
        <f>IF('[2]BASE'!FQ58=0,"",'[2]BASE'!FQ58)</f>
      </c>
      <c r="I58" s="998">
        <f>IF('[2]BASE'!FR58=0,"",'[2]BASE'!FR58)</f>
      </c>
      <c r="J58" s="998">
        <f>IF('[2]BASE'!FS58=0,"",'[2]BASE'!FS58)</f>
      </c>
      <c r="K58" s="998">
        <f>IF('[2]BASE'!FT58=0,"",'[2]BASE'!FT58)</f>
      </c>
      <c r="L58" s="998">
        <f>IF('[2]BASE'!FU58=0,"",'[2]BASE'!FU58)</f>
      </c>
      <c r="M58" s="998">
        <f>IF('[2]BASE'!FV58=0,"",'[2]BASE'!FV58)</f>
      </c>
      <c r="N58" s="998">
        <f>IF('[2]BASE'!FW58=0,"",'[2]BASE'!FW58)</f>
      </c>
      <c r="O58" s="998">
        <f>IF('[2]BASE'!FX58=0,"",'[2]BASE'!FX58)</f>
      </c>
      <c r="P58" s="998">
        <f>IF('[2]BASE'!FY58=0,"",'[2]BASE'!FY58)</f>
      </c>
      <c r="Q58" s="998">
        <f>IF('[2]BASE'!FZ58=0,"",'[2]BASE'!FZ58)</f>
      </c>
      <c r="R58" s="998">
        <f>IF('[2]BASE'!GA58=0,"",'[2]BASE'!GA58)</f>
      </c>
      <c r="S58" s="998">
        <f>IF('[2]BASE'!GB58=0,"",'[2]BASE'!GB58)</f>
      </c>
      <c r="T58" s="999"/>
      <c r="U58" s="995"/>
    </row>
    <row r="59" spans="2:21" s="989" customFormat="1" ht="19.5" customHeight="1">
      <c r="B59" s="990"/>
      <c r="C59" s="1002">
        <f>IF('[2]BASE'!C59=0,"",'[2]BASE'!C59)</f>
        <v>43</v>
      </c>
      <c r="D59" s="1002" t="str">
        <f>IF('[2]BASE'!D59=0,"",'[2]BASE'!D59)</f>
        <v>LUJAN - GRAN MENDOZA</v>
      </c>
      <c r="E59" s="1002">
        <f>IF('[2]BASE'!E59=0,"",'[2]BASE'!E59)</f>
        <v>500</v>
      </c>
      <c r="F59" s="1002">
        <f>IF('[2]BASE'!F59=0,"",'[2]BASE'!F59)</f>
        <v>257</v>
      </c>
      <c r="G59" s="1003" t="str">
        <f>IF('[2]BASE'!G59=0,"",'[2]BASE'!G59)</f>
        <v>B</v>
      </c>
      <c r="H59" s="998">
        <f>IF('[2]BASE'!FQ59=0,"",'[2]BASE'!FQ59)</f>
      </c>
      <c r="I59" s="998">
        <f>IF('[2]BASE'!FR59=0,"",'[2]BASE'!FR59)</f>
      </c>
      <c r="J59" s="998">
        <f>IF('[2]BASE'!FS59=0,"",'[2]BASE'!FS59)</f>
      </c>
      <c r="K59" s="998">
        <f>IF('[2]BASE'!FT59=0,"",'[2]BASE'!FT59)</f>
      </c>
      <c r="L59" s="998">
        <f>IF('[2]BASE'!FU59=0,"",'[2]BASE'!FU59)</f>
      </c>
      <c r="M59" s="998">
        <f>IF('[2]BASE'!FV59=0,"",'[2]BASE'!FV59)</f>
      </c>
      <c r="N59" s="998">
        <f>IF('[2]BASE'!FW59=0,"",'[2]BASE'!FW59)</f>
      </c>
      <c r="O59" s="998">
        <f>IF('[2]BASE'!FX59=0,"",'[2]BASE'!FX59)</f>
      </c>
      <c r="P59" s="998">
        <f>IF('[2]BASE'!FY59=0,"",'[2]BASE'!FY59)</f>
      </c>
      <c r="Q59" s="998">
        <f>IF('[2]BASE'!FZ59=0,"",'[2]BASE'!FZ59)</f>
      </c>
      <c r="R59" s="998">
        <f>IF('[2]BASE'!GA59=0,"",'[2]BASE'!GA59)</f>
      </c>
      <c r="S59" s="998">
        <f>IF('[2]BASE'!GB59=0,"",'[2]BASE'!GB59)</f>
      </c>
      <c r="T59" s="999"/>
      <c r="U59" s="995"/>
    </row>
    <row r="60" spans="2:21" s="989" customFormat="1" ht="19.5" customHeight="1">
      <c r="B60" s="990"/>
      <c r="C60" s="1000">
        <f>IF('[2]BASE'!C60=0,"",'[2]BASE'!C60)</f>
        <v>44</v>
      </c>
      <c r="D60" s="1000" t="str">
        <f>IF('[2]BASE'!D60=0,"",'[2]BASE'!D60)</f>
        <v>ROMANG - RESISTENCIA</v>
      </c>
      <c r="E60" s="1000">
        <f>IF('[2]BASE'!E60=0,"",'[2]BASE'!E60)</f>
        <v>500</v>
      </c>
      <c r="F60" s="1000">
        <f>IF('[2]BASE'!F60=0,"",'[2]BASE'!F60)</f>
        <v>256</v>
      </c>
      <c r="G60" s="1001" t="str">
        <f>IF('[2]BASE'!G60=0,"",'[2]BASE'!G60)</f>
        <v>A</v>
      </c>
      <c r="H60" s="998">
        <f>IF('[2]BASE'!FQ60=0,"",'[2]BASE'!FQ60)</f>
      </c>
      <c r="I60" s="998">
        <f>IF('[2]BASE'!FR60=0,"",'[2]BASE'!FR60)</f>
      </c>
      <c r="J60" s="998">
        <f>IF('[2]BASE'!FS60=0,"",'[2]BASE'!FS60)</f>
      </c>
      <c r="K60" s="998">
        <f>IF('[2]BASE'!FT60=0,"",'[2]BASE'!FT60)</f>
      </c>
      <c r="L60" s="998">
        <f>IF('[2]BASE'!FU60=0,"",'[2]BASE'!FU60)</f>
      </c>
      <c r="M60" s="998">
        <f>IF('[2]BASE'!FV60=0,"",'[2]BASE'!FV60)</f>
      </c>
      <c r="N60" s="998">
        <f>IF('[2]BASE'!FW60=0,"",'[2]BASE'!FW60)</f>
      </c>
      <c r="O60" s="998">
        <f>IF('[2]BASE'!FX60=0,"",'[2]BASE'!FX60)</f>
      </c>
      <c r="P60" s="998">
        <f>IF('[2]BASE'!FY60=0,"",'[2]BASE'!FY60)</f>
      </c>
      <c r="Q60" s="998">
        <f>IF('[2]BASE'!FZ60=0,"",'[2]BASE'!FZ60)</f>
      </c>
      <c r="R60" s="998">
        <f>IF('[2]BASE'!GA60=0,"",'[2]BASE'!GA60)</f>
        <v>1</v>
      </c>
      <c r="S60" s="998">
        <f>IF('[2]BASE'!GB60=0,"",'[2]BASE'!GB60)</f>
        <v>1</v>
      </c>
      <c r="T60" s="999"/>
      <c r="U60" s="995"/>
    </row>
    <row r="61" spans="2:21" s="989" customFormat="1" ht="19.5" customHeight="1">
      <c r="B61" s="990"/>
      <c r="C61" s="1002">
        <f>IF('[2]BASE'!C61=0,"",'[2]BASE'!C61)</f>
        <v>45</v>
      </c>
      <c r="D61" s="1002" t="str">
        <f>IF('[2]BASE'!D61=0,"",'[2]BASE'!D61)</f>
        <v>ROSARIO OESTE -SANTO TOME</v>
      </c>
      <c r="E61" s="1002">
        <f>IF('[2]BASE'!E61=0,"",'[2]BASE'!E61)</f>
        <v>500</v>
      </c>
      <c r="F61" s="1002">
        <f>IF('[2]BASE'!F61=0,"",'[2]BASE'!F61)</f>
        <v>159</v>
      </c>
      <c r="G61" s="1003" t="str">
        <f>IF('[2]BASE'!G61=0,"",'[2]BASE'!G61)</f>
        <v>C</v>
      </c>
      <c r="H61" s="998">
        <f>IF('[2]BASE'!FQ61=0,"",'[2]BASE'!FQ61)</f>
      </c>
      <c r="I61" s="998">
        <f>IF('[2]BASE'!FR61=0,"",'[2]BASE'!FR61)</f>
      </c>
      <c r="J61" s="998">
        <f>IF('[2]BASE'!FS61=0,"",'[2]BASE'!FS61)</f>
      </c>
      <c r="K61" s="998">
        <f>IF('[2]BASE'!FT61=0,"",'[2]BASE'!FT61)</f>
        <v>1</v>
      </c>
      <c r="L61" s="998">
        <f>IF('[2]BASE'!FU61=0,"",'[2]BASE'!FU61)</f>
        <v>1</v>
      </c>
      <c r="M61" s="998">
        <f>IF('[2]BASE'!FV61=0,"",'[2]BASE'!FV61)</f>
        <v>1</v>
      </c>
      <c r="N61" s="998">
        <f>IF('[2]BASE'!FW61=0,"",'[2]BASE'!FW61)</f>
      </c>
      <c r="O61" s="998">
        <f>IF('[2]BASE'!FX61=0,"",'[2]BASE'!FX61)</f>
      </c>
      <c r="P61" s="998">
        <f>IF('[2]BASE'!FY61=0,"",'[2]BASE'!FY61)</f>
      </c>
      <c r="Q61" s="998">
        <f>IF('[2]BASE'!FZ61=0,"",'[2]BASE'!FZ61)</f>
      </c>
      <c r="R61" s="998">
        <f>IF('[2]BASE'!GA61=0,"",'[2]BASE'!GA61)</f>
      </c>
      <c r="S61" s="998">
        <f>IF('[2]BASE'!GB61=0,"",'[2]BASE'!GB61)</f>
        <v>1</v>
      </c>
      <c r="T61" s="999"/>
      <c r="U61" s="995"/>
    </row>
    <row r="62" spans="2:21" s="989" customFormat="1" ht="19.5" customHeight="1">
      <c r="B62" s="990"/>
      <c r="C62" s="1000">
        <f>IF('[2]BASE'!C62=0,"",'[2]BASE'!C62)</f>
        <v>46</v>
      </c>
      <c r="D62" s="1000" t="str">
        <f>IF('[2]BASE'!D62=0,"",'[2]BASE'!D62)</f>
        <v>SALTO GRANDE - SANTO TOME </v>
      </c>
      <c r="E62" s="1000">
        <f>IF('[2]BASE'!E62=0,"",'[2]BASE'!E62)</f>
        <v>500</v>
      </c>
      <c r="F62" s="1000">
        <f>IF('[2]BASE'!F62=0,"",'[2]BASE'!F62)</f>
        <v>289</v>
      </c>
      <c r="G62" s="1001" t="str">
        <f>IF('[2]BASE'!G62=0,"",'[2]BASE'!G62)</f>
        <v>C</v>
      </c>
      <c r="H62" s="998">
        <f>IF('[2]BASE'!FQ62=0,"",'[2]BASE'!FQ62)</f>
      </c>
      <c r="I62" s="998">
        <f>IF('[2]BASE'!FR62=0,"",'[2]BASE'!FR62)</f>
      </c>
      <c r="J62" s="998">
        <f>IF('[2]BASE'!FS62=0,"",'[2]BASE'!FS62)</f>
      </c>
      <c r="K62" s="998">
        <f>IF('[2]BASE'!FT62=0,"",'[2]BASE'!FT62)</f>
      </c>
      <c r="L62" s="998">
        <f>IF('[2]BASE'!FU62=0,"",'[2]BASE'!FU62)</f>
      </c>
      <c r="M62" s="998">
        <f>IF('[2]BASE'!FV62=0,"",'[2]BASE'!FV62)</f>
      </c>
      <c r="N62" s="998">
        <f>IF('[2]BASE'!FW62=0,"",'[2]BASE'!FW62)</f>
      </c>
      <c r="O62" s="998">
        <f>IF('[2]BASE'!FX62=0,"",'[2]BASE'!FX62)</f>
      </c>
      <c r="P62" s="998">
        <f>IF('[2]BASE'!FY62=0,"",'[2]BASE'!FY62)</f>
      </c>
      <c r="Q62" s="998">
        <f>IF('[2]BASE'!FZ62=0,"",'[2]BASE'!FZ62)</f>
      </c>
      <c r="R62" s="998">
        <f>IF('[2]BASE'!GA62=0,"",'[2]BASE'!GA62)</f>
        <v>1</v>
      </c>
      <c r="S62" s="998">
        <f>IF('[2]BASE'!GB62=0,"",'[2]BASE'!GB62)</f>
      </c>
      <c r="T62" s="999"/>
      <c r="U62" s="995"/>
    </row>
    <row r="63" spans="2:21" s="989" customFormat="1" ht="19.5" customHeight="1">
      <c r="B63" s="990"/>
      <c r="C63" s="1002">
        <f>IF('[2]BASE'!C63=0,"",'[2]BASE'!C63)</f>
        <v>47</v>
      </c>
      <c r="D63" s="1002" t="str">
        <f>IF('[2]BASE'!D63=0,"",'[2]BASE'!D63)</f>
        <v>SANTO TOME - ROMANG </v>
      </c>
      <c r="E63" s="1002">
        <f>IF('[2]BASE'!E63=0,"",'[2]BASE'!E63)</f>
        <v>500</v>
      </c>
      <c r="F63" s="1002">
        <f>IF('[2]BASE'!F63=0,"",'[2]BASE'!F63)</f>
        <v>270</v>
      </c>
      <c r="G63" s="1003" t="str">
        <f>IF('[2]BASE'!G63=0,"",'[2]BASE'!G63)</f>
        <v>A</v>
      </c>
      <c r="H63" s="998">
        <f>IF('[2]BASE'!FQ63=0,"",'[2]BASE'!FQ63)</f>
      </c>
      <c r="I63" s="998">
        <f>IF('[2]BASE'!FR63=0,"",'[2]BASE'!FR63)</f>
      </c>
      <c r="J63" s="998">
        <f>IF('[2]BASE'!FS63=0,"",'[2]BASE'!FS63)</f>
      </c>
      <c r="K63" s="998">
        <f>IF('[2]BASE'!FT63=0,"",'[2]BASE'!FT63)</f>
      </c>
      <c r="L63" s="998">
        <f>IF('[2]BASE'!FU63=0,"",'[2]BASE'!FU63)</f>
      </c>
      <c r="M63" s="998">
        <f>IF('[2]BASE'!FV63=0,"",'[2]BASE'!FV63)</f>
      </c>
      <c r="N63" s="998">
        <f>IF('[2]BASE'!FW63=0,"",'[2]BASE'!FW63)</f>
      </c>
      <c r="O63" s="998">
        <f>IF('[2]BASE'!FX63=0,"",'[2]BASE'!FX63)</f>
      </c>
      <c r="P63" s="998">
        <f>IF('[2]BASE'!FY63=0,"",'[2]BASE'!FY63)</f>
      </c>
      <c r="Q63" s="998">
        <f>IF('[2]BASE'!FZ63=0,"",'[2]BASE'!FZ63)</f>
      </c>
      <c r="R63" s="998">
        <f>IF('[2]BASE'!GA63=0,"",'[2]BASE'!GA63)</f>
      </c>
      <c r="S63" s="998">
        <f>IF('[2]BASE'!GB63=0,"",'[2]BASE'!GB63)</f>
      </c>
      <c r="T63" s="999"/>
      <c r="U63" s="995"/>
    </row>
    <row r="64" spans="2:21" s="989" customFormat="1" ht="9.75" customHeight="1">
      <c r="B64" s="990"/>
      <c r="C64" s="1000">
        <f>IF('[2]BASE'!C64=0,"",'[2]BASE'!C64)</f>
      </c>
      <c r="D64" s="1000">
        <f>IF('[2]BASE'!D64=0,"",'[2]BASE'!D64)</f>
      </c>
      <c r="E64" s="1000">
        <f>IF('[2]BASE'!E64=0,"",'[2]BASE'!E64)</f>
      </c>
      <c r="F64" s="1000">
        <f>IF('[2]BASE'!F64=0,"",'[2]BASE'!F64)</f>
      </c>
      <c r="G64" s="1001">
        <f>IF('[2]BASE'!G64=0,"",'[2]BASE'!G64)</f>
      </c>
      <c r="H64" s="998">
        <f>IF('[2]BASE'!FQ64=0,"",'[2]BASE'!FQ64)</f>
      </c>
      <c r="I64" s="998">
        <f>IF('[2]BASE'!FR64=0,"",'[2]BASE'!FR64)</f>
      </c>
      <c r="J64" s="998">
        <f>IF('[2]BASE'!FS64=0,"",'[2]BASE'!FS64)</f>
      </c>
      <c r="K64" s="998">
        <f>IF('[2]BASE'!FT64=0,"",'[2]BASE'!FT64)</f>
      </c>
      <c r="L64" s="998">
        <f>IF('[2]BASE'!FU64=0,"",'[2]BASE'!FU64)</f>
      </c>
      <c r="M64" s="998">
        <f>IF('[2]BASE'!FV64=0,"",'[2]BASE'!FV64)</f>
      </c>
      <c r="N64" s="998">
        <f>IF('[2]BASE'!FW64=0,"",'[2]BASE'!FW64)</f>
      </c>
      <c r="O64" s="998">
        <f>IF('[2]BASE'!FX64=0,"",'[2]BASE'!FX64)</f>
      </c>
      <c r="P64" s="998">
        <f>IF('[2]BASE'!FY64=0,"",'[2]BASE'!FY64)</f>
      </c>
      <c r="Q64" s="998">
        <f>IF('[2]BASE'!FZ64=0,"",'[2]BASE'!FZ64)</f>
      </c>
      <c r="R64" s="998">
        <f>IF('[2]BASE'!GA64=0,"",'[2]BASE'!GA64)</f>
      </c>
      <c r="S64" s="998">
        <f>IF('[2]BASE'!GB64=0,"",'[2]BASE'!GB64)</f>
      </c>
      <c r="T64" s="999"/>
      <c r="U64" s="995"/>
    </row>
    <row r="65" spans="2:21" s="989" customFormat="1" ht="19.5" customHeight="1">
      <c r="B65" s="990"/>
      <c r="C65" s="1002">
        <f>IF('[2]BASE'!C65=0,"",'[2]BASE'!C65)</f>
        <v>48</v>
      </c>
      <c r="D65" s="1002" t="str">
        <f>IF('[2]BASE'!D65=0,"",'[2]BASE'!D65)</f>
        <v>GRAL. RODRIGUEZ - VILLA  LIA 1</v>
      </c>
      <c r="E65" s="1002">
        <f>IF('[2]BASE'!E65=0,"",'[2]BASE'!E65)</f>
        <v>220</v>
      </c>
      <c r="F65" s="1002">
        <f>IF('[2]BASE'!F65=0,"",'[2]BASE'!F65)</f>
        <v>61</v>
      </c>
      <c r="G65" s="1003" t="str">
        <f>IF('[2]BASE'!G65=0,"",'[2]BASE'!G65)</f>
        <v>C</v>
      </c>
      <c r="H65" s="998">
        <f>IF('[2]BASE'!FQ65=0,"",'[2]BASE'!FQ65)</f>
      </c>
      <c r="I65" s="998">
        <f>IF('[2]BASE'!FR65=0,"",'[2]BASE'!FR65)</f>
      </c>
      <c r="J65" s="998">
        <f>IF('[2]BASE'!FS65=0,"",'[2]BASE'!FS65)</f>
      </c>
      <c r="K65" s="998">
        <f>IF('[2]BASE'!FT65=0,"",'[2]BASE'!FT65)</f>
        <v>1</v>
      </c>
      <c r="L65" s="998">
        <f>IF('[2]BASE'!FU65=0,"",'[2]BASE'!FU65)</f>
      </c>
      <c r="M65" s="998">
        <f>IF('[2]BASE'!FV65=0,"",'[2]BASE'!FV65)</f>
        <v>1</v>
      </c>
      <c r="N65" s="998">
        <f>IF('[2]BASE'!FW65=0,"",'[2]BASE'!FW65)</f>
      </c>
      <c r="O65" s="998">
        <f>IF('[2]BASE'!FX65=0,"",'[2]BASE'!FX65)</f>
        <v>1</v>
      </c>
      <c r="P65" s="998">
        <f>IF('[2]BASE'!FY65=0,"",'[2]BASE'!FY65)</f>
      </c>
      <c r="Q65" s="998">
        <f>IF('[2]BASE'!FZ65=0,"",'[2]BASE'!FZ65)</f>
      </c>
      <c r="R65" s="998">
        <f>IF('[2]BASE'!GA65=0,"",'[2]BASE'!GA65)</f>
      </c>
      <c r="S65" s="998">
        <f>IF('[2]BASE'!GB65=0,"",'[2]BASE'!GB65)</f>
      </c>
      <c r="T65" s="999"/>
      <c r="U65" s="995"/>
    </row>
    <row r="66" spans="2:21" s="989" customFormat="1" ht="19.5" customHeight="1">
      <c r="B66" s="990"/>
      <c r="C66" s="1000">
        <f>IF('[2]BASE'!C66=0,"",'[2]BASE'!C66)</f>
        <v>49</v>
      </c>
      <c r="D66" s="1000" t="str">
        <f>IF('[2]BASE'!D66=0,"",'[2]BASE'!D66)</f>
        <v>GRAL. RODRIGUEZ - VILLA  LIA 2</v>
      </c>
      <c r="E66" s="1000">
        <f>IF('[2]BASE'!E66=0,"",'[2]BASE'!E66)</f>
        <v>220</v>
      </c>
      <c r="F66" s="1000">
        <f>IF('[2]BASE'!F66=0,"",'[2]BASE'!F66)</f>
        <v>61</v>
      </c>
      <c r="G66" s="1001" t="str">
        <f>IF('[2]BASE'!G66=0,"",'[2]BASE'!G66)</f>
        <v>C</v>
      </c>
      <c r="H66" s="998">
        <f>IF('[2]BASE'!FQ66=0,"",'[2]BASE'!FQ66)</f>
      </c>
      <c r="I66" s="998">
        <f>IF('[2]BASE'!FR66=0,"",'[2]BASE'!FR66)</f>
      </c>
      <c r="J66" s="998">
        <f>IF('[2]BASE'!FS66=0,"",'[2]BASE'!FS66)</f>
      </c>
      <c r="K66" s="998">
        <f>IF('[2]BASE'!FT66=0,"",'[2]BASE'!FT66)</f>
      </c>
      <c r="L66" s="998">
        <f>IF('[2]BASE'!FU66=0,"",'[2]BASE'!FU66)</f>
      </c>
      <c r="M66" s="998">
        <f>IF('[2]BASE'!FV66=0,"",'[2]BASE'!FV66)</f>
      </c>
      <c r="N66" s="998">
        <f>IF('[2]BASE'!FW66=0,"",'[2]BASE'!FW66)</f>
      </c>
      <c r="O66" s="998">
        <f>IF('[2]BASE'!FX66=0,"",'[2]BASE'!FX66)</f>
      </c>
      <c r="P66" s="998">
        <f>IF('[2]BASE'!FY66=0,"",'[2]BASE'!FY66)</f>
      </c>
      <c r="Q66" s="998">
        <f>IF('[2]BASE'!FZ66=0,"",'[2]BASE'!FZ66)</f>
      </c>
      <c r="R66" s="998">
        <f>IF('[2]BASE'!GA66=0,"",'[2]BASE'!GA66)</f>
      </c>
      <c r="S66" s="998">
        <f>IF('[2]BASE'!GB66=0,"",'[2]BASE'!GB66)</f>
      </c>
      <c r="T66" s="999"/>
      <c r="U66" s="995"/>
    </row>
    <row r="67" spans="2:21" s="989" customFormat="1" ht="19.5" customHeight="1">
      <c r="B67" s="990"/>
      <c r="C67" s="1002">
        <f>IF('[2]BASE'!C67=0,"",'[2]BASE'!C67)</f>
        <v>50</v>
      </c>
      <c r="D67" s="1002" t="str">
        <f>IF('[2]BASE'!D67=0,"",'[2]BASE'!D67)</f>
        <v>RAMALLO - SAN NICOLAS (2)</v>
      </c>
      <c r="E67" s="1002">
        <f>IF('[2]BASE'!E67=0,"",'[2]BASE'!E67)</f>
        <v>220</v>
      </c>
      <c r="F67" s="1002">
        <f>IF('[2]BASE'!F67=0,"",'[2]BASE'!F67)</f>
        <v>6</v>
      </c>
      <c r="G67" s="1003" t="str">
        <f>IF('[2]BASE'!G67=0,"",'[2]BASE'!G67)</f>
        <v>C</v>
      </c>
      <c r="H67" s="998">
        <f>IF('[2]BASE'!FQ67=0,"",'[2]BASE'!FQ67)</f>
      </c>
      <c r="I67" s="998">
        <f>IF('[2]BASE'!FR67=0,"",'[2]BASE'!FR67)</f>
      </c>
      <c r="J67" s="998">
        <f>IF('[2]BASE'!FS67=0,"",'[2]BASE'!FS67)</f>
      </c>
      <c r="K67" s="998">
        <f>IF('[2]BASE'!FT67=0,"",'[2]BASE'!FT67)</f>
      </c>
      <c r="L67" s="998">
        <f>IF('[2]BASE'!FU67=0,"",'[2]BASE'!FU67)</f>
      </c>
      <c r="M67" s="998">
        <f>IF('[2]BASE'!FV67=0,"",'[2]BASE'!FV67)</f>
      </c>
      <c r="N67" s="998">
        <f>IF('[2]BASE'!FW67=0,"",'[2]BASE'!FW67)</f>
      </c>
      <c r="O67" s="998">
        <f>IF('[2]BASE'!FX67=0,"",'[2]BASE'!FX67)</f>
      </c>
      <c r="P67" s="998">
        <f>IF('[2]BASE'!FY67=0,"",'[2]BASE'!FY67)</f>
      </c>
      <c r="Q67" s="998">
        <f>IF('[2]BASE'!FZ67=0,"",'[2]BASE'!FZ67)</f>
      </c>
      <c r="R67" s="998">
        <f>IF('[2]BASE'!GA67=0,"",'[2]BASE'!GA67)</f>
      </c>
      <c r="S67" s="998">
        <f>IF('[2]BASE'!GB67=0,"",'[2]BASE'!GB67)</f>
      </c>
      <c r="T67" s="999"/>
      <c r="U67" s="995"/>
    </row>
    <row r="68" spans="2:21" s="989" customFormat="1" ht="19.5" customHeight="1">
      <c r="B68" s="990"/>
      <c r="C68" s="1000">
        <f>IF('[2]BASE'!C68=0,"",'[2]BASE'!C68)</f>
        <v>51</v>
      </c>
      <c r="D68" s="1000" t="str">
        <f>IF('[2]BASE'!D68=0,"",'[2]BASE'!D68)</f>
        <v>RAMALLO - SAN NICOLAS (1)</v>
      </c>
      <c r="E68" s="1000">
        <f>IF('[2]BASE'!E68=0,"",'[2]BASE'!E68)</f>
        <v>220</v>
      </c>
      <c r="F68" s="1000">
        <f>IF('[2]BASE'!F68=0,"",'[2]BASE'!F68)</f>
        <v>6</v>
      </c>
      <c r="G68" s="1001" t="str">
        <f>IF('[2]BASE'!G68=0,"",'[2]BASE'!G68)</f>
        <v>C</v>
      </c>
      <c r="H68" s="998">
        <f>IF('[2]BASE'!FQ68=0,"",'[2]BASE'!FQ68)</f>
      </c>
      <c r="I68" s="998">
        <f>IF('[2]BASE'!FR68=0,"",'[2]BASE'!FR68)</f>
        <v>1</v>
      </c>
      <c r="J68" s="998">
        <f>IF('[2]BASE'!FS68=0,"",'[2]BASE'!FS68)</f>
      </c>
      <c r="K68" s="998">
        <f>IF('[2]BASE'!FT68=0,"",'[2]BASE'!FT68)</f>
      </c>
      <c r="L68" s="998">
        <f>IF('[2]BASE'!FU68=0,"",'[2]BASE'!FU68)</f>
      </c>
      <c r="M68" s="998">
        <f>IF('[2]BASE'!FV68=0,"",'[2]BASE'!FV68)</f>
      </c>
      <c r="N68" s="998">
        <f>IF('[2]BASE'!FW68=0,"",'[2]BASE'!FW68)</f>
      </c>
      <c r="O68" s="998">
        <f>IF('[2]BASE'!FX68=0,"",'[2]BASE'!FX68)</f>
      </c>
      <c r="P68" s="998">
        <f>IF('[2]BASE'!FY68=0,"",'[2]BASE'!FY68)</f>
      </c>
      <c r="Q68" s="998">
        <f>IF('[2]BASE'!FZ68=0,"",'[2]BASE'!FZ68)</f>
      </c>
      <c r="R68" s="998">
        <f>IF('[2]BASE'!GA68=0,"",'[2]BASE'!GA68)</f>
      </c>
      <c r="S68" s="998">
        <f>IF('[2]BASE'!GB68=0,"",'[2]BASE'!GB68)</f>
      </c>
      <c r="T68" s="999"/>
      <c r="U68" s="995"/>
    </row>
    <row r="69" spans="2:21" s="989" customFormat="1" ht="19.5" customHeight="1">
      <c r="B69" s="990"/>
      <c r="C69" s="1002">
        <f>IF('[2]BASE'!C69=0,"",'[2]BASE'!C69)</f>
        <v>52</v>
      </c>
      <c r="D69" s="1002" t="str">
        <f>IF('[2]BASE'!D69=0,"",'[2]BASE'!D69)</f>
        <v>RAMALLO - VILLA LIA  1</v>
      </c>
      <c r="E69" s="1002">
        <f>IF('[2]BASE'!E69=0,"",'[2]BASE'!E69)</f>
        <v>220</v>
      </c>
      <c r="F69" s="1003">
        <f>IF('[2]BASE'!F69=0,"",'[2]BASE'!F69)</f>
        <v>114</v>
      </c>
      <c r="G69" s="1003" t="str">
        <f>IF('[2]BASE'!G69=0,"",'[2]BASE'!G69)</f>
        <v>C</v>
      </c>
      <c r="H69" s="998">
        <f>IF('[2]BASE'!FQ69=0,"",'[2]BASE'!FQ69)</f>
      </c>
      <c r="I69" s="998">
        <f>IF('[2]BASE'!FR69=0,"",'[2]BASE'!FR69)</f>
      </c>
      <c r="J69" s="998">
        <f>IF('[2]BASE'!FS69=0,"",'[2]BASE'!FS69)</f>
      </c>
      <c r="K69" s="998">
        <f>IF('[2]BASE'!FT69=0,"",'[2]BASE'!FT69)</f>
      </c>
      <c r="L69" s="998">
        <f>IF('[2]BASE'!FU69=0,"",'[2]BASE'!FU69)</f>
      </c>
      <c r="M69" s="998">
        <f>IF('[2]BASE'!FV69=0,"",'[2]BASE'!FV69)</f>
      </c>
      <c r="N69" s="998">
        <f>IF('[2]BASE'!FW69=0,"",'[2]BASE'!FW69)</f>
      </c>
      <c r="O69" s="998">
        <f>IF('[2]BASE'!FX69=0,"",'[2]BASE'!FX69)</f>
      </c>
      <c r="P69" s="998">
        <f>IF('[2]BASE'!FY69=0,"",'[2]BASE'!FY69)</f>
      </c>
      <c r="Q69" s="998">
        <f>IF('[2]BASE'!FZ69=0,"",'[2]BASE'!FZ69)</f>
      </c>
      <c r="R69" s="998">
        <f>IF('[2]BASE'!GA69=0,"",'[2]BASE'!GA69)</f>
        <v>1</v>
      </c>
      <c r="S69" s="998">
        <f>IF('[2]BASE'!GB69=0,"",'[2]BASE'!GB69)</f>
      </c>
      <c r="T69" s="999"/>
      <c r="U69" s="995"/>
    </row>
    <row r="70" spans="2:21" s="989" customFormat="1" ht="19.5" customHeight="1">
      <c r="B70" s="990"/>
      <c r="C70" s="1000">
        <f>IF('[2]BASE'!C70=0,"",'[2]BASE'!C70)</f>
        <v>53</v>
      </c>
      <c r="D70" s="1000" t="str">
        <f>IF('[2]BASE'!D70=0,"",'[2]BASE'!D70)</f>
        <v>RAMALLO - VILLA LIA  2</v>
      </c>
      <c r="E70" s="1000">
        <f>IF('[2]BASE'!E70=0,"",'[2]BASE'!E70)</f>
        <v>220</v>
      </c>
      <c r="F70" s="1001">
        <f>IF('[2]BASE'!F70=0,"",'[2]BASE'!F70)</f>
        <v>114</v>
      </c>
      <c r="G70" s="1001" t="str">
        <f>IF('[2]BASE'!G70=0,"",'[2]BASE'!G70)</f>
        <v>C</v>
      </c>
      <c r="H70" s="998">
        <f>IF('[2]BASE'!FQ70=0,"",'[2]BASE'!FQ70)</f>
      </c>
      <c r="I70" s="998">
        <f>IF('[2]BASE'!FR70=0,"",'[2]BASE'!FR70)</f>
      </c>
      <c r="J70" s="998">
        <f>IF('[2]BASE'!FS70=0,"",'[2]BASE'!FS70)</f>
      </c>
      <c r="K70" s="998">
        <f>IF('[2]BASE'!FT70=0,"",'[2]BASE'!FT70)</f>
      </c>
      <c r="L70" s="998">
        <f>IF('[2]BASE'!FU70=0,"",'[2]BASE'!FU70)</f>
      </c>
      <c r="M70" s="998">
        <f>IF('[2]BASE'!FV70=0,"",'[2]BASE'!FV70)</f>
      </c>
      <c r="N70" s="998">
        <f>IF('[2]BASE'!FW70=0,"",'[2]BASE'!FW70)</f>
      </c>
      <c r="O70" s="998">
        <f>IF('[2]BASE'!FX70=0,"",'[2]BASE'!FX70)</f>
        <v>1</v>
      </c>
      <c r="P70" s="998">
        <f>IF('[2]BASE'!FY70=0,"",'[2]BASE'!FY70)</f>
      </c>
      <c r="Q70" s="998">
        <f>IF('[2]BASE'!FZ70=0,"",'[2]BASE'!FZ70)</f>
      </c>
      <c r="R70" s="998">
        <f>IF('[2]BASE'!GA70=0,"",'[2]BASE'!GA70)</f>
      </c>
      <c r="S70" s="998">
        <f>IF('[2]BASE'!GB70=0,"",'[2]BASE'!GB70)</f>
      </c>
      <c r="T70" s="999"/>
      <c r="U70" s="995"/>
    </row>
    <row r="71" spans="2:21" s="989" customFormat="1" ht="19.5" customHeight="1">
      <c r="B71" s="990"/>
      <c r="C71" s="1002">
        <f>IF('[2]BASE'!C71=0,"",'[2]BASE'!C71)</f>
        <v>54</v>
      </c>
      <c r="D71" s="1002" t="str">
        <f>IF('[2]BASE'!D71=0,"",'[2]BASE'!D71)</f>
        <v>ROSARIO OESTE - RAMALLO  1</v>
      </c>
      <c r="E71" s="1002">
        <f>IF('[2]BASE'!E71=0,"",'[2]BASE'!E71)</f>
        <v>220</v>
      </c>
      <c r="F71" s="1003">
        <f>IF('[2]BASE'!F71=0,"",'[2]BASE'!F71)</f>
        <v>77</v>
      </c>
      <c r="G71" s="1003" t="str">
        <f>IF('[2]BASE'!G71=0,"",'[2]BASE'!G71)</f>
        <v>C</v>
      </c>
      <c r="H71" s="998">
        <f>IF('[2]BASE'!FQ71=0,"",'[2]BASE'!FQ71)</f>
      </c>
      <c r="I71" s="998">
        <f>IF('[2]BASE'!FR71=0,"",'[2]BASE'!FR71)</f>
        <v>1</v>
      </c>
      <c r="J71" s="998">
        <f>IF('[2]BASE'!FS71=0,"",'[2]BASE'!FS71)</f>
      </c>
      <c r="K71" s="998">
        <f>IF('[2]BASE'!FT71=0,"",'[2]BASE'!FT71)</f>
      </c>
      <c r="L71" s="998">
        <f>IF('[2]BASE'!FU71=0,"",'[2]BASE'!FU71)</f>
      </c>
      <c r="M71" s="998">
        <f>IF('[2]BASE'!FV71=0,"",'[2]BASE'!FV71)</f>
      </c>
      <c r="N71" s="998">
        <f>IF('[2]BASE'!FW71=0,"",'[2]BASE'!FW71)</f>
      </c>
      <c r="O71" s="998">
        <f>IF('[2]BASE'!FX71=0,"",'[2]BASE'!FX71)</f>
      </c>
      <c r="P71" s="998">
        <f>IF('[2]BASE'!FY71=0,"",'[2]BASE'!FY71)</f>
      </c>
      <c r="Q71" s="998">
        <f>IF('[2]BASE'!FZ71=0,"",'[2]BASE'!FZ71)</f>
      </c>
      <c r="R71" s="998">
        <f>IF('[2]BASE'!GA71=0,"",'[2]BASE'!GA71)</f>
      </c>
      <c r="S71" s="998">
        <f>IF('[2]BASE'!GB71=0,"",'[2]BASE'!GB71)</f>
      </c>
      <c r="T71" s="999"/>
      <c r="U71" s="995"/>
    </row>
    <row r="72" spans="2:21" s="989" customFormat="1" ht="19.5" customHeight="1">
      <c r="B72" s="990"/>
      <c r="C72" s="1000">
        <f>IF('[2]BASE'!C72=0,"",'[2]BASE'!C72)</f>
        <v>55</v>
      </c>
      <c r="D72" s="1000" t="str">
        <f>IF('[2]BASE'!D72=0,"",'[2]BASE'!D72)</f>
        <v>ROSARIO OESTE - RAMALLO  2</v>
      </c>
      <c r="E72" s="1000">
        <f>IF('[2]BASE'!E72=0,"",'[2]BASE'!E72)</f>
        <v>220</v>
      </c>
      <c r="F72" s="1001">
        <f>IF('[2]BASE'!F72=0,"",'[2]BASE'!F72)</f>
        <v>77</v>
      </c>
      <c r="G72" s="1001" t="str">
        <f>IF('[2]BASE'!G72=0,"",'[2]BASE'!G72)</f>
        <v>C</v>
      </c>
      <c r="H72" s="998">
        <f>IF('[2]BASE'!FQ72=0,"",'[2]BASE'!FQ72)</f>
      </c>
      <c r="I72" s="998">
        <f>IF('[2]BASE'!FR72=0,"",'[2]BASE'!FR72)</f>
      </c>
      <c r="J72" s="998">
        <f>IF('[2]BASE'!FS72=0,"",'[2]BASE'!FS72)</f>
      </c>
      <c r="K72" s="998">
        <f>IF('[2]BASE'!FT72=0,"",'[2]BASE'!FT72)</f>
      </c>
      <c r="L72" s="998">
        <f>IF('[2]BASE'!FU72=0,"",'[2]BASE'!FU72)</f>
      </c>
      <c r="M72" s="998">
        <f>IF('[2]BASE'!FV72=0,"",'[2]BASE'!FV72)</f>
      </c>
      <c r="N72" s="998">
        <f>IF('[2]BASE'!FW72=0,"",'[2]BASE'!FW72)</f>
      </c>
      <c r="O72" s="998">
        <f>IF('[2]BASE'!FX72=0,"",'[2]BASE'!FX72)</f>
      </c>
      <c r="P72" s="998">
        <f>IF('[2]BASE'!FY72=0,"",'[2]BASE'!FY72)</f>
      </c>
      <c r="Q72" s="998">
        <f>IF('[2]BASE'!FZ72=0,"",'[2]BASE'!FZ72)</f>
      </c>
      <c r="R72" s="998">
        <f>IF('[2]BASE'!GA72=0,"",'[2]BASE'!GA72)</f>
      </c>
      <c r="S72" s="998">
        <f>IF('[2]BASE'!GB72=0,"",'[2]BASE'!GB72)</f>
      </c>
      <c r="T72" s="999"/>
      <c r="U72" s="995"/>
    </row>
    <row r="73" spans="2:21" s="989" customFormat="1" ht="19.5" customHeight="1">
      <c r="B73" s="990"/>
      <c r="C73" s="1002">
        <f>IF('[2]BASE'!C73=0,"",'[2]BASE'!C73)</f>
        <v>56</v>
      </c>
      <c r="D73" s="1002" t="str">
        <f>IF('[2]BASE'!D73=0,"",'[2]BASE'!D73)</f>
        <v>VILLA LIA - ATUCHA 1</v>
      </c>
      <c r="E73" s="1002">
        <f>IF('[2]BASE'!E73=0,"",'[2]BASE'!E73)</f>
        <v>220</v>
      </c>
      <c r="F73" s="1002">
        <f>IF('[2]BASE'!F73=0,"",'[2]BASE'!F73)</f>
        <v>26</v>
      </c>
      <c r="G73" s="1003" t="str">
        <f>IF('[2]BASE'!G73=0,"",'[2]BASE'!G73)</f>
        <v>C</v>
      </c>
      <c r="H73" s="998">
        <f>IF('[2]BASE'!FQ73=0,"",'[2]BASE'!FQ73)</f>
      </c>
      <c r="I73" s="998">
        <f>IF('[2]BASE'!FR73=0,"",'[2]BASE'!FR73)</f>
      </c>
      <c r="J73" s="998">
        <f>IF('[2]BASE'!FS73=0,"",'[2]BASE'!FS73)</f>
      </c>
      <c r="K73" s="998">
        <f>IF('[2]BASE'!FT73=0,"",'[2]BASE'!FT73)</f>
      </c>
      <c r="L73" s="998">
        <f>IF('[2]BASE'!FU73=0,"",'[2]BASE'!FU73)</f>
      </c>
      <c r="M73" s="998">
        <f>IF('[2]BASE'!FV73=0,"",'[2]BASE'!FV73)</f>
      </c>
      <c r="N73" s="998">
        <f>IF('[2]BASE'!FW73=0,"",'[2]BASE'!FW73)</f>
      </c>
      <c r="O73" s="998">
        <f>IF('[2]BASE'!FX73=0,"",'[2]BASE'!FX73)</f>
        <v>2</v>
      </c>
      <c r="P73" s="998">
        <f>IF('[2]BASE'!FY73=0,"",'[2]BASE'!FY73)</f>
      </c>
      <c r="Q73" s="998">
        <f>IF('[2]BASE'!FZ73=0,"",'[2]BASE'!FZ73)</f>
      </c>
      <c r="R73" s="998">
        <f>IF('[2]BASE'!GA73=0,"",'[2]BASE'!GA73)</f>
      </c>
      <c r="S73" s="998">
        <f>IF('[2]BASE'!GB73=0,"",'[2]BASE'!GB73)</f>
      </c>
      <c r="T73" s="999"/>
      <c r="U73" s="995"/>
    </row>
    <row r="74" spans="2:21" s="989" customFormat="1" ht="19.5" customHeight="1">
      <c r="B74" s="990"/>
      <c r="C74" s="1000">
        <f>IF('[2]BASE'!C74=0,"",'[2]BASE'!C74)</f>
        <v>57</v>
      </c>
      <c r="D74" s="1000" t="str">
        <f>IF('[2]BASE'!D74=0,"",'[2]BASE'!D74)</f>
        <v>VILLA LIA - ATUCHA 2</v>
      </c>
      <c r="E74" s="1000">
        <f>IF('[2]BASE'!E74=0,"",'[2]BASE'!E74)</f>
        <v>220</v>
      </c>
      <c r="F74" s="1000">
        <f>IF('[2]BASE'!F74=0,"",'[2]BASE'!F74)</f>
        <v>26</v>
      </c>
      <c r="G74" s="1001" t="str">
        <f>IF('[2]BASE'!G74=0,"",'[2]BASE'!G74)</f>
        <v>C</v>
      </c>
      <c r="H74" s="998">
        <f>IF('[2]BASE'!FQ74=0,"",'[2]BASE'!FQ74)</f>
      </c>
      <c r="I74" s="998">
        <f>IF('[2]BASE'!FR74=0,"",'[2]BASE'!FR74)</f>
      </c>
      <c r="J74" s="998">
        <f>IF('[2]BASE'!FS74=0,"",'[2]BASE'!FS74)</f>
      </c>
      <c r="K74" s="998">
        <f>IF('[2]BASE'!FT74=0,"",'[2]BASE'!FT74)</f>
      </c>
      <c r="L74" s="998">
        <f>IF('[2]BASE'!FU74=0,"",'[2]BASE'!FU74)</f>
      </c>
      <c r="M74" s="998">
        <f>IF('[2]BASE'!FV74=0,"",'[2]BASE'!FV74)</f>
      </c>
      <c r="N74" s="998">
        <f>IF('[2]BASE'!FW74=0,"",'[2]BASE'!FW74)</f>
      </c>
      <c r="O74" s="998">
        <f>IF('[2]BASE'!FX74=0,"",'[2]BASE'!FX74)</f>
        <v>1</v>
      </c>
      <c r="P74" s="998">
        <f>IF('[2]BASE'!FY74=0,"",'[2]BASE'!FY74)</f>
      </c>
      <c r="Q74" s="998">
        <f>IF('[2]BASE'!FZ74=0,"",'[2]BASE'!FZ74)</f>
      </c>
      <c r="R74" s="998">
        <f>IF('[2]BASE'!GA74=0,"",'[2]BASE'!GA74)</f>
      </c>
      <c r="S74" s="998">
        <f>IF('[2]BASE'!GB74=0,"",'[2]BASE'!GB74)</f>
      </c>
      <c r="T74" s="999"/>
      <c r="U74" s="995"/>
    </row>
    <row r="75" spans="2:21" s="989" customFormat="1" ht="9.75" customHeight="1">
      <c r="B75" s="990"/>
      <c r="C75" s="1002">
        <f>IF('[2]BASE'!C75=0,"",'[2]BASE'!C75)</f>
      </c>
      <c r="D75" s="1002">
        <f>IF('[2]BASE'!D75=0,"",'[2]BASE'!D75)</f>
      </c>
      <c r="E75" s="1002">
        <f>IF('[2]BASE'!E75=0,"",'[2]BASE'!E75)</f>
      </c>
      <c r="F75" s="1002">
        <f>IF('[2]BASE'!F75=0,"",'[2]BASE'!F75)</f>
      </c>
      <c r="G75" s="1003">
        <f>IF('[2]BASE'!G75=0,"",'[2]BASE'!G75)</f>
      </c>
      <c r="H75" s="998">
        <f>IF('[2]BASE'!FQ75=0,"",'[2]BASE'!FQ75)</f>
      </c>
      <c r="I75" s="998">
        <f>IF('[2]BASE'!FR75=0,"",'[2]BASE'!FR75)</f>
      </c>
      <c r="J75" s="998">
        <f>IF('[2]BASE'!FS75=0,"",'[2]BASE'!FS75)</f>
      </c>
      <c r="K75" s="998">
        <f>IF('[2]BASE'!FT75=0,"",'[2]BASE'!FT75)</f>
      </c>
      <c r="L75" s="998">
        <f>IF('[2]BASE'!FU75=0,"",'[2]BASE'!FU75)</f>
      </c>
      <c r="M75" s="998">
        <f>IF('[2]BASE'!FV75=0,"",'[2]BASE'!FV75)</f>
      </c>
      <c r="N75" s="998">
        <f>IF('[2]BASE'!FW75=0,"",'[2]BASE'!FW75)</f>
      </c>
      <c r="O75" s="998">
        <f>IF('[2]BASE'!FX75=0,"",'[2]BASE'!FX75)</f>
      </c>
      <c r="P75" s="998">
        <f>IF('[2]BASE'!FY75=0,"",'[2]BASE'!FY75)</f>
      </c>
      <c r="Q75" s="998">
        <f>IF('[2]BASE'!FZ75=0,"",'[2]BASE'!FZ75)</f>
      </c>
      <c r="R75" s="998">
        <f>IF('[2]BASE'!GA75=0,"",'[2]BASE'!GA75)</f>
      </c>
      <c r="S75" s="998">
        <f>IF('[2]BASE'!GB75=0,"",'[2]BASE'!GB75)</f>
      </c>
      <c r="T75" s="999"/>
      <c r="U75" s="995"/>
    </row>
    <row r="76" spans="2:21" s="989" customFormat="1" ht="19.5" customHeight="1">
      <c r="B76" s="990"/>
      <c r="C76" s="1000">
        <f>IF('[2]BASE'!C76=0,"",'[2]BASE'!C76)</f>
        <v>58</v>
      </c>
      <c r="D76" s="1000" t="str">
        <f>IF('[2]BASE'!D76=0,"",'[2]BASE'!D76)</f>
        <v>GRAL RODRIGUEZ - RAMALLO</v>
      </c>
      <c r="E76" s="1000">
        <f>IF('[2]BASE'!E76=0,"",'[2]BASE'!E76)</f>
        <v>500</v>
      </c>
      <c r="F76" s="1001">
        <f>IF('[2]BASE'!F76=0,"",'[2]BASE'!F76)</f>
        <v>183.9</v>
      </c>
      <c r="G76" s="1001" t="str">
        <f>IF('[2]BASE'!G76=0,"",'[2]BASE'!G76)</f>
        <v>C</v>
      </c>
      <c r="H76" s="998">
        <f>IF('[2]BASE'!FQ76=0,"",'[2]BASE'!FQ76)</f>
      </c>
      <c r="I76" s="998">
        <f>IF('[2]BASE'!FR76=0,"",'[2]BASE'!FR76)</f>
      </c>
      <c r="J76" s="998">
        <f>IF('[2]BASE'!FS76=0,"",'[2]BASE'!FS76)</f>
      </c>
      <c r="K76" s="998">
        <f>IF('[2]BASE'!FT76=0,"",'[2]BASE'!FT76)</f>
      </c>
      <c r="L76" s="998">
        <f>IF('[2]BASE'!FU76=0,"",'[2]BASE'!FU76)</f>
      </c>
      <c r="M76" s="998">
        <f>IF('[2]BASE'!FV76=0,"",'[2]BASE'!FV76)</f>
      </c>
      <c r="N76" s="998">
        <f>IF('[2]BASE'!FW76=0,"",'[2]BASE'!FW76)</f>
      </c>
      <c r="O76" s="998">
        <f>IF('[2]BASE'!FX76=0,"",'[2]BASE'!FX76)</f>
      </c>
      <c r="P76" s="998">
        <f>IF('[2]BASE'!FY76=0,"",'[2]BASE'!FY76)</f>
      </c>
      <c r="Q76" s="998">
        <f>IF('[2]BASE'!FZ76=0,"",'[2]BASE'!FZ76)</f>
      </c>
      <c r="R76" s="998">
        <f>IF('[2]BASE'!GA76=0,"",'[2]BASE'!GA76)</f>
      </c>
      <c r="S76" s="998">
        <f>IF('[2]BASE'!GB76=0,"",'[2]BASE'!GB76)</f>
      </c>
      <c r="T76" s="999"/>
      <c r="U76" s="995"/>
    </row>
    <row r="77" spans="2:21" s="989" customFormat="1" ht="19.5" customHeight="1">
      <c r="B77" s="990"/>
      <c r="C77" s="1002">
        <f>IF('[2]BASE'!C77=0,"",'[2]BASE'!C77)</f>
        <v>59</v>
      </c>
      <c r="D77" s="1002" t="str">
        <f>IF('[2]BASE'!D77=0,"",'[2]BASE'!D77)</f>
        <v>RAMALLO - ROSARIO OESTE</v>
      </c>
      <c r="E77" s="1002">
        <f>IF('[2]BASE'!E77=0,"",'[2]BASE'!E77)</f>
        <v>500</v>
      </c>
      <c r="F77" s="1003">
        <f>IF('[2]BASE'!F77=0,"",'[2]BASE'!F77)</f>
        <v>77</v>
      </c>
      <c r="G77" s="1003" t="str">
        <f>IF('[2]BASE'!G77=0,"",'[2]BASE'!G77)</f>
        <v>C</v>
      </c>
      <c r="H77" s="998">
        <f>IF('[2]BASE'!FQ77=0,"",'[2]BASE'!FQ77)</f>
      </c>
      <c r="I77" s="998">
        <f>IF('[2]BASE'!FR77=0,"",'[2]BASE'!FR77)</f>
      </c>
      <c r="J77" s="998">
        <f>IF('[2]BASE'!FS77=0,"",'[2]BASE'!FS77)</f>
      </c>
      <c r="K77" s="998">
        <f>IF('[2]BASE'!FT77=0,"",'[2]BASE'!FT77)</f>
      </c>
      <c r="L77" s="998">
        <f>IF('[2]BASE'!FU77=0,"",'[2]BASE'!FU77)</f>
      </c>
      <c r="M77" s="998">
        <f>IF('[2]BASE'!FV77=0,"",'[2]BASE'!FV77)</f>
      </c>
      <c r="N77" s="998">
        <f>IF('[2]BASE'!FW77=0,"",'[2]BASE'!FW77)</f>
      </c>
      <c r="O77" s="998">
        <f>IF('[2]BASE'!FX77=0,"",'[2]BASE'!FX77)</f>
      </c>
      <c r="P77" s="998">
        <f>IF('[2]BASE'!FY77=0,"",'[2]BASE'!FY77)</f>
      </c>
      <c r="Q77" s="998">
        <f>IF('[2]BASE'!FZ77=0,"",'[2]BASE'!FZ77)</f>
      </c>
      <c r="R77" s="998">
        <f>IF('[2]BASE'!GA77=0,"",'[2]BASE'!GA77)</f>
      </c>
      <c r="S77" s="998">
        <f>IF('[2]BASE'!GB77=0,"",'[2]BASE'!GB77)</f>
      </c>
      <c r="T77" s="999"/>
      <c r="U77" s="995"/>
    </row>
    <row r="78" spans="2:21" s="989" customFormat="1" ht="19.5" customHeight="1">
      <c r="B78" s="990"/>
      <c r="C78" s="1000">
        <f>IF('[2]BASE'!C78=0,"",'[2]BASE'!C78)</f>
        <v>60</v>
      </c>
      <c r="D78" s="1000" t="str">
        <f>IF('[2]BASE'!D78=0,"",'[2]BASE'!D78)</f>
        <v>MACACHIN - HENDERSON</v>
      </c>
      <c r="E78" s="1000">
        <f>IF('[2]BASE'!E78=0,"",'[2]BASE'!E78)</f>
        <v>500</v>
      </c>
      <c r="F78" s="1001">
        <f>IF('[2]BASE'!F78=0,"",'[2]BASE'!F78)</f>
        <v>194</v>
      </c>
      <c r="G78" s="1001" t="str">
        <f>IF('[2]BASE'!G78=0,"",'[2]BASE'!G78)</f>
        <v>A</v>
      </c>
      <c r="H78" s="998">
        <f>IF('[2]BASE'!FQ78=0,"",'[2]BASE'!FQ78)</f>
      </c>
      <c r="I78" s="998">
        <f>IF('[2]BASE'!FR78=0,"",'[2]BASE'!FR78)</f>
      </c>
      <c r="J78" s="998">
        <f>IF('[2]BASE'!FS78=0,"",'[2]BASE'!FS78)</f>
      </c>
      <c r="K78" s="998">
        <f>IF('[2]BASE'!FT78=0,"",'[2]BASE'!FT78)</f>
      </c>
      <c r="L78" s="998">
        <f>IF('[2]BASE'!FU78=0,"",'[2]BASE'!FU78)</f>
      </c>
      <c r="M78" s="998">
        <f>IF('[2]BASE'!FV78=0,"",'[2]BASE'!FV78)</f>
      </c>
      <c r="N78" s="998">
        <f>IF('[2]BASE'!FW78=0,"",'[2]BASE'!FW78)</f>
      </c>
      <c r="O78" s="998">
        <f>IF('[2]BASE'!FX78=0,"",'[2]BASE'!FX78)</f>
      </c>
      <c r="P78" s="998">
        <f>IF('[2]BASE'!FY78=0,"",'[2]BASE'!FY78)</f>
      </c>
      <c r="Q78" s="998">
        <f>IF('[2]BASE'!FZ78=0,"",'[2]BASE'!FZ78)</f>
      </c>
      <c r="R78" s="998">
        <f>IF('[2]BASE'!GA78=0,"",'[2]BASE'!GA78)</f>
      </c>
      <c r="S78" s="998">
        <f>IF('[2]BASE'!GB78=0,"",'[2]BASE'!GB78)</f>
      </c>
      <c r="T78" s="999"/>
      <c r="U78" s="995"/>
    </row>
    <row r="79" spans="2:21" s="989" customFormat="1" ht="19.5" customHeight="1">
      <c r="B79" s="990"/>
      <c r="C79" s="1002">
        <f>IF('[2]BASE'!C79=0,"",'[2]BASE'!C79)</f>
        <v>61</v>
      </c>
      <c r="D79" s="1002" t="str">
        <f>IF('[2]BASE'!D79=0,"",'[2]BASE'!D79)</f>
        <v>PUELCHES - MACACHIN</v>
      </c>
      <c r="E79" s="1002">
        <f>IF('[2]BASE'!E79=0,"",'[2]BASE'!E79)</f>
        <v>500</v>
      </c>
      <c r="F79" s="1002">
        <f>IF('[2]BASE'!F79=0,"",'[2]BASE'!F79)</f>
        <v>227</v>
      </c>
      <c r="G79" s="1003" t="str">
        <f>IF('[2]BASE'!G79=0,"",'[2]BASE'!G79)</f>
        <v>A</v>
      </c>
      <c r="H79" s="998">
        <f>IF('[2]BASE'!FQ79=0,"",'[2]BASE'!FQ79)</f>
      </c>
      <c r="I79" s="998">
        <f>IF('[2]BASE'!FR79=0,"",'[2]BASE'!FR79)</f>
      </c>
      <c r="J79" s="998">
        <f>IF('[2]BASE'!FS79=0,"",'[2]BASE'!FS79)</f>
      </c>
      <c r="K79" s="998">
        <f>IF('[2]BASE'!FT79=0,"",'[2]BASE'!FT79)</f>
      </c>
      <c r="L79" s="998">
        <f>IF('[2]BASE'!FU79=0,"",'[2]BASE'!FU79)</f>
      </c>
      <c r="M79" s="998">
        <f>IF('[2]BASE'!FV79=0,"",'[2]BASE'!FV79)</f>
      </c>
      <c r="N79" s="998">
        <f>IF('[2]BASE'!FW79=0,"",'[2]BASE'!FW79)</f>
      </c>
      <c r="O79" s="998">
        <f>IF('[2]BASE'!FX79=0,"",'[2]BASE'!FX79)</f>
      </c>
      <c r="P79" s="998">
        <f>IF('[2]BASE'!FY79=0,"",'[2]BASE'!FY79)</f>
      </c>
      <c r="Q79" s="998">
        <f>IF('[2]BASE'!FZ79=0,"",'[2]BASE'!FZ79)</f>
      </c>
      <c r="R79" s="998">
        <f>IF('[2]BASE'!GA79=0,"",'[2]BASE'!GA79)</f>
      </c>
      <c r="S79" s="998">
        <f>IF('[2]BASE'!GB79=0,"",'[2]BASE'!GB79)</f>
      </c>
      <c r="T79" s="999"/>
      <c r="U79" s="995"/>
    </row>
    <row r="80" spans="2:21" s="989" customFormat="1" ht="9.75" customHeight="1">
      <c r="B80" s="990"/>
      <c r="C80" s="1000">
        <f>IF('[2]BASE'!C80=0,"",'[2]BASE'!C80)</f>
      </c>
      <c r="D80" s="1000">
        <f>IF('[2]BASE'!D80=0,"",'[2]BASE'!D80)</f>
      </c>
      <c r="E80" s="1000">
        <f>IF('[2]BASE'!E80=0,"",'[2]BASE'!E80)</f>
      </c>
      <c r="F80" s="1001">
        <f>IF('[2]BASE'!F80=0,"",'[2]BASE'!F80)</f>
      </c>
      <c r="G80" s="1001">
        <f>IF('[2]BASE'!G80=0,"",'[2]BASE'!G80)</f>
      </c>
      <c r="H80" s="998">
        <f>IF('[2]BASE'!FQ80=0,"",'[2]BASE'!FQ80)</f>
      </c>
      <c r="I80" s="998">
        <f>IF('[2]BASE'!FR80=0,"",'[2]BASE'!FR80)</f>
      </c>
      <c r="J80" s="998">
        <f>IF('[2]BASE'!FS80=0,"",'[2]BASE'!FS80)</f>
      </c>
      <c r="K80" s="998">
        <f>IF('[2]BASE'!FT80=0,"",'[2]BASE'!FT80)</f>
      </c>
      <c r="L80" s="998">
        <f>IF('[2]BASE'!FU80=0,"",'[2]BASE'!FU80)</f>
      </c>
      <c r="M80" s="998">
        <f>IF('[2]BASE'!FV80=0,"",'[2]BASE'!FV80)</f>
      </c>
      <c r="N80" s="998">
        <f>IF('[2]BASE'!FW80=0,"",'[2]BASE'!FW80)</f>
      </c>
      <c r="O80" s="998">
        <f>IF('[2]BASE'!FX80=0,"",'[2]BASE'!FX80)</f>
      </c>
      <c r="P80" s="998">
        <f>IF('[2]BASE'!FY80=0,"",'[2]BASE'!FY80)</f>
      </c>
      <c r="Q80" s="998">
        <f>IF('[2]BASE'!FZ80=0,"",'[2]BASE'!FZ80)</f>
      </c>
      <c r="R80" s="998">
        <f>IF('[2]BASE'!GA80=0,"",'[2]BASE'!GA80)</f>
      </c>
      <c r="S80" s="998">
        <f>IF('[2]BASE'!GB80=0,"",'[2]BASE'!GB80)</f>
      </c>
      <c r="T80" s="999"/>
      <c r="U80" s="995"/>
    </row>
    <row r="81" spans="2:21" s="989" customFormat="1" ht="9.75" customHeight="1">
      <c r="B81" s="990"/>
      <c r="C81" s="1002">
        <f>IF('[2]BASE'!C81=0,"",'[2]BASE'!C81)</f>
      </c>
      <c r="D81" s="1002">
        <f>IF('[2]BASE'!D81=0,"",'[2]BASE'!D81)</f>
      </c>
      <c r="E81" s="1002">
        <f>IF('[2]BASE'!E81=0,"",'[2]BASE'!E81)</f>
      </c>
      <c r="F81" s="1003">
        <f>IF('[2]BASE'!F81=0,"",'[2]BASE'!F81)</f>
      </c>
      <c r="G81" s="1003">
        <f>IF('[2]BASE'!G81=0,"",'[2]BASE'!G81)</f>
      </c>
      <c r="H81" s="998">
        <f>IF('[2]BASE'!FQ81=0,"",'[2]BASE'!FQ81)</f>
      </c>
      <c r="I81" s="998">
        <f>IF('[2]BASE'!FR81=0,"",'[2]BASE'!FR81)</f>
      </c>
      <c r="J81" s="998">
        <f>IF('[2]BASE'!FS81=0,"",'[2]BASE'!FS81)</f>
      </c>
      <c r="K81" s="998">
        <f>IF('[2]BASE'!FT81=0,"",'[2]BASE'!FT81)</f>
      </c>
      <c r="L81" s="998">
        <f>IF('[2]BASE'!FU81=0,"",'[2]BASE'!FU81)</f>
      </c>
      <c r="M81" s="998">
        <f>IF('[2]BASE'!FV81=0,"",'[2]BASE'!FV81)</f>
      </c>
      <c r="N81" s="998">
        <f>IF('[2]BASE'!FW81=0,"",'[2]BASE'!FW81)</f>
      </c>
      <c r="O81" s="998">
        <f>IF('[2]BASE'!FX81=0,"",'[2]BASE'!FX81)</f>
      </c>
      <c r="P81" s="998">
        <f>IF('[2]BASE'!FY81=0,"",'[2]BASE'!FY81)</f>
      </c>
      <c r="Q81" s="998">
        <f>IF('[2]BASE'!FZ81=0,"",'[2]BASE'!FZ81)</f>
      </c>
      <c r="R81" s="998">
        <f>IF('[2]BASE'!GA81=0,"",'[2]BASE'!GA81)</f>
      </c>
      <c r="S81" s="998">
        <f>IF('[2]BASE'!GB81=0,"",'[2]BASE'!GB81)</f>
      </c>
      <c r="T81" s="999"/>
      <c r="U81" s="995"/>
    </row>
    <row r="82" spans="2:21" s="989" customFormat="1" ht="19.5" customHeight="1">
      <c r="B82" s="990"/>
      <c r="C82" s="1000">
        <f>IF('[2]BASE'!C82=0,"",'[2]BASE'!C82)</f>
        <v>62</v>
      </c>
      <c r="D82" s="1000" t="str">
        <f>IF('[2]BASE'!D82=0,"",'[2]BASE'!D82)</f>
        <v>YACYRETÁ - RINCON I</v>
      </c>
      <c r="E82" s="1000">
        <f>IF('[2]BASE'!E82=0,"",'[2]BASE'!E82)</f>
        <v>500</v>
      </c>
      <c r="F82" s="1001">
        <f>IF('[2]BASE'!F82=0,"",'[2]BASE'!F82)</f>
        <v>3.6</v>
      </c>
      <c r="G82" s="1001" t="str">
        <f>IF('[2]BASE'!G82=0,"",'[2]BASE'!G82)</f>
        <v>B</v>
      </c>
      <c r="H82" s="998">
        <f>IF('[2]BASE'!FQ82=0,"",'[2]BASE'!FQ82)</f>
      </c>
      <c r="I82" s="998">
        <f>IF('[2]BASE'!FR82=0,"",'[2]BASE'!FR82)</f>
      </c>
      <c r="J82" s="998">
        <f>IF('[2]BASE'!FS82=0,"",'[2]BASE'!FS82)</f>
      </c>
      <c r="K82" s="998">
        <f>IF('[2]BASE'!FT82=0,"",'[2]BASE'!FT82)</f>
      </c>
      <c r="L82" s="998">
        <f>IF('[2]BASE'!FU82=0,"",'[2]BASE'!FU82)</f>
      </c>
      <c r="M82" s="998">
        <f>IF('[2]BASE'!FV82=0,"",'[2]BASE'!FV82)</f>
      </c>
      <c r="N82" s="998">
        <f>IF('[2]BASE'!FW82=0,"",'[2]BASE'!FW82)</f>
      </c>
      <c r="O82" s="998">
        <f>IF('[2]BASE'!FX82=0,"",'[2]BASE'!FX82)</f>
      </c>
      <c r="P82" s="998">
        <f>IF('[2]BASE'!FY82=0,"",'[2]BASE'!FY82)</f>
      </c>
      <c r="Q82" s="998">
        <f>IF('[2]BASE'!FZ82=0,"",'[2]BASE'!FZ82)</f>
      </c>
      <c r="R82" s="998">
        <f>IF('[2]BASE'!GA82=0,"",'[2]BASE'!GA82)</f>
      </c>
      <c r="S82" s="998">
        <f>IF('[2]BASE'!GB82=0,"",'[2]BASE'!GB82)</f>
      </c>
      <c r="T82" s="999"/>
      <c r="U82" s="995"/>
    </row>
    <row r="83" spans="2:21" s="989" customFormat="1" ht="19.5" customHeight="1">
      <c r="B83" s="990"/>
      <c r="C83" s="1002">
        <f>IF('[2]BASE'!C83=0,"",'[2]BASE'!C83)</f>
        <v>63</v>
      </c>
      <c r="D83" s="1002" t="str">
        <f>IF('[2]BASE'!D83=0,"",'[2]BASE'!D83)</f>
        <v>YACYRETÁ - RINCON II</v>
      </c>
      <c r="E83" s="1002">
        <f>IF('[2]BASE'!E83=0,"",'[2]BASE'!E83)</f>
        <v>500</v>
      </c>
      <c r="F83" s="1002">
        <f>IF('[2]BASE'!F83=0,"",'[2]BASE'!F83)</f>
        <v>3.6</v>
      </c>
      <c r="G83" s="1003" t="str">
        <f>IF('[2]BASE'!G83=0,"",'[2]BASE'!G83)</f>
        <v>B</v>
      </c>
      <c r="H83" s="998">
        <f>IF('[2]BASE'!FQ83=0,"",'[2]BASE'!FQ83)</f>
      </c>
      <c r="I83" s="998">
        <f>IF('[2]BASE'!FR83=0,"",'[2]BASE'!FR83)</f>
      </c>
      <c r="J83" s="998">
        <f>IF('[2]BASE'!FS83=0,"",'[2]BASE'!FS83)</f>
      </c>
      <c r="K83" s="998">
        <f>IF('[2]BASE'!FT83=0,"",'[2]BASE'!FT83)</f>
      </c>
      <c r="L83" s="998">
        <f>IF('[2]BASE'!FU83=0,"",'[2]BASE'!FU83)</f>
      </c>
      <c r="M83" s="998">
        <f>IF('[2]BASE'!FV83=0,"",'[2]BASE'!FV83)</f>
      </c>
      <c r="N83" s="998">
        <f>IF('[2]BASE'!FW83=0,"",'[2]BASE'!FW83)</f>
      </c>
      <c r="O83" s="998">
        <f>IF('[2]BASE'!FX83=0,"",'[2]BASE'!FX83)</f>
      </c>
      <c r="P83" s="998">
        <f>IF('[2]BASE'!FY83=0,"",'[2]BASE'!FY83)</f>
      </c>
      <c r="Q83" s="998">
        <f>IF('[2]BASE'!FZ83=0,"",'[2]BASE'!FZ83)</f>
      </c>
      <c r="R83" s="998">
        <f>IF('[2]BASE'!GA83=0,"",'[2]BASE'!GA83)</f>
      </c>
      <c r="S83" s="998">
        <f>IF('[2]BASE'!GB83=0,"",'[2]BASE'!GB83)</f>
      </c>
      <c r="T83" s="999"/>
      <c r="U83" s="995"/>
    </row>
    <row r="84" spans="2:21" s="989" customFormat="1" ht="19.5" customHeight="1">
      <c r="B84" s="990"/>
      <c r="C84" s="1000">
        <f>IF('[2]BASE'!C84=0,"",'[2]BASE'!C84)</f>
        <v>64</v>
      </c>
      <c r="D84" s="1000" t="str">
        <f>IF('[2]BASE'!D84=0,"",'[2]BASE'!D84)</f>
        <v>YACYRETÁ - RINCON III</v>
      </c>
      <c r="E84" s="1000">
        <f>IF('[2]BASE'!E84=0,"",'[2]BASE'!E84)</f>
        <v>500</v>
      </c>
      <c r="F84" s="1001">
        <f>IF('[2]BASE'!F84=0,"",'[2]BASE'!F84)</f>
        <v>3.6</v>
      </c>
      <c r="G84" s="1001" t="str">
        <f>IF('[2]BASE'!G84=0,"",'[2]BASE'!G84)</f>
        <v>B</v>
      </c>
      <c r="H84" s="998">
        <f>IF('[2]BASE'!FQ84=0,"",'[2]BASE'!FQ84)</f>
      </c>
      <c r="I84" s="998">
        <f>IF('[2]BASE'!FR84=0,"",'[2]BASE'!FR84)</f>
      </c>
      <c r="J84" s="998">
        <f>IF('[2]BASE'!FS84=0,"",'[2]BASE'!FS84)</f>
      </c>
      <c r="K84" s="998">
        <f>IF('[2]BASE'!FT84=0,"",'[2]BASE'!FT84)</f>
      </c>
      <c r="L84" s="998">
        <f>IF('[2]BASE'!FU84=0,"",'[2]BASE'!FU84)</f>
      </c>
      <c r="M84" s="998">
        <f>IF('[2]BASE'!FV84=0,"",'[2]BASE'!FV84)</f>
      </c>
      <c r="N84" s="998">
        <f>IF('[2]BASE'!FW84=0,"",'[2]BASE'!FW84)</f>
      </c>
      <c r="O84" s="998">
        <f>IF('[2]BASE'!FX84=0,"",'[2]BASE'!FX84)</f>
      </c>
      <c r="P84" s="998">
        <f>IF('[2]BASE'!FY84=0,"",'[2]BASE'!FY84)</f>
      </c>
      <c r="Q84" s="998">
        <f>IF('[2]BASE'!FZ84=0,"",'[2]BASE'!FZ84)</f>
      </c>
      <c r="R84" s="998">
        <f>IF('[2]BASE'!GA84=0,"",'[2]BASE'!GA84)</f>
      </c>
      <c r="S84" s="998">
        <f>IF('[2]BASE'!GB84=0,"",'[2]BASE'!GB84)</f>
      </c>
      <c r="T84" s="999"/>
      <c r="U84" s="995"/>
    </row>
    <row r="85" spans="2:21" s="989" customFormat="1" ht="19.5" customHeight="1">
      <c r="B85" s="990"/>
      <c r="C85" s="1002">
        <f>IF('[2]BASE'!C85=0,"",'[2]BASE'!C85)</f>
        <v>65</v>
      </c>
      <c r="D85" s="1002" t="str">
        <f>IF('[2]BASE'!D85=0,"",'[2]BASE'!D85)</f>
        <v>RINCON - PASO DE LA PATRIA</v>
      </c>
      <c r="E85" s="1002">
        <f>IF('[2]BASE'!E85=0,"",'[2]BASE'!E85)</f>
        <v>500</v>
      </c>
      <c r="F85" s="1003">
        <f>IF('[2]BASE'!F85=0,"",'[2]BASE'!F85)</f>
        <v>227</v>
      </c>
      <c r="G85" s="1003" t="str">
        <f>IF('[2]BASE'!G85=0,"",'[2]BASE'!G85)</f>
        <v>A</v>
      </c>
      <c r="H85" s="998">
        <f>IF('[2]BASE'!FQ85=0,"",'[2]BASE'!FQ85)</f>
      </c>
      <c r="I85" s="998">
        <f>IF('[2]BASE'!FR85=0,"",'[2]BASE'!FR85)</f>
      </c>
      <c r="J85" s="998">
        <f>IF('[2]BASE'!FS85=0,"",'[2]BASE'!FS85)</f>
      </c>
      <c r="K85" s="998">
        <f>IF('[2]BASE'!FT85=0,"",'[2]BASE'!FT85)</f>
      </c>
      <c r="L85" s="998">
        <f>IF('[2]BASE'!FU85=0,"",'[2]BASE'!FU85)</f>
      </c>
      <c r="M85" s="998">
        <f>IF('[2]BASE'!FV85=0,"",'[2]BASE'!FV85)</f>
      </c>
      <c r="N85" s="998">
        <f>IF('[2]BASE'!FW85=0,"",'[2]BASE'!FW85)</f>
      </c>
      <c r="O85" s="998">
        <f>IF('[2]BASE'!FX85=0,"",'[2]BASE'!FX85)</f>
      </c>
      <c r="P85" s="998">
        <f>IF('[2]BASE'!FY85=0,"",'[2]BASE'!FY85)</f>
      </c>
      <c r="Q85" s="998">
        <f>IF('[2]BASE'!FZ85=0,"",'[2]BASE'!FZ85)</f>
      </c>
      <c r="R85" s="998">
        <f>IF('[2]BASE'!GA85=0,"",'[2]BASE'!GA85)</f>
      </c>
      <c r="S85" s="998">
        <f>IF('[2]BASE'!GB85=0,"",'[2]BASE'!GB85)</f>
      </c>
      <c r="T85" s="999"/>
      <c r="U85" s="995"/>
    </row>
    <row r="86" spans="2:21" s="989" customFormat="1" ht="19.5" customHeight="1">
      <c r="B86" s="990"/>
      <c r="C86" s="1000">
        <f>IF('[2]BASE'!C86=0,"",'[2]BASE'!C86)</f>
        <v>66</v>
      </c>
      <c r="D86" s="1000" t="str">
        <f>IF('[2]BASE'!D86=0,"",'[2]BASE'!D86)</f>
        <v>PASO DE LA PATRIA - RESISTENCIA</v>
      </c>
      <c r="E86" s="1000">
        <f>IF('[2]BASE'!E86=0,"",'[2]BASE'!E86)</f>
        <v>500</v>
      </c>
      <c r="F86" s="1001">
        <f>IF('[2]BASE'!F86=0,"",'[2]BASE'!F86)</f>
        <v>40</v>
      </c>
      <c r="G86" s="1001" t="str">
        <f>IF('[2]BASE'!G86=0,"",'[2]BASE'!G86)</f>
        <v>C</v>
      </c>
      <c r="H86" s="998">
        <f>IF('[2]BASE'!FQ86=0,"",'[2]BASE'!FQ86)</f>
      </c>
      <c r="I86" s="998">
        <f>IF('[2]BASE'!FR86=0,"",'[2]BASE'!FR86)</f>
      </c>
      <c r="J86" s="998">
        <f>IF('[2]BASE'!FS86=0,"",'[2]BASE'!FS86)</f>
      </c>
      <c r="K86" s="998">
        <f>IF('[2]BASE'!FT86=0,"",'[2]BASE'!FT86)</f>
      </c>
      <c r="L86" s="998">
        <f>IF('[2]BASE'!FU86=0,"",'[2]BASE'!FU86)</f>
      </c>
      <c r="M86" s="998">
        <f>IF('[2]BASE'!FV86=0,"",'[2]BASE'!FV86)</f>
      </c>
      <c r="N86" s="998">
        <f>IF('[2]BASE'!FW86=0,"",'[2]BASE'!FW86)</f>
      </c>
      <c r="O86" s="998">
        <f>IF('[2]BASE'!FX86=0,"",'[2]BASE'!FX86)</f>
      </c>
      <c r="P86" s="998">
        <f>IF('[2]BASE'!FY86=0,"",'[2]BASE'!FY86)</f>
      </c>
      <c r="Q86" s="998">
        <f>IF('[2]BASE'!FZ86=0,"",'[2]BASE'!FZ86)</f>
      </c>
      <c r="R86" s="998">
        <f>IF('[2]BASE'!GA86=0,"",'[2]BASE'!GA86)</f>
      </c>
      <c r="S86" s="998">
        <f>IF('[2]BASE'!GB86=0,"",'[2]BASE'!GB86)</f>
      </c>
      <c r="T86" s="999"/>
      <c r="U86" s="995"/>
    </row>
    <row r="87" spans="2:21" s="989" customFormat="1" ht="19.5" customHeight="1">
      <c r="B87" s="990"/>
      <c r="C87" s="1002">
        <f>IF('[2]BASE'!C87=0,"",'[2]BASE'!C87)</f>
        <v>67</v>
      </c>
      <c r="D87" s="1002" t="str">
        <f>IF('[2]BASE'!D87=0,"",'[2]BASE'!D87)</f>
        <v>RINCON - RESISTENCIA</v>
      </c>
      <c r="E87" s="1002">
        <f>IF('[2]BASE'!E87=0,"",'[2]BASE'!E87)</f>
        <v>500</v>
      </c>
      <c r="F87" s="1002">
        <f>IF('[2]BASE'!F87=0,"",'[2]BASE'!F87)</f>
        <v>267</v>
      </c>
      <c r="G87" s="1003" t="str">
        <f>IF('[2]BASE'!G87=0,"",'[2]BASE'!G87)</f>
        <v>B</v>
      </c>
      <c r="H87" s="998" t="str">
        <f>IF('[2]BASE'!FQ87=0,"",'[2]BASE'!FQ87)</f>
        <v>XXXX</v>
      </c>
      <c r="I87" s="998" t="str">
        <f>IF('[2]BASE'!FR87=0,"",'[2]BASE'!FR87)</f>
        <v>XXXX</v>
      </c>
      <c r="J87" s="998" t="str">
        <f>IF('[2]BASE'!FS87=0,"",'[2]BASE'!FS87)</f>
        <v>XXXX</v>
      </c>
      <c r="K87" s="998" t="str">
        <f>IF('[2]BASE'!FT87=0,"",'[2]BASE'!FT87)</f>
        <v>XXXX</v>
      </c>
      <c r="L87" s="998" t="str">
        <f>IF('[2]BASE'!FU87=0,"",'[2]BASE'!FU87)</f>
        <v>XXXX</v>
      </c>
      <c r="M87" s="998" t="str">
        <f>IF('[2]BASE'!FV87=0,"",'[2]BASE'!FV87)</f>
        <v>XXXX</v>
      </c>
      <c r="N87" s="998" t="str">
        <f>IF('[2]BASE'!FW87=0,"",'[2]BASE'!FW87)</f>
        <v>XXXX</v>
      </c>
      <c r="O87" s="998" t="str">
        <f>IF('[2]BASE'!FX87=0,"",'[2]BASE'!FX87)</f>
        <v>XXXX</v>
      </c>
      <c r="P87" s="998" t="str">
        <f>IF('[2]BASE'!FY87=0,"",'[2]BASE'!FY87)</f>
        <v>XXXX</v>
      </c>
      <c r="Q87" s="998" t="str">
        <f>IF('[2]BASE'!FZ87=0,"",'[2]BASE'!FZ87)</f>
        <v>XXXX</v>
      </c>
      <c r="R87" s="998" t="str">
        <f>IF('[2]BASE'!GA87=0,"",'[2]BASE'!GA87)</f>
        <v>XXXX</v>
      </c>
      <c r="S87" s="998" t="str">
        <f>IF('[2]BASE'!GB87=0,"",'[2]BASE'!GB87)</f>
        <v>XXXX</v>
      </c>
      <c r="T87" s="999"/>
      <c r="U87" s="995"/>
    </row>
    <row r="88" spans="2:21" s="989" customFormat="1" ht="9.75" customHeight="1">
      <c r="B88" s="990"/>
      <c r="C88" s="1000">
        <f>IF('[2]BASE'!C88=0,"",'[2]BASE'!C88)</f>
      </c>
      <c r="D88" s="1000">
        <f>IF('[2]BASE'!D88=0,"",'[2]BASE'!D88)</f>
      </c>
      <c r="E88" s="1000">
        <f>IF('[2]BASE'!E88=0,"",'[2]BASE'!E88)</f>
      </c>
      <c r="F88" s="1001">
        <f>IF('[2]BASE'!F88=0,"",'[2]BASE'!F88)</f>
      </c>
      <c r="G88" s="1001">
        <f>IF('[2]BASE'!G88=0,"",'[2]BASE'!G88)</f>
      </c>
      <c r="H88" s="998">
        <f>IF('[2]BASE'!FQ88=0,"",'[2]BASE'!FQ88)</f>
      </c>
      <c r="I88" s="998">
        <f>IF('[2]BASE'!FR88=0,"",'[2]BASE'!FR88)</f>
      </c>
      <c r="J88" s="998">
        <f>IF('[2]BASE'!FS88=0,"",'[2]BASE'!FS88)</f>
      </c>
      <c r="K88" s="998">
        <f>IF('[2]BASE'!FT88=0,"",'[2]BASE'!FT88)</f>
      </c>
      <c r="L88" s="998">
        <f>IF('[2]BASE'!FU88=0,"",'[2]BASE'!FU88)</f>
      </c>
      <c r="M88" s="998">
        <f>IF('[2]BASE'!FV88=0,"",'[2]BASE'!FV88)</f>
      </c>
      <c r="N88" s="998">
        <f>IF('[2]BASE'!FW88=0,"",'[2]BASE'!FW88)</f>
      </c>
      <c r="O88" s="998">
        <f>IF('[2]BASE'!FX88=0,"",'[2]BASE'!FX88)</f>
      </c>
      <c r="P88" s="998">
        <f>IF('[2]BASE'!FY88=0,"",'[2]BASE'!FY88)</f>
      </c>
      <c r="Q88" s="998">
        <f>IF('[2]BASE'!FZ88=0,"",'[2]BASE'!FZ88)</f>
      </c>
      <c r="R88" s="998">
        <f>IF('[2]BASE'!GA88=0,"",'[2]BASE'!GA88)</f>
      </c>
      <c r="S88" s="998">
        <f>IF('[2]BASE'!GB88=0,"",'[2]BASE'!GB88)</f>
      </c>
      <c r="T88" s="999"/>
      <c r="U88" s="995"/>
    </row>
    <row r="89" spans="2:21" s="989" customFormat="1" ht="19.5" customHeight="1">
      <c r="B89" s="990"/>
      <c r="C89" s="1002">
        <f>IF('[2]BASE'!C89=0,"",'[2]BASE'!C89)</f>
        <v>68</v>
      </c>
      <c r="D89" s="1002" t="str">
        <f>IF('[2]BASE'!D89=0,"",'[2]BASE'!D89)</f>
        <v>RINCON - SALTO GRANDE</v>
      </c>
      <c r="E89" s="1002">
        <f>IF('[2]BASE'!E89=0,"",'[2]BASE'!E89)</f>
        <v>500</v>
      </c>
      <c r="F89" s="1003">
        <f>IF('[2]BASE'!F89=0,"",'[2]BASE'!F89)</f>
        <v>506</v>
      </c>
      <c r="G89" s="1003" t="str">
        <f>IF('[2]BASE'!G89=0,"",'[2]BASE'!G89)</f>
        <v>A</v>
      </c>
      <c r="H89" s="998">
        <f>IF('[2]BASE'!FQ89=0,"",'[2]BASE'!FQ89)</f>
      </c>
      <c r="I89" s="998">
        <f>IF('[2]BASE'!FR89=0,"",'[2]BASE'!FR89)</f>
      </c>
      <c r="J89" s="998">
        <f>IF('[2]BASE'!FS89=0,"",'[2]BASE'!FS89)</f>
      </c>
      <c r="K89" s="998">
        <f>IF('[2]BASE'!FT89=0,"",'[2]BASE'!FT89)</f>
      </c>
      <c r="L89" s="998">
        <f>IF('[2]BASE'!FU89=0,"",'[2]BASE'!FU89)</f>
      </c>
      <c r="M89" s="998">
        <f>IF('[2]BASE'!FV89=0,"",'[2]BASE'!FV89)</f>
      </c>
      <c r="N89" s="998">
        <f>IF('[2]BASE'!FW89=0,"",'[2]BASE'!FW89)</f>
      </c>
      <c r="O89" s="998">
        <f>IF('[2]BASE'!FX89=0,"",'[2]BASE'!FX89)</f>
      </c>
      <c r="P89" s="998">
        <f>IF('[2]BASE'!FY89=0,"",'[2]BASE'!FY89)</f>
      </c>
      <c r="Q89" s="998">
        <f>IF('[2]BASE'!FZ89=0,"",'[2]BASE'!FZ89)</f>
      </c>
      <c r="R89" s="998">
        <f>IF('[2]BASE'!GA89=0,"",'[2]BASE'!GA89)</f>
      </c>
      <c r="S89" s="998">
        <f>IF('[2]BASE'!GB89=0,"",'[2]BASE'!GB89)</f>
      </c>
      <c r="T89" s="999"/>
      <c r="U89" s="995"/>
    </row>
    <row r="90" spans="2:21" s="989" customFormat="1" ht="19.5" customHeight="1">
      <c r="B90" s="990"/>
      <c r="C90" s="1000">
        <f>IF('[2]BASE'!C90=0,"",'[2]BASE'!C90)</f>
        <v>69</v>
      </c>
      <c r="D90" s="1000" t="str">
        <f>IF('[2]BASE'!D90=0,"",'[2]BASE'!D90)</f>
        <v>RINCON - SAN ISIDRO</v>
      </c>
      <c r="E90" s="1000">
        <f>IF('[2]BASE'!E90=0,"",'[2]BASE'!E90)</f>
        <v>500</v>
      </c>
      <c r="F90" s="1001">
        <f>IF('[2]BASE'!F90=0,"",'[2]BASE'!F90)</f>
        <v>85</v>
      </c>
      <c r="G90" s="1001" t="str">
        <f>IF('[2]BASE'!G90=0,"",'[2]BASE'!G90)</f>
        <v>C</v>
      </c>
      <c r="H90" s="998">
        <f>IF('[2]BASE'!FQ90=0,"",'[2]BASE'!FQ90)</f>
      </c>
      <c r="I90" s="998">
        <f>IF('[2]BASE'!FR90=0,"",'[2]BASE'!FR90)</f>
      </c>
      <c r="J90" s="998">
        <f>IF('[2]BASE'!FS90=0,"",'[2]BASE'!FS90)</f>
      </c>
      <c r="K90" s="998">
        <f>IF('[2]BASE'!FT90=0,"",'[2]BASE'!FT90)</f>
      </c>
      <c r="L90" s="998">
        <f>IF('[2]BASE'!FU90=0,"",'[2]BASE'!FU90)</f>
      </c>
      <c r="M90" s="998">
        <f>IF('[2]BASE'!FV90=0,"",'[2]BASE'!FV90)</f>
      </c>
      <c r="N90" s="998">
        <f>IF('[2]BASE'!FW90=0,"",'[2]BASE'!FW90)</f>
      </c>
      <c r="O90" s="998">
        <f>IF('[2]BASE'!FX90=0,"",'[2]BASE'!FX90)</f>
      </c>
      <c r="P90" s="998">
        <f>IF('[2]BASE'!FY90=0,"",'[2]BASE'!FY90)</f>
      </c>
      <c r="Q90" s="998">
        <f>IF('[2]BASE'!FZ90=0,"",'[2]BASE'!FZ90)</f>
      </c>
      <c r="R90" s="998">
        <f>IF('[2]BASE'!GA90=0,"",'[2]BASE'!GA90)</f>
      </c>
      <c r="S90" s="998">
        <f>IF('[2]BASE'!GB90=0,"",'[2]BASE'!GB90)</f>
      </c>
      <c r="T90" s="999"/>
      <c r="U90" s="995"/>
    </row>
    <row r="91" spans="2:21" s="989" customFormat="1" ht="9.75" customHeight="1">
      <c r="B91" s="990"/>
      <c r="C91" s="1002">
        <f>IF('[2]BASE'!C91=0,"",'[2]BASE'!C91)</f>
      </c>
      <c r="D91" s="1002">
        <f>IF('[2]BASE'!D91=0,"",'[2]BASE'!D91)</f>
      </c>
      <c r="E91" s="1002">
        <f>IF('[2]BASE'!E91=0,"",'[2]BASE'!E91)</f>
      </c>
      <c r="F91" s="1002">
        <f>IF('[2]BASE'!F91=0,"",'[2]BASE'!F91)</f>
      </c>
      <c r="G91" s="1003">
        <f>IF('[2]BASE'!G91=0,"",'[2]BASE'!G91)</f>
      </c>
      <c r="H91" s="998">
        <f>IF('[2]BASE'!FQ91=0,"",'[2]BASE'!FQ91)</f>
      </c>
      <c r="I91" s="998">
        <f>IF('[2]BASE'!FR91=0,"",'[2]BASE'!FR91)</f>
      </c>
      <c r="J91" s="998">
        <f>IF('[2]BASE'!FS91=0,"",'[2]BASE'!FS91)</f>
      </c>
      <c r="K91" s="998">
        <f>IF('[2]BASE'!FT91=0,"",'[2]BASE'!FT91)</f>
      </c>
      <c r="L91" s="998">
        <f>IF('[2]BASE'!FU91=0,"",'[2]BASE'!FU91)</f>
      </c>
      <c r="M91" s="998">
        <f>IF('[2]BASE'!FV91=0,"",'[2]BASE'!FV91)</f>
      </c>
      <c r="N91" s="998">
        <f>IF('[2]BASE'!FW91=0,"",'[2]BASE'!FW91)</f>
      </c>
      <c r="O91" s="998">
        <f>IF('[2]BASE'!FX91=0,"",'[2]BASE'!FX91)</f>
      </c>
      <c r="P91" s="998">
        <f>IF('[2]BASE'!FY91=0,"",'[2]BASE'!FY91)</f>
      </c>
      <c r="Q91" s="998">
        <f>IF('[2]BASE'!FZ91=0,"",'[2]BASE'!FZ91)</f>
      </c>
      <c r="R91" s="998">
        <f>IF('[2]BASE'!GA91=0,"",'[2]BASE'!GA91)</f>
      </c>
      <c r="S91" s="998">
        <f>IF('[2]BASE'!GB91=0,"",'[2]BASE'!GB91)</f>
      </c>
      <c r="T91" s="999"/>
      <c r="U91" s="995"/>
    </row>
    <row r="92" spans="2:21" s="989" customFormat="1" ht="9.75" customHeight="1" thickBot="1">
      <c r="B92" s="990"/>
      <c r="C92" s="1004"/>
      <c r="D92" s="1004"/>
      <c r="E92" s="1004"/>
      <c r="F92" s="1004"/>
      <c r="G92" s="1005"/>
      <c r="H92" s="1006"/>
      <c r="I92" s="1006"/>
      <c r="J92" s="1006"/>
      <c r="K92" s="1006"/>
      <c r="L92" s="1006"/>
      <c r="M92" s="1006"/>
      <c r="N92" s="1006"/>
      <c r="O92" s="1006"/>
      <c r="P92" s="1006"/>
      <c r="Q92" s="1006"/>
      <c r="R92" s="1006"/>
      <c r="S92" s="1006"/>
      <c r="T92" s="999"/>
      <c r="U92" s="995"/>
    </row>
    <row r="93" spans="2:21" s="989" customFormat="1" ht="19.5" customHeight="1" thickBot="1" thickTop="1">
      <c r="B93" s="990"/>
      <c r="C93" s="1007"/>
      <c r="D93" s="1008"/>
      <c r="E93" s="1009" t="s">
        <v>354</v>
      </c>
      <c r="F93" s="1010">
        <f>SUM(F16:F92)-F46-F57-F78-F79-F87</f>
        <v>9666.7</v>
      </c>
      <c r="G93" s="1011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999"/>
      <c r="U93" s="995"/>
    </row>
    <row r="94" spans="2:21" s="989" customFormat="1" ht="19.5" customHeight="1" thickBot="1" thickTop="1">
      <c r="B94" s="990"/>
      <c r="C94" s="1013"/>
      <c r="D94" s="1014"/>
      <c r="E94" s="1015"/>
      <c r="F94" s="1016" t="s">
        <v>355</v>
      </c>
      <c r="H94" s="1017">
        <f aca="true" t="shared" si="0" ref="H94:S94">SUM(H17:H92)</f>
        <v>0</v>
      </c>
      <c r="I94" s="1017">
        <f t="shared" si="0"/>
        <v>4</v>
      </c>
      <c r="J94" s="1017">
        <f t="shared" si="0"/>
        <v>4</v>
      </c>
      <c r="K94" s="1017">
        <f t="shared" si="0"/>
        <v>3</v>
      </c>
      <c r="L94" s="1017">
        <f t="shared" si="0"/>
        <v>1</v>
      </c>
      <c r="M94" s="1017">
        <f t="shared" si="0"/>
        <v>2</v>
      </c>
      <c r="N94" s="1017">
        <f t="shared" si="0"/>
        <v>1</v>
      </c>
      <c r="O94" s="1017">
        <f t="shared" si="0"/>
        <v>8</v>
      </c>
      <c r="P94" s="1017">
        <f t="shared" si="0"/>
        <v>2</v>
      </c>
      <c r="Q94" s="1017">
        <f t="shared" si="0"/>
        <v>0</v>
      </c>
      <c r="R94" s="1017">
        <f t="shared" si="0"/>
        <v>5</v>
      </c>
      <c r="S94" s="1017">
        <f t="shared" si="0"/>
        <v>6</v>
      </c>
      <c r="T94" s="999"/>
      <c r="U94" s="995"/>
    </row>
    <row r="95" spans="2:21" s="989" customFormat="1" ht="19.5" customHeight="1" thickBot="1" thickTop="1">
      <c r="B95" s="990"/>
      <c r="E95" s="1015"/>
      <c r="F95" s="1016" t="s">
        <v>356</v>
      </c>
      <c r="H95" s="1018">
        <f>'[2]BASE'!FQ100</f>
        <v>0.38</v>
      </c>
      <c r="I95" s="1018">
        <f>'[2]BASE'!FR100</f>
        <v>0.35</v>
      </c>
      <c r="J95" s="1018">
        <f>'[2]BASE'!FS100</f>
        <v>0.38</v>
      </c>
      <c r="K95" s="1018">
        <f>'[2]BASE'!FT100</f>
        <v>0.37</v>
      </c>
      <c r="L95" s="1018">
        <f>'[2]BASE'!FU100</f>
        <v>0.35</v>
      </c>
      <c r="M95" s="1018">
        <f>'[2]BASE'!FV100</f>
        <v>0.34</v>
      </c>
      <c r="N95" s="1018">
        <f>'[2]BASE'!FW100</f>
        <v>0.36</v>
      </c>
      <c r="O95" s="1018">
        <f>'[2]BASE'!FX100</f>
        <v>0.33</v>
      </c>
      <c r="P95" s="1018">
        <f>'[2]BASE'!FY100</f>
        <v>0.38</v>
      </c>
      <c r="Q95" s="1018">
        <f>'[2]BASE'!FZ100</f>
        <v>0.36</v>
      </c>
      <c r="R95" s="1018">
        <f>'[2]BASE'!GA100</f>
        <v>0.35</v>
      </c>
      <c r="S95" s="1018">
        <f>'[2]BASE'!GB100</f>
        <v>0.35</v>
      </c>
      <c r="T95" s="1018">
        <f>'[2]BASE'!GC100</f>
        <v>0.37</v>
      </c>
      <c r="U95" s="995"/>
    </row>
    <row r="96" spans="2:21" s="944" customFormat="1" ht="9.75" customHeight="1" thickBot="1" thickTop="1">
      <c r="B96" s="1019"/>
      <c r="C96"/>
      <c r="D96" s="1020"/>
      <c r="E96" s="1021"/>
      <c r="F96" s="1022"/>
      <c r="G96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4"/>
    </row>
    <row r="97" spans="2:21" ht="15.75" customHeight="1" thickBot="1">
      <c r="B97" s="50"/>
      <c r="C97" s="1025"/>
      <c r="D97" s="15" t="s">
        <v>357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1026" t="s">
        <v>358</v>
      </c>
      <c r="I98" s="1027"/>
      <c r="J98" s="1028">
        <f>T95</f>
        <v>0.37</v>
      </c>
      <c r="K98" s="1029" t="s">
        <v>359</v>
      </c>
      <c r="L98" s="1030"/>
      <c r="M98" s="1031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32"/>
      <c r="D99" s="59"/>
      <c r="E99" s="59"/>
      <c r="F99" s="1032"/>
      <c r="G99" s="103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33"/>
      <c r="F100" s="1033"/>
      <c r="G100" s="1033"/>
    </row>
    <row r="101" spans="3:194" ht="12.75">
      <c r="C101" s="1033"/>
      <c r="D101" s="66"/>
      <c r="E101" s="66"/>
      <c r="F101" s="66"/>
      <c r="G101" s="66"/>
      <c r="H101" s="1034"/>
      <c r="I101" s="1034"/>
      <c r="J101" s="1034"/>
      <c r="K101" s="1034"/>
      <c r="L101" s="1034"/>
      <c r="M101" s="1034"/>
      <c r="N101" s="1034"/>
      <c r="O101" s="1034"/>
      <c r="P101" s="1034"/>
      <c r="Q101" s="1034"/>
      <c r="R101" s="1034"/>
      <c r="S101" s="1034"/>
      <c r="T101" s="103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33"/>
      <c r="D102" s="66"/>
      <c r="E102" s="66"/>
      <c r="F102" s="66"/>
      <c r="G102" s="66"/>
      <c r="H102" s="1034"/>
      <c r="I102" s="1034"/>
      <c r="J102" s="1034"/>
      <c r="K102" s="1034"/>
      <c r="L102" s="1034"/>
      <c r="M102" s="1034"/>
      <c r="N102" s="1034"/>
      <c r="O102" s="1034"/>
      <c r="P102" s="1034"/>
      <c r="Q102" s="1034"/>
      <c r="R102" s="1034"/>
      <c r="S102" s="1034"/>
      <c r="T102" s="103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33"/>
      <c r="D103" s="66"/>
      <c r="E103" s="66"/>
      <c r="F103" s="66"/>
      <c r="G103" s="66"/>
      <c r="H103" s="1035"/>
      <c r="I103" s="1035"/>
      <c r="J103" s="1035"/>
      <c r="K103" s="1035"/>
      <c r="L103" s="1035"/>
      <c r="M103" s="1035"/>
      <c r="N103" s="1035"/>
      <c r="O103" s="1035"/>
      <c r="P103" s="1035"/>
      <c r="Q103" s="1035"/>
      <c r="R103" s="1035"/>
      <c r="S103" s="1035"/>
      <c r="T103" s="103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33"/>
      <c r="D104" s="66"/>
      <c r="E104" s="66"/>
      <c r="F104" s="66"/>
      <c r="G104" s="66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33"/>
      <c r="D105" s="66"/>
      <c r="E105" s="66"/>
      <c r="F105" s="66"/>
      <c r="G105" s="66"/>
      <c r="H105" s="1034"/>
      <c r="I105" s="1034"/>
      <c r="J105" s="1034"/>
      <c r="K105" s="1034"/>
      <c r="L105" s="1034"/>
      <c r="M105" s="1034"/>
      <c r="N105" s="1034"/>
      <c r="O105" s="1034"/>
      <c r="P105" s="1034"/>
      <c r="Q105" s="1034"/>
      <c r="R105" s="1034"/>
      <c r="S105" s="1034"/>
      <c r="T105" s="103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33"/>
      <c r="D106" s="66"/>
      <c r="E106" s="66"/>
      <c r="F106" s="66"/>
      <c r="G106" s="66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33"/>
      <c r="D107" s="66"/>
      <c r="E107" s="66"/>
      <c r="F107" s="66"/>
      <c r="G107" s="66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1034"/>
      <c r="R107" s="1034"/>
      <c r="S107" s="1034"/>
      <c r="T107" s="103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33"/>
      <c r="D108" s="66"/>
      <c r="E108" s="66"/>
      <c r="F108" s="66"/>
      <c r="G108" s="66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33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33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33"/>
      <c r="F111" s="1033"/>
      <c r="G111" s="1033"/>
    </row>
    <row r="112" spans="3:7" ht="12.75">
      <c r="C112" s="1033"/>
      <c r="F112" s="1033"/>
      <c r="G112" s="1033"/>
    </row>
    <row r="113" spans="3:7" ht="12.75">
      <c r="C113" s="1033"/>
      <c r="F113" s="1033"/>
      <c r="G113" s="1033"/>
    </row>
    <row r="114" spans="6:7" ht="12.75">
      <c r="F114" s="1033"/>
      <c r="G114" s="1033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876" bestFit="1" customWidth="1"/>
    <col min="2" max="2" width="9.28125" style="876" customWidth="1"/>
    <col min="3" max="3" width="11.8515625" style="876" bestFit="1" customWidth="1"/>
    <col min="4" max="4" width="9.57421875" style="876" bestFit="1" customWidth="1"/>
    <col min="5" max="5" width="17.140625" style="876" bestFit="1" customWidth="1"/>
    <col min="6" max="6" width="71.8515625" style="876" bestFit="1" customWidth="1"/>
    <col min="7" max="9" width="5.8515625" style="876" customWidth="1"/>
    <col min="10" max="22" width="5.8515625" style="876" bestFit="1" customWidth="1"/>
    <col min="23" max="24" width="11.00390625" style="876" customWidth="1"/>
    <col min="25" max="16384" width="11.421875" style="876" customWidth="1"/>
  </cols>
  <sheetData>
    <row r="1" spans="1:4" ht="12.75">
      <c r="A1" s="881" t="s">
        <v>144</v>
      </c>
      <c r="B1" s="881" t="s">
        <v>144</v>
      </c>
      <c r="C1" s="881" t="s">
        <v>145</v>
      </c>
      <c r="D1" s="881" t="s">
        <v>146</v>
      </c>
    </row>
    <row r="2" spans="1:4" ht="12.75">
      <c r="A2" s="880" t="s">
        <v>44</v>
      </c>
      <c r="B2" s="896" t="s">
        <v>150</v>
      </c>
      <c r="C2" s="880">
        <v>31</v>
      </c>
      <c r="D2" s="880">
        <v>2006</v>
      </c>
    </row>
    <row r="3" spans="1:4" ht="12.75">
      <c r="A3" s="880" t="s">
        <v>45</v>
      </c>
      <c r="B3" s="896" t="s">
        <v>151</v>
      </c>
      <c r="C3" s="880">
        <f>IF(MOD(E14,4)=0,29,28)</f>
        <v>29</v>
      </c>
      <c r="D3" s="880">
        <f>+D2+1</f>
        <v>2007</v>
      </c>
    </row>
    <row r="4" spans="1:4" ht="12.75">
      <c r="A4" s="880" t="s">
        <v>46</v>
      </c>
      <c r="B4" s="896" t="s">
        <v>152</v>
      </c>
      <c r="C4" s="880">
        <v>31</v>
      </c>
      <c r="D4" s="880">
        <v>2008</v>
      </c>
    </row>
    <row r="5" spans="1:4" ht="12.75">
      <c r="A5" s="880" t="s">
        <v>47</v>
      </c>
      <c r="B5" s="896" t="s">
        <v>153</v>
      </c>
      <c r="C5" s="880">
        <v>30</v>
      </c>
      <c r="D5" s="880"/>
    </row>
    <row r="6" spans="1:4" ht="12.75">
      <c r="A6" s="880" t="s">
        <v>48</v>
      </c>
      <c r="B6" s="896" t="s">
        <v>154</v>
      </c>
      <c r="C6" s="880">
        <v>31</v>
      </c>
      <c r="D6" s="880"/>
    </row>
    <row r="7" spans="1:4" ht="12.75">
      <c r="A7" s="880" t="s">
        <v>49</v>
      </c>
      <c r="B7" s="896" t="s">
        <v>155</v>
      </c>
      <c r="C7" s="880">
        <v>30</v>
      </c>
      <c r="D7" s="880"/>
    </row>
    <row r="8" spans="1:4" ht="12.75">
      <c r="A8" s="880" t="s">
        <v>50</v>
      </c>
      <c r="B8" s="896" t="s">
        <v>156</v>
      </c>
      <c r="C8" s="880">
        <v>31</v>
      </c>
      <c r="D8" s="880"/>
    </row>
    <row r="9" spans="1:4" ht="12.75">
      <c r="A9" s="880" t="s">
        <v>51</v>
      </c>
      <c r="B9" s="896" t="s">
        <v>157</v>
      </c>
      <c r="C9" s="880">
        <v>31</v>
      </c>
      <c r="D9" s="880"/>
    </row>
    <row r="10" spans="1:4" ht="12.75">
      <c r="A10" s="880" t="s">
        <v>52</v>
      </c>
      <c r="B10" s="896" t="s">
        <v>158</v>
      </c>
      <c r="C10" s="880">
        <v>30</v>
      </c>
      <c r="D10" s="880"/>
    </row>
    <row r="11" spans="1:4" ht="12.75">
      <c r="A11" s="880" t="s">
        <v>53</v>
      </c>
      <c r="B11" s="896" t="s">
        <v>159</v>
      </c>
      <c r="C11" s="880">
        <v>31</v>
      </c>
      <c r="D11" s="880"/>
    </row>
    <row r="12" spans="1:4" ht="12.75">
      <c r="A12" s="880" t="s">
        <v>54</v>
      </c>
      <c r="B12" s="896" t="s">
        <v>160</v>
      </c>
      <c r="C12" s="880">
        <v>30</v>
      </c>
      <c r="D12" s="880"/>
    </row>
    <row r="13" spans="1:9" ht="12.75">
      <c r="A13" s="880" t="s">
        <v>55</v>
      </c>
      <c r="B13" s="896" t="s">
        <v>161</v>
      </c>
      <c r="C13" s="880">
        <v>31</v>
      </c>
      <c r="D13" s="880"/>
      <c r="E13" s="966"/>
      <c r="I13" s="911" t="s">
        <v>223</v>
      </c>
    </row>
    <row r="14" spans="1:9" ht="12.75">
      <c r="A14" s="877">
        <v>3</v>
      </c>
      <c r="B14" s="878">
        <v>9</v>
      </c>
      <c r="C14" s="877" t="str">
        <f ca="1">CELL("CONTENIDO",OFFSET(A1,B14,0))</f>
        <v>septiembre</v>
      </c>
      <c r="D14" s="877">
        <f ca="1">CELL("CONTENIDO",OFFSET(C1,B14,0))</f>
        <v>30</v>
      </c>
      <c r="E14" s="877">
        <f ca="1">CELL("CONTENIDO",OFFSET(D1,A14,0))</f>
        <v>2008</v>
      </c>
      <c r="F14" s="877" t="str">
        <f>"Desde el 01 al "&amp;D14&amp;" de "&amp;C14&amp;" de "&amp;E14</f>
        <v>Desde el 01 al 30 de septiembre de 2008</v>
      </c>
      <c r="G14" s="877" t="str">
        <f ca="1">CELL("CONTENIDO",OFFSET(B1,B14,0))</f>
        <v>09</v>
      </c>
      <c r="H14" s="877" t="str">
        <f>RIGHT(E14,2)</f>
        <v>08</v>
      </c>
      <c r="I14" s="912" t="s">
        <v>218</v>
      </c>
    </row>
    <row r="15" spans="1:8" ht="12.75">
      <c r="A15" s="877"/>
      <c r="B15" s="879" t="str">
        <f>"\\fileserver\files\Transporte\transporte\AA PROCESO AUT\TRANSENER\"&amp;E14</f>
        <v>\\fileserver\files\Transporte\transporte\AA PROCESO AUT\TRANSENER\2008</v>
      </c>
      <c r="C15" s="877"/>
      <c r="D15" s="877"/>
      <c r="E15" s="877"/>
      <c r="F15" s="877"/>
      <c r="G15" s="877" t="str">
        <f>"J"&amp;G14&amp;H14&amp;"NER"</f>
        <v>J0908NER</v>
      </c>
      <c r="H15" s="877"/>
    </row>
    <row r="16" spans="1:8" ht="12.75">
      <c r="A16" s="877"/>
      <c r="B16" s="879" t="str">
        <f>"\\fileserver\files\Transporte\transporte\AA PROCESO AUT\NERNOANEA\"&amp;H14&amp;G14</f>
        <v>\\fileserver\files\Transporte\transporte\AA PROCESO AUT\NERNOANEA\0809</v>
      </c>
      <c r="C16" s="877"/>
      <c r="D16" s="877"/>
      <c r="E16" s="877"/>
      <c r="F16" s="877"/>
      <c r="G16" s="877"/>
      <c r="H16" s="877"/>
    </row>
    <row r="17" spans="1:29" ht="12.75">
      <c r="A17" s="881" t="s">
        <v>132</v>
      </c>
      <c r="B17" s="881" t="s">
        <v>183</v>
      </c>
      <c r="C17" s="881" t="s">
        <v>165</v>
      </c>
      <c r="D17" s="881" t="s">
        <v>164</v>
      </c>
      <c r="E17" s="881" t="s">
        <v>149</v>
      </c>
      <c r="F17" s="881" t="s">
        <v>162</v>
      </c>
      <c r="G17" s="881" t="s">
        <v>180</v>
      </c>
      <c r="H17" s="881" t="s">
        <v>166</v>
      </c>
      <c r="I17" s="881" t="s">
        <v>167</v>
      </c>
      <c r="J17" s="881" t="s">
        <v>168</v>
      </c>
      <c r="K17" s="881" t="s">
        <v>169</v>
      </c>
      <c r="L17" s="881" t="s">
        <v>170</v>
      </c>
      <c r="M17" s="881" t="s">
        <v>171</v>
      </c>
      <c r="N17" s="881" t="s">
        <v>172</v>
      </c>
      <c r="O17" s="881" t="s">
        <v>173</v>
      </c>
      <c r="P17" s="881" t="s">
        <v>241</v>
      </c>
      <c r="Q17" s="881" t="s">
        <v>174</v>
      </c>
      <c r="R17" s="881" t="s">
        <v>175</v>
      </c>
      <c r="S17" s="881" t="s">
        <v>176</v>
      </c>
      <c r="T17" s="881" t="s">
        <v>177</v>
      </c>
      <c r="U17" s="881" t="s">
        <v>178</v>
      </c>
      <c r="V17" s="881" t="s">
        <v>179</v>
      </c>
      <c r="W17" s="881" t="s">
        <v>224</v>
      </c>
      <c r="X17" s="881" t="s">
        <v>225</v>
      </c>
      <c r="Y17" s="881" t="s">
        <v>227</v>
      </c>
      <c r="Z17" s="881" t="s">
        <v>226</v>
      </c>
      <c r="AA17" s="881" t="s">
        <v>229</v>
      </c>
      <c r="AB17" s="881" t="s">
        <v>228</v>
      </c>
      <c r="AC17" s="881" t="s">
        <v>242</v>
      </c>
    </row>
    <row r="18" spans="1:29" ht="12.75">
      <c r="A18" s="918" t="s">
        <v>133</v>
      </c>
      <c r="B18" s="900">
        <v>22</v>
      </c>
      <c r="C18" s="900">
        <v>20</v>
      </c>
      <c r="D18" s="900">
        <v>11</v>
      </c>
      <c r="E18" s="918" t="str">
        <f>"LI-"&amp;$G$14</f>
        <v>LI-09</v>
      </c>
      <c r="F18" s="918" t="s">
        <v>163</v>
      </c>
      <c r="G18" s="900">
        <v>3</v>
      </c>
      <c r="H18" s="901">
        <v>0</v>
      </c>
      <c r="I18" s="901">
        <v>0</v>
      </c>
      <c r="J18" s="900">
        <v>4</v>
      </c>
      <c r="K18" s="900">
        <v>5</v>
      </c>
      <c r="L18" s="900">
        <v>6</v>
      </c>
      <c r="M18" s="900">
        <v>7</v>
      </c>
      <c r="N18" s="900">
        <v>10</v>
      </c>
      <c r="O18" s="900">
        <v>11</v>
      </c>
      <c r="P18" s="900">
        <v>14</v>
      </c>
      <c r="Q18" s="900">
        <v>17</v>
      </c>
      <c r="R18" s="900">
        <v>28</v>
      </c>
      <c r="S18" s="900">
        <v>0</v>
      </c>
      <c r="T18" s="900">
        <v>0</v>
      </c>
      <c r="U18" s="900">
        <v>0</v>
      </c>
      <c r="V18" s="900">
        <v>0</v>
      </c>
      <c r="W18" s="918">
        <v>17</v>
      </c>
      <c r="X18" s="918">
        <v>9</v>
      </c>
      <c r="Y18" s="918">
        <v>43</v>
      </c>
      <c r="Z18" s="922">
        <v>29</v>
      </c>
      <c r="AA18" s="918">
        <v>20</v>
      </c>
      <c r="AB18" s="922">
        <v>29</v>
      </c>
      <c r="AC18" s="918">
        <v>14</v>
      </c>
    </row>
    <row r="19" spans="1:29" ht="12.75">
      <c r="A19" s="918" t="s">
        <v>194</v>
      </c>
      <c r="B19" s="900">
        <v>22</v>
      </c>
      <c r="C19" s="900">
        <v>20</v>
      </c>
      <c r="D19" s="900">
        <v>11</v>
      </c>
      <c r="E19" s="918" t="str">
        <f>"LI-IV-"&amp;$G$14</f>
        <v>LI-IV-09</v>
      </c>
      <c r="F19" s="918" t="s">
        <v>195</v>
      </c>
      <c r="G19" s="900">
        <v>3</v>
      </c>
      <c r="H19" s="901">
        <v>0</v>
      </c>
      <c r="I19" s="901">
        <v>0</v>
      </c>
      <c r="J19" s="900">
        <v>4</v>
      </c>
      <c r="K19" s="900">
        <v>5</v>
      </c>
      <c r="L19" s="900">
        <v>6</v>
      </c>
      <c r="M19" s="900">
        <v>7</v>
      </c>
      <c r="N19" s="900">
        <v>10</v>
      </c>
      <c r="O19" s="900">
        <v>11</v>
      </c>
      <c r="P19" s="900">
        <v>14</v>
      </c>
      <c r="Q19" s="900">
        <v>17</v>
      </c>
      <c r="R19" s="900">
        <v>28</v>
      </c>
      <c r="S19" s="900">
        <v>0</v>
      </c>
      <c r="T19" s="900">
        <v>0</v>
      </c>
      <c r="U19" s="900">
        <v>0</v>
      </c>
      <c r="V19" s="900">
        <v>0</v>
      </c>
      <c r="W19" s="918">
        <v>20</v>
      </c>
      <c r="X19" s="918">
        <v>9</v>
      </c>
      <c r="Y19" s="918">
        <v>43</v>
      </c>
      <c r="Z19" s="922">
        <v>29</v>
      </c>
      <c r="AA19" s="918">
        <v>20</v>
      </c>
      <c r="AB19" s="922">
        <v>29</v>
      </c>
      <c r="AC19" s="918">
        <v>14</v>
      </c>
    </row>
    <row r="20" spans="1:29" ht="12.75">
      <c r="A20" s="919" t="s">
        <v>134</v>
      </c>
      <c r="B20" s="902">
        <v>22</v>
      </c>
      <c r="C20" s="902">
        <v>20</v>
      </c>
      <c r="D20" s="902">
        <v>12</v>
      </c>
      <c r="E20" s="919" t="str">
        <f>"TR-"&amp;$G$14</f>
        <v>TR-09</v>
      </c>
      <c r="F20" s="919" t="s">
        <v>184</v>
      </c>
      <c r="G20" s="900">
        <v>3</v>
      </c>
      <c r="H20" s="901">
        <v>0</v>
      </c>
      <c r="I20" s="901">
        <v>0</v>
      </c>
      <c r="J20" s="902">
        <v>4</v>
      </c>
      <c r="K20" s="902">
        <v>5</v>
      </c>
      <c r="L20" s="902">
        <v>6</v>
      </c>
      <c r="M20" s="902">
        <v>7</v>
      </c>
      <c r="N20" s="902">
        <v>9</v>
      </c>
      <c r="O20" s="902">
        <v>10</v>
      </c>
      <c r="P20" s="902">
        <v>13</v>
      </c>
      <c r="Q20" s="902">
        <v>15</v>
      </c>
      <c r="R20" s="902">
        <v>16</v>
      </c>
      <c r="S20" s="902">
        <v>26</v>
      </c>
      <c r="T20" s="902">
        <v>0</v>
      </c>
      <c r="U20" s="902">
        <v>0</v>
      </c>
      <c r="V20" s="902">
        <v>0</v>
      </c>
      <c r="W20" s="919">
        <v>26</v>
      </c>
      <c r="X20" s="919">
        <v>9</v>
      </c>
      <c r="Y20" s="919">
        <v>43</v>
      </c>
      <c r="Z20" s="919">
        <v>27</v>
      </c>
      <c r="AA20" s="919">
        <v>20</v>
      </c>
      <c r="AB20" s="919">
        <v>27</v>
      </c>
      <c r="AC20" s="919">
        <v>13</v>
      </c>
    </row>
    <row r="21" spans="1:29" ht="12.75">
      <c r="A21" s="918" t="s">
        <v>135</v>
      </c>
      <c r="B21" s="900">
        <v>24</v>
      </c>
      <c r="C21" s="900">
        <v>20</v>
      </c>
      <c r="D21" s="900">
        <v>9</v>
      </c>
      <c r="E21" s="918" t="str">
        <f>"SA-"&amp;$G$14</f>
        <v>SA-09</v>
      </c>
      <c r="F21" s="918" t="s">
        <v>188</v>
      </c>
      <c r="G21" s="900">
        <v>3</v>
      </c>
      <c r="H21" s="901">
        <v>0</v>
      </c>
      <c r="I21" s="901">
        <v>0</v>
      </c>
      <c r="J21" s="900">
        <v>4</v>
      </c>
      <c r="K21" s="900">
        <v>5</v>
      </c>
      <c r="L21" s="900">
        <v>6</v>
      </c>
      <c r="M21" s="900">
        <v>8</v>
      </c>
      <c r="N21" s="900">
        <v>9</v>
      </c>
      <c r="O21" s="900">
        <v>12</v>
      </c>
      <c r="P21" s="900">
        <v>13</v>
      </c>
      <c r="Q21" s="900">
        <v>18</v>
      </c>
      <c r="R21" s="900">
        <v>0</v>
      </c>
      <c r="S21" s="900">
        <v>0</v>
      </c>
      <c r="T21" s="900">
        <v>0</v>
      </c>
      <c r="U21" s="900">
        <v>0</v>
      </c>
      <c r="V21" s="900">
        <v>0</v>
      </c>
      <c r="W21" s="918">
        <v>31</v>
      </c>
      <c r="X21" s="918">
        <v>9</v>
      </c>
      <c r="Y21" s="918">
        <v>45</v>
      </c>
      <c r="Z21" s="918">
        <v>20</v>
      </c>
      <c r="AA21" s="918">
        <v>22</v>
      </c>
      <c r="AB21" s="918">
        <v>20</v>
      </c>
      <c r="AC21" s="918">
        <v>12</v>
      </c>
    </row>
    <row r="22" spans="1:29" ht="12.75">
      <c r="A22" s="918" t="s">
        <v>143</v>
      </c>
      <c r="B22" s="900">
        <v>22</v>
      </c>
      <c r="C22" s="900">
        <v>20</v>
      </c>
      <c r="D22" s="900">
        <v>10</v>
      </c>
      <c r="E22" s="918" t="str">
        <f>"RE-"&amp;$G$14</f>
        <v>RE-09</v>
      </c>
      <c r="F22" s="918" t="s">
        <v>191</v>
      </c>
      <c r="G22" s="900">
        <v>3</v>
      </c>
      <c r="H22" s="901">
        <v>0</v>
      </c>
      <c r="I22" s="901">
        <v>0</v>
      </c>
      <c r="J22" s="900">
        <v>4</v>
      </c>
      <c r="K22" s="900">
        <v>5</v>
      </c>
      <c r="L22" s="900">
        <v>6</v>
      </c>
      <c r="M22" s="900">
        <v>8</v>
      </c>
      <c r="N22" s="900">
        <v>9</v>
      </c>
      <c r="O22" s="900">
        <v>12</v>
      </c>
      <c r="P22" s="900">
        <v>14</v>
      </c>
      <c r="Q22" s="900">
        <v>20</v>
      </c>
      <c r="R22" s="900">
        <v>0</v>
      </c>
      <c r="S22" s="900">
        <v>0</v>
      </c>
      <c r="T22" s="900">
        <v>0</v>
      </c>
      <c r="U22" s="900">
        <v>0</v>
      </c>
      <c r="V22" s="900">
        <v>0</v>
      </c>
      <c r="W22" s="918">
        <v>39</v>
      </c>
      <c r="X22" s="918">
        <v>9</v>
      </c>
      <c r="Y22" s="918">
        <v>43</v>
      </c>
      <c r="Z22" s="918">
        <v>21</v>
      </c>
      <c r="AA22" s="918">
        <v>20</v>
      </c>
      <c r="AB22" s="918">
        <v>21</v>
      </c>
      <c r="AC22" s="918">
        <v>12</v>
      </c>
    </row>
    <row r="23" spans="1:29" ht="12.75">
      <c r="A23" s="918" t="s">
        <v>220</v>
      </c>
      <c r="B23" s="900">
        <v>22</v>
      </c>
      <c r="C23" s="900">
        <v>20</v>
      </c>
      <c r="D23" s="900">
        <v>10</v>
      </c>
      <c r="E23" s="918" t="str">
        <f>"RE-IV-"&amp;$G$14</f>
        <v>RE-IV-09</v>
      </c>
      <c r="F23" s="918" t="s">
        <v>221</v>
      </c>
      <c r="G23" s="900">
        <v>3</v>
      </c>
      <c r="H23" s="901">
        <v>0</v>
      </c>
      <c r="I23" s="901">
        <v>0</v>
      </c>
      <c r="J23" s="900">
        <v>4</v>
      </c>
      <c r="K23" s="900">
        <v>5</v>
      </c>
      <c r="L23" s="900">
        <v>6</v>
      </c>
      <c r="M23" s="900">
        <v>8</v>
      </c>
      <c r="N23" s="900">
        <v>9</v>
      </c>
      <c r="O23" s="900">
        <v>12</v>
      </c>
      <c r="P23" s="900">
        <v>14</v>
      </c>
      <c r="Q23" s="900">
        <v>20</v>
      </c>
      <c r="R23" s="900">
        <v>0</v>
      </c>
      <c r="S23" s="900">
        <v>0</v>
      </c>
      <c r="T23" s="900">
        <v>0</v>
      </c>
      <c r="U23" s="900">
        <v>0</v>
      </c>
      <c r="V23" s="900">
        <v>0</v>
      </c>
      <c r="W23" s="918">
        <v>43</v>
      </c>
      <c r="X23" s="918">
        <v>9</v>
      </c>
      <c r="Y23" s="918">
        <v>43</v>
      </c>
      <c r="Z23" s="918">
        <v>21</v>
      </c>
      <c r="AA23" s="918">
        <v>20</v>
      </c>
      <c r="AB23" s="918">
        <v>21</v>
      </c>
      <c r="AC23" s="918">
        <v>12</v>
      </c>
    </row>
    <row r="24" spans="1:29" ht="12.75">
      <c r="A24" s="918" t="s">
        <v>136</v>
      </c>
      <c r="B24" s="900">
        <v>19</v>
      </c>
      <c r="C24" s="900">
        <v>20</v>
      </c>
      <c r="D24" s="900">
        <v>11</v>
      </c>
      <c r="E24" s="918" t="str">
        <f>"LI-YACY-"&amp;$G$14</f>
        <v>LI-YACY-09</v>
      </c>
      <c r="F24" s="918" t="s">
        <v>181</v>
      </c>
      <c r="G24" s="900">
        <v>3</v>
      </c>
      <c r="H24" s="901">
        <v>0</v>
      </c>
      <c r="I24" s="901">
        <v>0</v>
      </c>
      <c r="J24" s="900">
        <v>4</v>
      </c>
      <c r="K24" s="900">
        <v>5</v>
      </c>
      <c r="L24" s="900">
        <v>6</v>
      </c>
      <c r="M24" s="900">
        <v>0</v>
      </c>
      <c r="N24" s="900">
        <v>7</v>
      </c>
      <c r="O24" s="900">
        <v>8</v>
      </c>
      <c r="P24" s="900">
        <v>11</v>
      </c>
      <c r="Q24" s="900">
        <v>0</v>
      </c>
      <c r="R24" s="900">
        <v>0</v>
      </c>
      <c r="S24" s="900">
        <v>0</v>
      </c>
      <c r="T24" s="900">
        <v>0</v>
      </c>
      <c r="U24" s="900">
        <v>0</v>
      </c>
      <c r="V24" s="900">
        <v>0</v>
      </c>
      <c r="W24" s="918">
        <v>18</v>
      </c>
      <c r="X24" s="918">
        <v>9</v>
      </c>
      <c r="Y24" s="918">
        <v>40</v>
      </c>
      <c r="Z24" s="922">
        <v>22</v>
      </c>
      <c r="AA24" s="918">
        <v>17</v>
      </c>
      <c r="AB24" s="922">
        <v>22</v>
      </c>
      <c r="AC24" s="918">
        <v>11</v>
      </c>
    </row>
    <row r="25" spans="1:29" ht="12.75">
      <c r="A25" s="918" t="s">
        <v>147</v>
      </c>
      <c r="B25" s="900">
        <v>21</v>
      </c>
      <c r="C25" s="900">
        <v>20</v>
      </c>
      <c r="D25" s="900">
        <v>8</v>
      </c>
      <c r="E25" s="918" t="str">
        <f>"RE-YACY-"&amp;$G$14</f>
        <v>RE-YACY-09</v>
      </c>
      <c r="F25" s="918" t="s">
        <v>192</v>
      </c>
      <c r="G25" s="900">
        <v>3</v>
      </c>
      <c r="H25" s="901">
        <v>0</v>
      </c>
      <c r="I25" s="901">
        <v>0</v>
      </c>
      <c r="J25" s="900">
        <v>4</v>
      </c>
      <c r="K25" s="900">
        <v>5</v>
      </c>
      <c r="L25" s="900">
        <v>6</v>
      </c>
      <c r="M25" s="900">
        <v>7</v>
      </c>
      <c r="N25" s="900">
        <v>8</v>
      </c>
      <c r="O25" s="900">
        <v>11</v>
      </c>
      <c r="P25" s="900">
        <v>0</v>
      </c>
      <c r="Q25" s="900">
        <v>0</v>
      </c>
      <c r="R25" s="900">
        <v>0</v>
      </c>
      <c r="S25" s="900">
        <v>0</v>
      </c>
      <c r="T25" s="900">
        <v>0</v>
      </c>
      <c r="U25" s="900">
        <v>0</v>
      </c>
      <c r="V25" s="900">
        <v>0</v>
      </c>
      <c r="W25" s="918">
        <v>41</v>
      </c>
      <c r="X25" s="918">
        <v>9</v>
      </c>
      <c r="Y25" s="918">
        <v>42</v>
      </c>
      <c r="Z25" s="918">
        <v>22</v>
      </c>
      <c r="AA25" s="918">
        <v>19</v>
      </c>
      <c r="AB25" s="918">
        <v>22</v>
      </c>
      <c r="AC25" s="918">
        <v>11</v>
      </c>
    </row>
    <row r="26" spans="1:29" ht="12.75">
      <c r="A26" s="918" t="s">
        <v>137</v>
      </c>
      <c r="B26" s="900">
        <v>22</v>
      </c>
      <c r="C26" s="900">
        <v>20</v>
      </c>
      <c r="D26" s="900">
        <v>11</v>
      </c>
      <c r="E26" s="918" t="str">
        <f>"LI-LITSA-"&amp;$G$14</f>
        <v>LI-LITSA-09</v>
      </c>
      <c r="F26" s="918" t="s">
        <v>182</v>
      </c>
      <c r="G26" s="900">
        <v>3</v>
      </c>
      <c r="H26" s="901">
        <v>0</v>
      </c>
      <c r="I26" s="901">
        <v>0</v>
      </c>
      <c r="J26" s="900">
        <v>4</v>
      </c>
      <c r="K26" s="900">
        <v>5</v>
      </c>
      <c r="L26" s="900">
        <v>6</v>
      </c>
      <c r="M26" s="900">
        <v>7</v>
      </c>
      <c r="N26" s="900">
        <v>10</v>
      </c>
      <c r="O26" s="900">
        <v>11</v>
      </c>
      <c r="P26" s="900">
        <v>14</v>
      </c>
      <c r="Q26" s="900">
        <v>17</v>
      </c>
      <c r="R26" s="900">
        <v>28</v>
      </c>
      <c r="S26" s="900">
        <v>0</v>
      </c>
      <c r="T26" s="900">
        <v>0</v>
      </c>
      <c r="U26" s="900">
        <v>0</v>
      </c>
      <c r="V26" s="900">
        <v>0</v>
      </c>
      <c r="W26" s="918">
        <v>19</v>
      </c>
      <c r="X26" s="918">
        <v>9</v>
      </c>
      <c r="Y26" s="918">
        <v>43</v>
      </c>
      <c r="Z26" s="922">
        <v>30</v>
      </c>
      <c r="AA26" s="918">
        <v>20</v>
      </c>
      <c r="AB26" s="922">
        <v>30</v>
      </c>
      <c r="AC26" s="918">
        <v>14</v>
      </c>
    </row>
    <row r="27" spans="1:29" ht="12.75">
      <c r="A27" s="918" t="s">
        <v>138</v>
      </c>
      <c r="B27" s="900">
        <v>22</v>
      </c>
      <c r="C27" s="900">
        <v>20</v>
      </c>
      <c r="D27" s="902">
        <v>12</v>
      </c>
      <c r="E27" s="918" t="str">
        <f>"TR-LITSA-"&amp;$G$14</f>
        <v>TR-LITSA-09</v>
      </c>
      <c r="F27" s="918" t="s">
        <v>185</v>
      </c>
      <c r="G27" s="900">
        <v>3</v>
      </c>
      <c r="H27" s="901">
        <v>0</v>
      </c>
      <c r="I27" s="901">
        <v>0</v>
      </c>
      <c r="J27" s="902">
        <v>4</v>
      </c>
      <c r="K27" s="902">
        <v>5</v>
      </c>
      <c r="L27" s="902">
        <v>6</v>
      </c>
      <c r="M27" s="902">
        <v>7</v>
      </c>
      <c r="N27" s="902">
        <v>9</v>
      </c>
      <c r="O27" s="902">
        <v>10</v>
      </c>
      <c r="P27" s="902">
        <v>13</v>
      </c>
      <c r="Q27" s="902">
        <v>15</v>
      </c>
      <c r="R27" s="902">
        <v>16</v>
      </c>
      <c r="S27" s="902">
        <v>26</v>
      </c>
      <c r="T27" s="902">
        <v>0</v>
      </c>
      <c r="U27" s="902">
        <v>0</v>
      </c>
      <c r="V27" s="902">
        <v>0</v>
      </c>
      <c r="W27" s="919">
        <v>27</v>
      </c>
      <c r="X27" s="919">
        <v>9</v>
      </c>
      <c r="Y27" s="919">
        <v>43</v>
      </c>
      <c r="Z27" s="919">
        <v>27</v>
      </c>
      <c r="AA27" s="919">
        <v>20</v>
      </c>
      <c r="AB27" s="919">
        <v>27</v>
      </c>
      <c r="AC27" s="919">
        <v>13</v>
      </c>
    </row>
    <row r="28" spans="1:29" ht="12.75">
      <c r="A28" s="918" t="s">
        <v>148</v>
      </c>
      <c r="B28" s="900">
        <v>24</v>
      </c>
      <c r="C28" s="900">
        <v>20</v>
      </c>
      <c r="D28" s="900">
        <v>10</v>
      </c>
      <c r="E28" s="918" t="str">
        <f>"RE-LITSA-"&amp;$G$14</f>
        <v>RE-LITSA-09</v>
      </c>
      <c r="F28" s="918" t="s">
        <v>193</v>
      </c>
      <c r="G28" s="900">
        <v>3</v>
      </c>
      <c r="H28" s="901">
        <v>0</v>
      </c>
      <c r="I28" s="901">
        <v>0</v>
      </c>
      <c r="J28" s="900">
        <v>4</v>
      </c>
      <c r="K28" s="900">
        <v>5</v>
      </c>
      <c r="L28" s="900">
        <v>6</v>
      </c>
      <c r="M28" s="900">
        <v>8</v>
      </c>
      <c r="N28" s="900">
        <v>9</v>
      </c>
      <c r="O28" s="900">
        <v>12</v>
      </c>
      <c r="P28" s="900">
        <v>14</v>
      </c>
      <c r="Q28" s="900">
        <v>20</v>
      </c>
      <c r="R28" s="900">
        <v>0</v>
      </c>
      <c r="S28" s="900">
        <v>0</v>
      </c>
      <c r="T28" s="900">
        <v>0</v>
      </c>
      <c r="U28" s="900">
        <v>0</v>
      </c>
      <c r="V28" s="900">
        <v>0</v>
      </c>
      <c r="W28" s="918">
        <v>42</v>
      </c>
      <c r="X28" s="918">
        <v>9</v>
      </c>
      <c r="Y28" s="918">
        <v>45</v>
      </c>
      <c r="Z28" s="918">
        <v>22</v>
      </c>
      <c r="AA28" s="918">
        <v>22</v>
      </c>
      <c r="AB28" s="918">
        <v>22</v>
      </c>
      <c r="AC28" s="918">
        <v>13</v>
      </c>
    </row>
    <row r="29" spans="1:29" ht="12.75">
      <c r="A29" s="918" t="s">
        <v>139</v>
      </c>
      <c r="B29" s="900">
        <v>20</v>
      </c>
      <c r="C29" s="900">
        <v>20</v>
      </c>
      <c r="D29" s="902">
        <v>12</v>
      </c>
      <c r="E29" s="918" t="str">
        <f>"TR-TIBA-"&amp;$G$14</f>
        <v>TR-TIBA-09</v>
      </c>
      <c r="F29" s="918" t="s">
        <v>187</v>
      </c>
      <c r="G29" s="900">
        <v>3</v>
      </c>
      <c r="H29" s="901">
        <v>0</v>
      </c>
      <c r="I29" s="901">
        <v>0</v>
      </c>
      <c r="J29" s="902">
        <v>4</v>
      </c>
      <c r="K29" s="902">
        <v>5</v>
      </c>
      <c r="L29" s="902">
        <v>6</v>
      </c>
      <c r="M29" s="902">
        <v>7</v>
      </c>
      <c r="N29" s="902">
        <v>9</v>
      </c>
      <c r="O29" s="902">
        <v>10</v>
      </c>
      <c r="P29" s="902">
        <v>13</v>
      </c>
      <c r="Q29" s="902">
        <v>15</v>
      </c>
      <c r="R29" s="902">
        <v>16</v>
      </c>
      <c r="S29" s="902">
        <v>26</v>
      </c>
      <c r="T29" s="902">
        <v>0</v>
      </c>
      <c r="U29" s="902">
        <v>0</v>
      </c>
      <c r="V29" s="902">
        <v>0</v>
      </c>
      <c r="W29" s="919">
        <v>28</v>
      </c>
      <c r="X29" s="919">
        <v>9</v>
      </c>
      <c r="Y29" s="919">
        <v>41</v>
      </c>
      <c r="Z29" s="919">
        <v>27</v>
      </c>
      <c r="AA29" s="919">
        <v>18</v>
      </c>
      <c r="AB29" s="919">
        <v>27</v>
      </c>
      <c r="AC29" s="919">
        <v>13</v>
      </c>
    </row>
    <row r="30" spans="1:29" ht="12.75">
      <c r="A30" s="918" t="s">
        <v>141</v>
      </c>
      <c r="B30" s="900">
        <v>22</v>
      </c>
      <c r="C30" s="900">
        <v>20</v>
      </c>
      <c r="D30" s="900">
        <v>9</v>
      </c>
      <c r="E30" s="918" t="str">
        <f>"SA-TIBA-"&amp;$G$14</f>
        <v>SA-TIBA-09</v>
      </c>
      <c r="F30" s="918" t="s">
        <v>189</v>
      </c>
      <c r="G30" s="900">
        <v>3</v>
      </c>
      <c r="H30" s="901">
        <v>0</v>
      </c>
      <c r="I30" s="901">
        <v>0</v>
      </c>
      <c r="J30" s="900">
        <v>4</v>
      </c>
      <c r="K30" s="900">
        <v>5</v>
      </c>
      <c r="L30" s="900">
        <v>6</v>
      </c>
      <c r="M30" s="900">
        <v>8</v>
      </c>
      <c r="N30" s="900">
        <v>9</v>
      </c>
      <c r="O30" s="900">
        <v>12</v>
      </c>
      <c r="P30" s="900">
        <v>13</v>
      </c>
      <c r="Q30" s="900">
        <v>18</v>
      </c>
      <c r="R30" s="900">
        <v>0</v>
      </c>
      <c r="S30" s="900">
        <v>0</v>
      </c>
      <c r="T30" s="900">
        <v>0</v>
      </c>
      <c r="U30" s="900">
        <v>0</v>
      </c>
      <c r="V30" s="900">
        <v>0</v>
      </c>
      <c r="W30" s="918">
        <v>32</v>
      </c>
      <c r="X30" s="918">
        <v>9</v>
      </c>
      <c r="Y30" s="918">
        <v>43</v>
      </c>
      <c r="Z30" s="918">
        <v>20</v>
      </c>
      <c r="AA30" s="918">
        <v>20</v>
      </c>
      <c r="AB30" s="918">
        <v>20</v>
      </c>
      <c r="AC30" s="918">
        <v>12</v>
      </c>
    </row>
    <row r="31" spans="1:29" ht="12.75">
      <c r="A31" s="918" t="s">
        <v>140</v>
      </c>
      <c r="B31" s="900">
        <v>20</v>
      </c>
      <c r="C31" s="900">
        <v>20</v>
      </c>
      <c r="D31" s="902">
        <v>12</v>
      </c>
      <c r="E31" s="918" t="str">
        <f>"TR-ENECOR-"&amp;$G$14</f>
        <v>TR-ENECOR-09</v>
      </c>
      <c r="F31" s="918" t="s">
        <v>186</v>
      </c>
      <c r="G31" s="900">
        <v>3</v>
      </c>
      <c r="H31" s="901">
        <v>0</v>
      </c>
      <c r="I31" s="901">
        <v>0</v>
      </c>
      <c r="J31" s="902">
        <v>4</v>
      </c>
      <c r="K31" s="902">
        <v>5</v>
      </c>
      <c r="L31" s="902">
        <v>6</v>
      </c>
      <c r="M31" s="902">
        <v>7</v>
      </c>
      <c r="N31" s="902">
        <v>9</v>
      </c>
      <c r="O31" s="902">
        <v>10</v>
      </c>
      <c r="P31" s="902">
        <v>13</v>
      </c>
      <c r="Q31" s="902">
        <v>15</v>
      </c>
      <c r="R31" s="902">
        <v>16</v>
      </c>
      <c r="S31" s="902">
        <v>26</v>
      </c>
      <c r="T31" s="902">
        <v>0</v>
      </c>
      <c r="U31" s="902">
        <v>0</v>
      </c>
      <c r="V31" s="902">
        <v>0</v>
      </c>
      <c r="W31" s="919">
        <v>29</v>
      </c>
      <c r="X31" s="919">
        <v>9</v>
      </c>
      <c r="Y31" s="919">
        <v>41</v>
      </c>
      <c r="Z31" s="919">
        <v>27</v>
      </c>
      <c r="AA31" s="919">
        <v>20</v>
      </c>
      <c r="AB31" s="919">
        <v>27</v>
      </c>
      <c r="AC31" s="919">
        <v>13</v>
      </c>
    </row>
    <row r="32" spans="1:29" ht="12.75">
      <c r="A32" s="918" t="s">
        <v>142</v>
      </c>
      <c r="B32" s="900">
        <v>22</v>
      </c>
      <c r="C32" s="900">
        <v>20</v>
      </c>
      <c r="D32" s="900">
        <v>9</v>
      </c>
      <c r="E32" s="918" t="str">
        <f>"SA-ENECOR-"&amp;$G$14</f>
        <v>SA-ENECOR-09</v>
      </c>
      <c r="F32" s="918" t="s">
        <v>190</v>
      </c>
      <c r="G32" s="900">
        <v>3</v>
      </c>
      <c r="H32" s="901">
        <v>0</v>
      </c>
      <c r="I32" s="901">
        <v>0</v>
      </c>
      <c r="J32" s="900">
        <v>4</v>
      </c>
      <c r="K32" s="900">
        <v>5</v>
      </c>
      <c r="L32" s="900">
        <v>6</v>
      </c>
      <c r="M32" s="900">
        <v>8</v>
      </c>
      <c r="N32" s="900">
        <v>9</v>
      </c>
      <c r="O32" s="900">
        <v>12</v>
      </c>
      <c r="P32" s="900">
        <v>13</v>
      </c>
      <c r="Q32" s="900">
        <v>18</v>
      </c>
      <c r="R32" s="900">
        <v>0</v>
      </c>
      <c r="S32" s="900">
        <v>0</v>
      </c>
      <c r="T32" s="900">
        <v>0</v>
      </c>
      <c r="U32" s="900">
        <v>0</v>
      </c>
      <c r="V32" s="900">
        <v>0</v>
      </c>
      <c r="W32" s="918">
        <v>33</v>
      </c>
      <c r="X32" s="918">
        <v>9</v>
      </c>
      <c r="Y32" s="918">
        <v>43</v>
      </c>
      <c r="Z32" s="918">
        <v>20</v>
      </c>
      <c r="AA32" s="918">
        <v>20</v>
      </c>
      <c r="AB32" s="918">
        <v>20</v>
      </c>
      <c r="AC32" s="918">
        <v>12</v>
      </c>
    </row>
    <row r="33" spans="1:29" ht="12.75">
      <c r="A33" s="921" t="s">
        <v>196</v>
      </c>
      <c r="B33" s="916">
        <v>32</v>
      </c>
      <c r="C33" s="916">
        <v>25</v>
      </c>
      <c r="D33" s="916">
        <v>11</v>
      </c>
      <c r="E33" s="921" t="s">
        <v>196</v>
      </c>
      <c r="F33" s="920" t="s">
        <v>181</v>
      </c>
      <c r="G33" s="916">
        <v>0</v>
      </c>
      <c r="H33" s="916">
        <v>0</v>
      </c>
      <c r="I33" s="916">
        <v>0</v>
      </c>
      <c r="J33" s="916">
        <v>4</v>
      </c>
      <c r="K33" s="916">
        <v>5</v>
      </c>
      <c r="L33" s="916">
        <v>6</v>
      </c>
      <c r="M33" s="916">
        <v>7</v>
      </c>
      <c r="N33" s="916">
        <v>10</v>
      </c>
      <c r="O33" s="916">
        <v>11</v>
      </c>
      <c r="P33" s="916">
        <v>14</v>
      </c>
      <c r="Q33" s="916">
        <v>17</v>
      </c>
      <c r="R33" s="916">
        <v>28</v>
      </c>
      <c r="S33" s="916">
        <v>0</v>
      </c>
      <c r="T33" s="916">
        <v>0</v>
      </c>
      <c r="U33" s="916">
        <v>0</v>
      </c>
      <c r="V33" s="916">
        <v>0</v>
      </c>
      <c r="W33" s="920">
        <v>0</v>
      </c>
      <c r="X33" s="920">
        <v>0</v>
      </c>
      <c r="Y33" s="920">
        <v>0</v>
      </c>
      <c r="Z33" s="920">
        <v>0</v>
      </c>
      <c r="AA33" s="920">
        <v>0</v>
      </c>
      <c r="AB33" s="920">
        <v>0</v>
      </c>
      <c r="AC33" s="920">
        <v>0</v>
      </c>
    </row>
    <row r="34" spans="1:29" ht="12.75">
      <c r="A34" s="921" t="s">
        <v>215</v>
      </c>
      <c r="B34" s="916">
        <v>61</v>
      </c>
      <c r="C34" s="916">
        <v>25</v>
      </c>
      <c r="D34" s="917">
        <v>12</v>
      </c>
      <c r="E34" s="921" t="s">
        <v>215</v>
      </c>
      <c r="F34" s="920" t="s">
        <v>185</v>
      </c>
      <c r="G34" s="916">
        <v>0</v>
      </c>
      <c r="H34" s="916">
        <v>0</v>
      </c>
      <c r="I34" s="916">
        <v>0</v>
      </c>
      <c r="J34" s="916">
        <v>4</v>
      </c>
      <c r="K34" s="916">
        <v>5</v>
      </c>
      <c r="L34" s="916">
        <v>6</v>
      </c>
      <c r="M34" s="916">
        <v>8</v>
      </c>
      <c r="N34" s="916">
        <v>9</v>
      </c>
      <c r="O34" s="916">
        <v>10</v>
      </c>
      <c r="P34" s="916">
        <v>13</v>
      </c>
      <c r="Q34" s="916">
        <v>15</v>
      </c>
      <c r="R34" s="916">
        <v>16</v>
      </c>
      <c r="S34" s="916">
        <v>0</v>
      </c>
      <c r="T34" s="916">
        <v>0</v>
      </c>
      <c r="U34" s="916">
        <v>0</v>
      </c>
      <c r="V34" s="916">
        <v>0</v>
      </c>
      <c r="W34" s="920">
        <v>0</v>
      </c>
      <c r="X34" s="920">
        <v>0</v>
      </c>
      <c r="Y34" s="920">
        <v>0</v>
      </c>
      <c r="Z34" s="920">
        <v>0</v>
      </c>
      <c r="AA34" s="920">
        <v>0</v>
      </c>
      <c r="AB34" s="920">
        <v>0</v>
      </c>
      <c r="AC34" s="920">
        <v>0</v>
      </c>
    </row>
    <row r="35" spans="1:29" ht="12.75">
      <c r="A35" s="921" t="s">
        <v>215</v>
      </c>
      <c r="B35" s="916">
        <v>32</v>
      </c>
      <c r="C35" s="916">
        <v>25</v>
      </c>
      <c r="D35" s="916">
        <v>11</v>
      </c>
      <c r="E35" s="921" t="s">
        <v>215</v>
      </c>
      <c r="F35" s="920" t="s">
        <v>182</v>
      </c>
      <c r="G35" s="916">
        <v>0</v>
      </c>
      <c r="H35" s="916">
        <v>0</v>
      </c>
      <c r="I35" s="916">
        <v>0</v>
      </c>
      <c r="J35" s="916">
        <v>4</v>
      </c>
      <c r="K35" s="916">
        <v>5</v>
      </c>
      <c r="L35" s="916">
        <v>6</v>
      </c>
      <c r="M35" s="916">
        <v>7</v>
      </c>
      <c r="N35" s="916">
        <v>10</v>
      </c>
      <c r="O35" s="916">
        <v>11</v>
      </c>
      <c r="P35" s="916">
        <v>14</v>
      </c>
      <c r="Q35" s="916">
        <v>17</v>
      </c>
      <c r="R35" s="916">
        <v>28</v>
      </c>
      <c r="S35" s="916">
        <v>0</v>
      </c>
      <c r="T35" s="916">
        <v>0</v>
      </c>
      <c r="U35" s="916">
        <v>0</v>
      </c>
      <c r="V35" s="916">
        <v>0</v>
      </c>
      <c r="W35" s="920">
        <v>0</v>
      </c>
      <c r="X35" s="920">
        <v>0</v>
      </c>
      <c r="Y35" s="920">
        <v>0</v>
      </c>
      <c r="Z35" s="920">
        <v>0</v>
      </c>
      <c r="AA35" s="920">
        <v>0</v>
      </c>
      <c r="AB35" s="920">
        <v>0</v>
      </c>
      <c r="AC35" s="920">
        <v>0</v>
      </c>
    </row>
    <row r="36" spans="1:29" ht="12.75">
      <c r="A36" s="921" t="s">
        <v>216</v>
      </c>
      <c r="B36" s="916">
        <v>60</v>
      </c>
      <c r="C36" s="916">
        <v>36</v>
      </c>
      <c r="D36" s="916">
        <v>9</v>
      </c>
      <c r="E36" s="921" t="s">
        <v>216</v>
      </c>
      <c r="F36" s="920" t="s">
        <v>189</v>
      </c>
      <c r="G36" s="916">
        <v>0</v>
      </c>
      <c r="H36" s="916">
        <v>0</v>
      </c>
      <c r="I36" s="916">
        <v>0</v>
      </c>
      <c r="J36" s="916">
        <v>4</v>
      </c>
      <c r="K36" s="916">
        <v>5</v>
      </c>
      <c r="L36" s="916">
        <v>7</v>
      </c>
      <c r="M36" s="916">
        <v>9</v>
      </c>
      <c r="N36" s="916">
        <v>10</v>
      </c>
      <c r="O36" s="916">
        <v>13</v>
      </c>
      <c r="P36" s="916">
        <v>14</v>
      </c>
      <c r="Q36" s="916">
        <v>21</v>
      </c>
      <c r="R36" s="916">
        <v>0</v>
      </c>
      <c r="S36" s="916">
        <v>0</v>
      </c>
      <c r="T36" s="916">
        <v>0</v>
      </c>
      <c r="U36" s="916">
        <v>0</v>
      </c>
      <c r="V36" s="916">
        <v>0</v>
      </c>
      <c r="W36" s="920">
        <v>0</v>
      </c>
      <c r="X36" s="920">
        <v>0</v>
      </c>
      <c r="Y36" s="920">
        <v>0</v>
      </c>
      <c r="Z36" s="920">
        <v>0</v>
      </c>
      <c r="AA36" s="920">
        <v>0</v>
      </c>
      <c r="AB36" s="920">
        <v>0</v>
      </c>
      <c r="AC36" s="920">
        <v>0</v>
      </c>
    </row>
    <row r="37" spans="1:29" ht="12.75">
      <c r="A37" s="921" t="s">
        <v>216</v>
      </c>
      <c r="B37" s="916">
        <v>31</v>
      </c>
      <c r="C37" s="916">
        <v>25</v>
      </c>
      <c r="D37" s="917">
        <v>12</v>
      </c>
      <c r="E37" s="921" t="s">
        <v>216</v>
      </c>
      <c r="F37" s="920" t="s">
        <v>187</v>
      </c>
      <c r="G37" s="916">
        <v>0</v>
      </c>
      <c r="H37" s="916">
        <v>0</v>
      </c>
      <c r="I37" s="916">
        <v>0</v>
      </c>
      <c r="J37" s="916">
        <v>4</v>
      </c>
      <c r="K37" s="916">
        <v>5</v>
      </c>
      <c r="L37" s="916">
        <v>6</v>
      </c>
      <c r="M37" s="916">
        <v>7</v>
      </c>
      <c r="N37" s="916">
        <v>9</v>
      </c>
      <c r="O37" s="916">
        <v>10</v>
      </c>
      <c r="P37" s="916">
        <v>13</v>
      </c>
      <c r="Q37" s="916">
        <v>15</v>
      </c>
      <c r="R37" s="916">
        <v>16</v>
      </c>
      <c r="S37" s="916">
        <v>0</v>
      </c>
      <c r="T37" s="916">
        <v>0</v>
      </c>
      <c r="U37" s="916">
        <v>0</v>
      </c>
      <c r="V37" s="916">
        <v>0</v>
      </c>
      <c r="W37" s="920">
        <v>0</v>
      </c>
      <c r="X37" s="920">
        <v>0</v>
      </c>
      <c r="Y37" s="920">
        <v>0</v>
      </c>
      <c r="Z37" s="920">
        <v>0</v>
      </c>
      <c r="AA37" s="920">
        <v>0</v>
      </c>
      <c r="AB37" s="920">
        <v>0</v>
      </c>
      <c r="AC37" s="920">
        <v>0</v>
      </c>
    </row>
    <row r="38" spans="1:29" ht="12.75">
      <c r="A38" s="921" t="s">
        <v>217</v>
      </c>
      <c r="B38" s="916">
        <v>60</v>
      </c>
      <c r="C38" s="916">
        <v>25</v>
      </c>
      <c r="D38" s="916">
        <v>9</v>
      </c>
      <c r="E38" s="921" t="s">
        <v>217</v>
      </c>
      <c r="F38" s="920" t="s">
        <v>190</v>
      </c>
      <c r="G38" s="916">
        <v>0</v>
      </c>
      <c r="H38" s="916">
        <v>0</v>
      </c>
      <c r="I38" s="916">
        <v>0</v>
      </c>
      <c r="J38" s="916">
        <v>4</v>
      </c>
      <c r="K38" s="916">
        <v>5</v>
      </c>
      <c r="L38" s="916">
        <v>7</v>
      </c>
      <c r="M38" s="916">
        <v>9</v>
      </c>
      <c r="N38" s="916">
        <v>10</v>
      </c>
      <c r="O38" s="916">
        <v>13</v>
      </c>
      <c r="P38" s="916">
        <v>14</v>
      </c>
      <c r="Q38" s="916">
        <v>21</v>
      </c>
      <c r="R38" s="916">
        <v>0</v>
      </c>
      <c r="S38" s="916">
        <v>0</v>
      </c>
      <c r="T38" s="916">
        <v>0</v>
      </c>
      <c r="U38" s="916">
        <v>0</v>
      </c>
      <c r="V38" s="916">
        <v>0</v>
      </c>
      <c r="W38" s="920">
        <v>0</v>
      </c>
      <c r="X38" s="920">
        <v>0</v>
      </c>
      <c r="Y38" s="920">
        <v>0</v>
      </c>
      <c r="Z38" s="920">
        <v>0</v>
      </c>
      <c r="AA38" s="920">
        <v>0</v>
      </c>
      <c r="AB38" s="920">
        <v>0</v>
      </c>
      <c r="AC38" s="920">
        <v>0</v>
      </c>
    </row>
    <row r="39" spans="1:29" ht="12.75">
      <c r="A39" s="921" t="s">
        <v>217</v>
      </c>
      <c r="B39" s="916">
        <v>31</v>
      </c>
      <c r="C39" s="916">
        <v>25</v>
      </c>
      <c r="D39" s="917">
        <v>12</v>
      </c>
      <c r="E39" s="921" t="s">
        <v>217</v>
      </c>
      <c r="F39" s="920" t="s">
        <v>186</v>
      </c>
      <c r="G39" s="916">
        <v>0</v>
      </c>
      <c r="H39" s="916">
        <v>0</v>
      </c>
      <c r="I39" s="916">
        <v>0</v>
      </c>
      <c r="J39" s="916">
        <v>4</v>
      </c>
      <c r="K39" s="916">
        <v>5</v>
      </c>
      <c r="L39" s="916">
        <v>6</v>
      </c>
      <c r="M39" s="916">
        <v>7</v>
      </c>
      <c r="N39" s="916">
        <v>9</v>
      </c>
      <c r="O39" s="916">
        <v>10</v>
      </c>
      <c r="P39" s="916">
        <v>13</v>
      </c>
      <c r="Q39" s="916">
        <v>15</v>
      </c>
      <c r="R39" s="916">
        <v>16</v>
      </c>
      <c r="S39" s="916">
        <v>0</v>
      </c>
      <c r="T39" s="916">
        <v>0</v>
      </c>
      <c r="U39" s="916">
        <v>0</v>
      </c>
      <c r="V39" s="916">
        <v>0</v>
      </c>
      <c r="W39" s="920">
        <v>0</v>
      </c>
      <c r="X39" s="920">
        <v>0</v>
      </c>
      <c r="Y39" s="920">
        <v>0</v>
      </c>
      <c r="Z39" s="920">
        <v>0</v>
      </c>
      <c r="AA39" s="920">
        <v>0</v>
      </c>
      <c r="AB39" s="920">
        <v>0</v>
      </c>
      <c r="AC39" s="920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0" zoomScaleNormal="70" workbookViewId="0" topLeftCell="A1">
      <selection activeCell="E35" sqref="E35"/>
    </sheetView>
  </sheetViews>
  <sheetFormatPr defaultColWidth="11.421875" defaultRowHeight="12.75"/>
  <cols>
    <col min="1" max="1" width="23.57421875" style="166" customWidth="1"/>
    <col min="2" max="2" width="15.7109375" style="166" customWidth="1"/>
    <col min="3" max="3" width="3.421875" style="166" customWidth="1"/>
    <col min="4" max="4" width="3.57421875" style="166" customWidth="1"/>
    <col min="5" max="5" width="4.7109375" style="166" customWidth="1"/>
    <col min="6" max="6" width="31.57421875" style="166" customWidth="1"/>
    <col min="7" max="7" width="5.8515625" style="166" customWidth="1"/>
    <col min="8" max="8" width="7.28125" style="166" bestFit="1" customWidth="1"/>
    <col min="9" max="9" width="3.7109375" style="166" customWidth="1"/>
    <col min="10" max="10" width="9.28125" style="166" hidden="1" customWidth="1"/>
    <col min="11" max="11" width="10.8515625" style="166" hidden="1" customWidth="1"/>
    <col min="12" max="13" width="16.28125" style="166" customWidth="1"/>
    <col min="14" max="14" width="7.140625" style="169" customWidth="1"/>
    <col min="15" max="15" width="7.8515625" style="166" customWidth="1"/>
    <col min="16" max="16" width="7.140625" style="166" customWidth="1"/>
    <col min="17" max="17" width="6.57421875" style="166" customWidth="1"/>
    <col min="18" max="18" width="5.421875" style="166" customWidth="1"/>
    <col min="19" max="19" width="6.00390625" style="166" bestFit="1" customWidth="1"/>
    <col min="20" max="20" width="17.140625" style="166" hidden="1" customWidth="1"/>
    <col min="21" max="21" width="16.28125" style="166" hidden="1" customWidth="1"/>
    <col min="22" max="22" width="13.7109375" style="166" hidden="1" customWidth="1"/>
    <col min="23" max="23" width="13.28125" style="170" customWidth="1"/>
    <col min="24" max="24" width="8.57421875" style="166" customWidth="1"/>
    <col min="25" max="25" width="7.421875" style="166" bestFit="1" customWidth="1"/>
    <col min="26" max="26" width="7.28125" style="170" customWidth="1"/>
    <col min="27" max="27" width="8.57421875" style="170" customWidth="1"/>
    <col min="28" max="28" width="4.140625" style="170" bestFit="1" customWidth="1"/>
    <col min="29" max="29" width="8.57421875" style="170" bestFit="1" customWidth="1"/>
    <col min="30" max="30" width="7.57421875" style="170" bestFit="1" customWidth="1"/>
    <col min="31" max="31" width="12.00390625" style="170" bestFit="1" customWidth="1"/>
    <col min="32" max="32" width="16.57421875" style="170" hidden="1" customWidth="1"/>
    <col min="33" max="33" width="15.7109375" style="166" hidden="1" customWidth="1"/>
    <col min="34" max="34" width="15.8515625" style="166" hidden="1" customWidth="1"/>
    <col min="35" max="35" width="48.140625" style="166" hidden="1" customWidth="1"/>
    <col min="36" max="36" width="11.00390625" style="166" hidden="1" customWidth="1"/>
    <col min="37" max="37" width="10.57421875" style="166" hidden="1" customWidth="1"/>
    <col min="38" max="38" width="18.28125" style="166" bestFit="1" customWidth="1"/>
    <col min="39" max="39" width="13.140625" style="166" bestFit="1" customWidth="1"/>
    <col min="40" max="40" width="3.8515625" style="166" customWidth="1"/>
    <col min="41" max="41" width="30.421875" style="166" customWidth="1"/>
    <col min="42" max="42" width="3.140625" style="166" customWidth="1"/>
    <col min="43" max="43" width="3.57421875" style="166" customWidth="1"/>
    <col min="44" max="44" width="24.28125" style="166" customWidth="1"/>
    <col min="45" max="45" width="4.7109375" style="166" customWidth="1"/>
    <col min="46" max="46" width="7.57421875" style="166" customWidth="1"/>
    <col min="47" max="48" width="4.140625" style="166" customWidth="1"/>
    <col min="49" max="49" width="7.140625" style="166" customWidth="1"/>
    <col min="50" max="50" width="5.28125" style="166" customWidth="1"/>
    <col min="51" max="51" width="5.421875" style="166" customWidth="1"/>
    <col min="52" max="52" width="4.7109375" style="166" customWidth="1"/>
    <col min="53" max="53" width="5.28125" style="166" customWidth="1"/>
    <col min="54" max="55" width="13.28125" style="166" customWidth="1"/>
    <col min="56" max="56" width="6.57421875" style="166" customWidth="1"/>
    <col min="57" max="57" width="6.421875" style="166" customWidth="1"/>
    <col min="58" max="61" width="11.421875" style="166" customWidth="1"/>
    <col min="62" max="62" width="12.7109375" style="166" customWidth="1"/>
    <col min="63" max="65" width="11.421875" style="166" customWidth="1"/>
    <col min="66" max="66" width="21.00390625" style="166" customWidth="1"/>
    <col min="67" max="16384" width="11.421875" style="166" customWidth="1"/>
  </cols>
  <sheetData>
    <row r="1" spans="1:40" s="1050" customFormat="1" ht="26.25">
      <c r="A1" s="1049"/>
      <c r="N1" s="1049"/>
      <c r="W1" s="1049"/>
      <c r="Z1" s="1049"/>
      <c r="AA1" s="1049"/>
      <c r="AB1" s="1049"/>
      <c r="AC1" s="1049"/>
      <c r="AD1" s="1049"/>
      <c r="AE1" s="1049"/>
      <c r="AF1" s="1049"/>
      <c r="AN1" s="144"/>
    </row>
    <row r="2" spans="1:40" s="1050" customFormat="1" ht="26.25">
      <c r="A2" s="1049"/>
      <c r="B2" s="145" t="str">
        <f>+'TOT-0908'!B2</f>
        <v>ANEXO IV al Memorándum D.T.E.E. N°   366  / 2010          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051"/>
      <c r="O2" s="145"/>
      <c r="P2" s="145"/>
      <c r="Q2" s="145"/>
      <c r="R2" s="145"/>
      <c r="S2" s="145"/>
      <c r="T2" s="145"/>
      <c r="U2" s="145"/>
      <c r="V2" s="145"/>
      <c r="W2" s="1051"/>
      <c r="X2" s="145"/>
      <c r="Y2" s="145"/>
      <c r="Z2" s="1051"/>
      <c r="AA2" s="1051"/>
      <c r="AB2" s="1051"/>
      <c r="AC2" s="1051"/>
      <c r="AD2" s="1051"/>
      <c r="AE2" s="1051"/>
      <c r="AF2" s="1051"/>
      <c r="AG2" s="145"/>
      <c r="AH2" s="145"/>
      <c r="AI2" s="145"/>
      <c r="AJ2" s="145"/>
      <c r="AK2" s="145"/>
      <c r="AL2" s="145"/>
      <c r="AM2" s="145"/>
      <c r="AN2" s="145"/>
    </row>
    <row r="3" spans="1:32" s="146" customFormat="1" ht="12.75">
      <c r="A3" s="1052"/>
      <c r="N3" s="1052"/>
      <c r="W3" s="1052"/>
      <c r="Z3" s="1052"/>
      <c r="AA3" s="1052"/>
      <c r="AB3" s="1052"/>
      <c r="AC3" s="1052"/>
      <c r="AD3" s="1052"/>
      <c r="AE3" s="1052"/>
      <c r="AF3" s="1052"/>
    </row>
    <row r="4" spans="1:32" s="149" customFormat="1" ht="11.25">
      <c r="A4" s="147" t="s">
        <v>1</v>
      </c>
      <c r="B4" s="148"/>
      <c r="C4" s="148"/>
      <c r="D4" s="148"/>
      <c r="N4" s="1053"/>
      <c r="W4" s="1053"/>
      <c r="Z4" s="1053"/>
      <c r="AA4" s="1053"/>
      <c r="AB4" s="1053"/>
      <c r="AC4" s="1053"/>
      <c r="AD4" s="1053"/>
      <c r="AE4" s="1053"/>
      <c r="AF4" s="1053"/>
    </row>
    <row r="5" spans="1:32" s="149" customFormat="1" ht="12" thickBot="1">
      <c r="A5" s="147" t="s">
        <v>2</v>
      </c>
      <c r="B5" s="148"/>
      <c r="C5" s="148"/>
      <c r="D5" s="148"/>
      <c r="N5" s="1053"/>
      <c r="W5" s="1053"/>
      <c r="Z5" s="1053"/>
      <c r="AA5" s="1053"/>
      <c r="AB5" s="1053"/>
      <c r="AC5" s="1053"/>
      <c r="AD5" s="1053"/>
      <c r="AE5" s="1053"/>
      <c r="AF5" s="1053"/>
    </row>
    <row r="6" spans="2:40" s="146" customFormat="1" ht="13.5" thickTop="1">
      <c r="B6" s="1054"/>
      <c r="C6" s="1055"/>
      <c r="D6" s="1055"/>
      <c r="E6" s="1055"/>
      <c r="F6" s="1055"/>
      <c r="G6" s="1056"/>
      <c r="H6" s="1055"/>
      <c r="I6" s="1055"/>
      <c r="J6" s="1055"/>
      <c r="K6" s="1055"/>
      <c r="L6" s="1055"/>
      <c r="M6" s="1055"/>
      <c r="N6" s="1057"/>
      <c r="O6" s="1055"/>
      <c r="P6" s="1055"/>
      <c r="Q6" s="1055"/>
      <c r="R6" s="1055"/>
      <c r="S6" s="1055"/>
      <c r="T6" s="1055"/>
      <c r="U6" s="1055"/>
      <c r="V6" s="1055"/>
      <c r="W6" s="1057"/>
      <c r="X6" s="1055"/>
      <c r="Y6" s="1055"/>
      <c r="Z6" s="1057"/>
      <c r="AA6" s="1057"/>
      <c r="AB6" s="1057"/>
      <c r="AC6" s="1057"/>
      <c r="AD6" s="1057"/>
      <c r="AE6" s="1057"/>
      <c r="AF6" s="1057"/>
      <c r="AG6" s="1055"/>
      <c r="AH6" s="1055"/>
      <c r="AI6" s="1055"/>
      <c r="AJ6" s="1055"/>
      <c r="AK6" s="1055"/>
      <c r="AL6" s="1055"/>
      <c r="AM6" s="1055"/>
      <c r="AN6" s="1058"/>
    </row>
    <row r="7" spans="2:40" s="150" customFormat="1" ht="20.25">
      <c r="B7" s="151"/>
      <c r="C7" s="152"/>
      <c r="D7" s="152"/>
      <c r="E7" s="152"/>
      <c r="F7" s="1059" t="s">
        <v>365</v>
      </c>
      <c r="G7" s="152"/>
      <c r="H7" s="152"/>
      <c r="I7" s="152"/>
      <c r="J7" s="152"/>
      <c r="N7" s="1060"/>
      <c r="P7" s="152"/>
      <c r="Q7" s="152"/>
      <c r="R7" s="154"/>
      <c r="S7" s="154"/>
      <c r="T7" s="152"/>
      <c r="U7" s="152"/>
      <c r="V7" s="152"/>
      <c r="W7" s="1061"/>
      <c r="X7" s="152"/>
      <c r="Y7" s="152"/>
      <c r="Z7" s="1061"/>
      <c r="AA7" s="1061"/>
      <c r="AB7" s="1061"/>
      <c r="AC7" s="1061"/>
      <c r="AD7" s="1061"/>
      <c r="AE7" s="1061"/>
      <c r="AF7" s="1061"/>
      <c r="AG7" s="152"/>
      <c r="AH7" s="152"/>
      <c r="AI7" s="152"/>
      <c r="AJ7" s="152"/>
      <c r="AK7" s="152"/>
      <c r="AL7" s="152"/>
      <c r="AM7" s="152"/>
      <c r="AN7" s="1062"/>
    </row>
    <row r="8" spans="2:40" s="146" customFormat="1" ht="12.75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063"/>
      <c r="O8" s="156"/>
      <c r="P8" s="156"/>
      <c r="Q8" s="156"/>
      <c r="R8" s="156"/>
      <c r="S8" s="156"/>
      <c r="T8" s="156"/>
      <c r="U8" s="156"/>
      <c r="V8" s="156"/>
      <c r="W8" s="1063"/>
      <c r="X8" s="156"/>
      <c r="Y8" s="156"/>
      <c r="Z8" s="1063"/>
      <c r="AA8" s="1063"/>
      <c r="AB8" s="1063"/>
      <c r="AC8" s="1063"/>
      <c r="AD8" s="1063"/>
      <c r="AE8" s="1063"/>
      <c r="AF8" s="1063"/>
      <c r="AG8" s="156"/>
      <c r="AH8" s="156"/>
      <c r="AI8" s="156"/>
      <c r="AJ8" s="156"/>
      <c r="AK8" s="156"/>
      <c r="AL8" s="156"/>
      <c r="AM8" s="156"/>
      <c r="AN8" s="1064"/>
    </row>
    <row r="9" spans="2:40" s="150" customFormat="1" ht="20.25">
      <c r="B9" s="151"/>
      <c r="C9" s="152"/>
      <c r="D9" s="152"/>
      <c r="E9" s="152"/>
      <c r="F9" s="1065" t="s">
        <v>366</v>
      </c>
      <c r="G9" s="152"/>
      <c r="H9" s="152"/>
      <c r="I9" s="152"/>
      <c r="J9" s="152"/>
      <c r="K9" s="152"/>
      <c r="L9" s="152"/>
      <c r="M9" s="152"/>
      <c r="N9" s="1061"/>
      <c r="O9" s="152"/>
      <c r="P9" s="152"/>
      <c r="Q9" s="152"/>
      <c r="R9" s="152"/>
      <c r="S9" s="152"/>
      <c r="T9" s="152"/>
      <c r="U9" s="152"/>
      <c r="V9" s="152"/>
      <c r="W9" s="1061"/>
      <c r="X9" s="152"/>
      <c r="Y9" s="152"/>
      <c r="Z9" s="1061"/>
      <c r="AA9" s="1061"/>
      <c r="AB9" s="1061"/>
      <c r="AC9" s="1061"/>
      <c r="AD9" s="1061"/>
      <c r="AE9" s="1061"/>
      <c r="AF9" s="1061"/>
      <c r="AG9" s="152"/>
      <c r="AH9" s="152"/>
      <c r="AI9" s="152"/>
      <c r="AJ9" s="152"/>
      <c r="AK9" s="152"/>
      <c r="AL9" s="152"/>
      <c r="AM9" s="152"/>
      <c r="AN9" s="1062"/>
    </row>
    <row r="10" spans="2:40" s="146" customFormat="1" ht="12.75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063"/>
      <c r="O10" s="156"/>
      <c r="P10" s="156"/>
      <c r="Q10" s="156"/>
      <c r="R10" s="156"/>
      <c r="S10" s="156"/>
      <c r="T10" s="156"/>
      <c r="U10" s="156"/>
      <c r="V10" s="156"/>
      <c r="W10" s="1063"/>
      <c r="X10" s="156"/>
      <c r="Y10" s="156"/>
      <c r="Z10" s="1063"/>
      <c r="AA10" s="1063"/>
      <c r="AB10" s="1063"/>
      <c r="AC10" s="1063"/>
      <c r="AD10" s="1063"/>
      <c r="AE10" s="1063"/>
      <c r="AF10" s="1063"/>
      <c r="AG10" s="156"/>
      <c r="AH10" s="156"/>
      <c r="AI10" s="156"/>
      <c r="AJ10" s="156"/>
      <c r="AK10" s="156"/>
      <c r="AL10" s="156"/>
      <c r="AM10" s="156"/>
      <c r="AN10" s="1064"/>
    </row>
    <row r="11" spans="2:40" s="146" customFormat="1" ht="12.75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063"/>
      <c r="O11" s="156"/>
      <c r="P11" s="156"/>
      <c r="Q11" s="156"/>
      <c r="R11" s="156"/>
      <c r="S11" s="156"/>
      <c r="T11" s="156"/>
      <c r="U11" s="156"/>
      <c r="V11" s="156"/>
      <c r="W11" s="1063"/>
      <c r="X11" s="156"/>
      <c r="Y11" s="156"/>
      <c r="Z11" s="1063"/>
      <c r="AA11" s="1063"/>
      <c r="AB11" s="1063"/>
      <c r="AC11" s="1063"/>
      <c r="AD11" s="1063"/>
      <c r="AE11" s="1063"/>
      <c r="AF11" s="1063"/>
      <c r="AG11" s="156"/>
      <c r="AH11" s="156"/>
      <c r="AI11" s="156"/>
      <c r="AJ11" s="156"/>
      <c r="AK11" s="156"/>
      <c r="AL11" s="156"/>
      <c r="AM11" s="156"/>
      <c r="AN11" s="1064"/>
    </row>
    <row r="12" spans="2:40" s="1066" customFormat="1" ht="19.5">
      <c r="B12" s="1067" t="str">
        <f>+'TOT-0908'!B14</f>
        <v>Desde el 01 al 30 de septiembre de 2008</v>
      </c>
      <c r="C12" s="1068"/>
      <c r="D12" s="1068"/>
      <c r="E12" s="1068"/>
      <c r="F12" s="1068"/>
      <c r="G12" s="1068"/>
      <c r="H12" s="1068"/>
      <c r="I12" s="1068"/>
      <c r="J12" s="1068"/>
      <c r="K12" s="1068"/>
      <c r="L12" s="1068"/>
      <c r="M12" s="1068"/>
      <c r="N12" s="1069"/>
      <c r="O12" s="1068"/>
      <c r="P12" s="1070"/>
      <c r="Q12" s="1070"/>
      <c r="R12" s="1068"/>
      <c r="S12" s="1068"/>
      <c r="T12" s="1068"/>
      <c r="U12" s="1068"/>
      <c r="V12" s="1068"/>
      <c r="W12" s="1069"/>
      <c r="X12" s="1068"/>
      <c r="Y12" s="1068"/>
      <c r="Z12" s="1069"/>
      <c r="AA12" s="1069"/>
      <c r="AB12" s="1069"/>
      <c r="AC12" s="1069"/>
      <c r="AD12" s="1069"/>
      <c r="AE12" s="1069"/>
      <c r="AF12" s="1069"/>
      <c r="AG12" s="1068"/>
      <c r="AH12" s="1068"/>
      <c r="AI12" s="1068"/>
      <c r="AJ12" s="1068"/>
      <c r="AK12" s="1068"/>
      <c r="AL12" s="1068"/>
      <c r="AM12" s="1068"/>
      <c r="AN12" s="1071"/>
    </row>
    <row r="13" spans="2:40" s="146" customFormat="1" ht="16.5" customHeight="1" thickBot="1">
      <c r="B13" s="155"/>
      <c r="C13" s="156"/>
      <c r="D13" s="156"/>
      <c r="E13" s="156"/>
      <c r="F13" s="156"/>
      <c r="G13" s="1072"/>
      <c r="H13" s="1072"/>
      <c r="I13" s="156"/>
      <c r="J13" s="156"/>
      <c r="K13" s="156"/>
      <c r="L13" s="1073"/>
      <c r="M13" s="156"/>
      <c r="N13" s="1063"/>
      <c r="O13" s="156"/>
      <c r="R13" s="156"/>
      <c r="S13" s="156"/>
      <c r="T13" s="156"/>
      <c r="U13" s="156"/>
      <c r="V13" s="156"/>
      <c r="W13" s="1063"/>
      <c r="X13" s="156"/>
      <c r="Y13" s="156"/>
      <c r="Z13" s="1063"/>
      <c r="AA13" s="1063"/>
      <c r="AB13" s="1063"/>
      <c r="AC13" s="1063"/>
      <c r="AD13" s="1063"/>
      <c r="AE13" s="1063"/>
      <c r="AF13" s="1063"/>
      <c r="AG13" s="156"/>
      <c r="AH13" s="156"/>
      <c r="AI13" s="156"/>
      <c r="AJ13" s="156"/>
      <c r="AK13" s="156"/>
      <c r="AL13" s="156"/>
      <c r="AM13" s="156"/>
      <c r="AN13" s="1064"/>
    </row>
    <row r="14" spans="2:40" s="146" customFormat="1" ht="16.5" customHeight="1" thickBot="1" thickTop="1">
      <c r="B14" s="155"/>
      <c r="C14" s="156"/>
      <c r="D14" s="156"/>
      <c r="E14" s="156"/>
      <c r="F14" s="1074" t="s">
        <v>83</v>
      </c>
      <c r="G14" s="1075">
        <v>117.179</v>
      </c>
      <c r="H14" s="1076"/>
      <c r="I14" s="156"/>
      <c r="J14" s="156"/>
      <c r="K14" s="156"/>
      <c r="L14" s="1077"/>
      <c r="M14" s="156"/>
      <c r="N14" s="1063"/>
      <c r="O14" s="156"/>
      <c r="P14" s="156"/>
      <c r="Q14" s="156"/>
      <c r="R14" s="156"/>
      <c r="S14" s="156"/>
      <c r="T14" s="1078" t="s">
        <v>367</v>
      </c>
      <c r="U14" s="1079"/>
      <c r="V14" s="1080"/>
      <c r="W14" s="1063"/>
      <c r="X14" s="156"/>
      <c r="Y14" s="156"/>
      <c r="Z14" s="1063"/>
      <c r="AA14" s="1063"/>
      <c r="AB14" s="1063"/>
      <c r="AC14" s="1063"/>
      <c r="AD14" s="1063"/>
      <c r="AE14" s="1063"/>
      <c r="AF14" s="1063"/>
      <c r="AG14" s="156"/>
      <c r="AH14" s="156"/>
      <c r="AI14" s="1081" t="s">
        <v>367</v>
      </c>
      <c r="AJ14" s="1082"/>
      <c r="AK14" s="1083"/>
      <c r="AL14" s="156"/>
      <c r="AM14" s="156"/>
      <c r="AN14" s="1064"/>
    </row>
    <row r="15" spans="2:40" s="146" customFormat="1" ht="16.5" customHeight="1" thickBot="1" thickTop="1">
      <c r="B15" s="155"/>
      <c r="C15" s="156"/>
      <c r="D15" s="156"/>
      <c r="E15" s="156"/>
      <c r="F15" s="1074" t="s">
        <v>84</v>
      </c>
      <c r="G15" s="1075">
        <v>97.649</v>
      </c>
      <c r="H15" s="1076"/>
      <c r="I15" s="156"/>
      <c r="J15" s="156"/>
      <c r="K15" s="156"/>
      <c r="L15" s="1077"/>
      <c r="M15" s="1084"/>
      <c r="N15" s="1063"/>
      <c r="O15" s="156"/>
      <c r="P15" s="156"/>
      <c r="Q15" s="156"/>
      <c r="R15" s="156"/>
      <c r="S15" s="156"/>
      <c r="T15" s="1085" t="s">
        <v>368</v>
      </c>
      <c r="U15" s="1086"/>
      <c r="V15" s="1087"/>
      <c r="W15" s="1052"/>
      <c r="X15" s="1088"/>
      <c r="Z15" s="1052"/>
      <c r="AA15" s="1052"/>
      <c r="AB15" s="1052"/>
      <c r="AC15" s="1052"/>
      <c r="AD15" s="1052"/>
      <c r="AE15" s="1052"/>
      <c r="AF15" s="1052"/>
      <c r="AI15" s="1089" t="s">
        <v>369</v>
      </c>
      <c r="AJ15" s="1090"/>
      <c r="AK15" s="1091"/>
      <c r="AL15" s="1092"/>
      <c r="AM15" s="1092"/>
      <c r="AN15" s="1093"/>
    </row>
    <row r="16" spans="2:40" s="146" customFormat="1" ht="16.5" customHeight="1" thickBot="1" thickTop="1">
      <c r="B16" s="155"/>
      <c r="C16" s="156"/>
      <c r="D16" s="156"/>
      <c r="E16" s="156"/>
      <c r="F16" s="156"/>
      <c r="G16" s="1094"/>
      <c r="H16" s="156"/>
      <c r="I16" s="156"/>
      <c r="J16" s="156"/>
      <c r="K16" s="156"/>
      <c r="L16" s="156"/>
      <c r="M16" s="156"/>
      <c r="N16" s="1063"/>
      <c r="O16" s="156"/>
      <c r="P16" s="1095"/>
      <c r="Q16" s="156"/>
      <c r="R16" s="156"/>
      <c r="S16" s="156"/>
      <c r="T16" s="1096" t="s">
        <v>370</v>
      </c>
      <c r="U16" s="1097"/>
      <c r="V16" s="1098"/>
      <c r="W16" s="1063"/>
      <c r="X16" s="156"/>
      <c r="Y16" s="156"/>
      <c r="Z16" s="1063"/>
      <c r="AA16" s="1063"/>
      <c r="AB16" s="1063"/>
      <c r="AC16" s="1063"/>
      <c r="AD16" s="1063"/>
      <c r="AE16" s="1063"/>
      <c r="AF16" s="1063"/>
      <c r="AG16" s="156"/>
      <c r="AH16" s="156"/>
      <c r="AI16" s="1099" t="s">
        <v>371</v>
      </c>
      <c r="AJ16" s="1100"/>
      <c r="AK16" s="1101"/>
      <c r="AL16" s="156"/>
      <c r="AM16" s="156"/>
      <c r="AN16" s="1064"/>
    </row>
    <row r="17" spans="2:40" s="146" customFormat="1" ht="40.5" customHeight="1" thickBot="1" thickTop="1">
      <c r="B17" s="155"/>
      <c r="C17" s="156"/>
      <c r="D17" s="1102" t="s">
        <v>372</v>
      </c>
      <c r="E17" s="157" t="s">
        <v>12</v>
      </c>
      <c r="F17" s="158" t="s">
        <v>0</v>
      </c>
      <c r="G17" s="1103" t="s">
        <v>13</v>
      </c>
      <c r="H17" s="159" t="s">
        <v>14</v>
      </c>
      <c r="I17" s="1104" t="s">
        <v>68</v>
      </c>
      <c r="J17" s="1105" t="s">
        <v>35</v>
      </c>
      <c r="K17" s="1106" t="s">
        <v>15</v>
      </c>
      <c r="L17" s="158" t="s">
        <v>16</v>
      </c>
      <c r="M17" s="160" t="s">
        <v>17</v>
      </c>
      <c r="N17" s="1107" t="s">
        <v>34</v>
      </c>
      <c r="O17" s="1108" t="s">
        <v>29</v>
      </c>
      <c r="P17" s="1109" t="s">
        <v>18</v>
      </c>
      <c r="Q17" s="159" t="s">
        <v>56</v>
      </c>
      <c r="R17" s="160" t="s">
        <v>57</v>
      </c>
      <c r="S17" s="158" t="s">
        <v>30</v>
      </c>
      <c r="T17" s="1110" t="s">
        <v>58</v>
      </c>
      <c r="U17" s="1111"/>
      <c r="V17" s="1112"/>
      <c r="W17" s="1113" t="s">
        <v>373</v>
      </c>
      <c r="X17" s="161" t="s">
        <v>374</v>
      </c>
      <c r="Y17" s="161" t="s">
        <v>375</v>
      </c>
      <c r="Z17" s="1113" t="s">
        <v>376</v>
      </c>
      <c r="AA17" s="1113" t="s">
        <v>377</v>
      </c>
      <c r="AB17" s="1113" t="s">
        <v>378</v>
      </c>
      <c r="AC17" s="1113" t="s">
        <v>379</v>
      </c>
      <c r="AD17" s="1113" t="s">
        <v>380</v>
      </c>
      <c r="AE17" s="1113" t="s">
        <v>381</v>
      </c>
      <c r="AF17" s="1114" t="s">
        <v>382</v>
      </c>
      <c r="AG17" s="1114" t="s">
        <v>383</v>
      </c>
      <c r="AH17" s="1114" t="s">
        <v>384</v>
      </c>
      <c r="AI17" s="1110" t="s">
        <v>58</v>
      </c>
      <c r="AJ17" s="1111"/>
      <c r="AK17" s="1112"/>
      <c r="AL17" s="1113" t="s">
        <v>385</v>
      </c>
      <c r="AM17" s="161" t="s">
        <v>22</v>
      </c>
      <c r="AN17" s="1115"/>
    </row>
    <row r="18" spans="2:40" s="146" customFormat="1" ht="16.5" customHeight="1" hidden="1">
      <c r="B18" s="155"/>
      <c r="C18" s="156"/>
      <c r="D18" s="156"/>
      <c r="E18" s="1116"/>
      <c r="F18" s="162"/>
      <c r="G18" s="162"/>
      <c r="H18" s="1116"/>
      <c r="I18" s="1116"/>
      <c r="J18" s="1117"/>
      <c r="K18" s="1118"/>
      <c r="L18" s="1116"/>
      <c r="M18" s="1116"/>
      <c r="N18" s="1119"/>
      <c r="O18" s="1120"/>
      <c r="P18" s="1116"/>
      <c r="Q18" s="1116"/>
      <c r="R18" s="1116"/>
      <c r="S18" s="1116"/>
      <c r="T18" s="1121"/>
      <c r="U18" s="1122"/>
      <c r="V18" s="1123"/>
      <c r="W18" s="1124"/>
      <c r="X18" s="1116"/>
      <c r="Y18" s="1125"/>
      <c r="Z18" s="1126"/>
      <c r="AA18" s="1125"/>
      <c r="AB18" s="1125"/>
      <c r="AC18" s="1126"/>
      <c r="AD18" s="1126"/>
      <c r="AE18" s="1127"/>
      <c r="AF18" s="1128"/>
      <c r="AG18" s="1128"/>
      <c r="AH18" s="1128"/>
      <c r="AI18" s="1121"/>
      <c r="AJ18" s="1122"/>
      <c r="AK18" s="1123"/>
      <c r="AL18" s="1126"/>
      <c r="AM18" s="1125"/>
      <c r="AN18" s="1064"/>
    </row>
    <row r="19" spans="2:40" s="1052" customFormat="1" ht="16.5" thickBot="1" thickTop="1">
      <c r="B19" s="1132"/>
      <c r="C19" s="1203"/>
      <c r="D19" s="1129"/>
      <c r="E19" s="1204"/>
      <c r="F19" s="1205"/>
      <c r="G19" s="1206"/>
      <c r="H19" s="1205"/>
      <c r="I19" s="1205"/>
      <c r="J19" s="1207"/>
      <c r="K19" s="1208"/>
      <c r="L19" s="1209"/>
      <c r="M19" s="1210"/>
      <c r="N19" s="1129"/>
      <c r="O19" s="1129"/>
      <c r="P19" s="1211"/>
      <c r="Q19" s="1129"/>
      <c r="R19" s="1129"/>
      <c r="S19" s="1129"/>
      <c r="T19" s="1212"/>
      <c r="U19" s="1212"/>
      <c r="V19" s="1158"/>
      <c r="W19" s="1130"/>
      <c r="X19" s="1129"/>
      <c r="Y19" s="1213"/>
      <c r="Z19" s="1130"/>
      <c r="AA19" s="1213"/>
      <c r="AB19" s="1130"/>
      <c r="AC19" s="1130"/>
      <c r="AD19" s="1130"/>
      <c r="AE19" s="1131"/>
      <c r="AF19" s="1130"/>
      <c r="AG19" s="1130"/>
      <c r="AH19" s="1130"/>
      <c r="AI19" s="1212"/>
      <c r="AJ19" s="1212"/>
      <c r="AK19" s="1158"/>
      <c r="AL19" s="1130"/>
      <c r="AM19" s="1130"/>
      <c r="AN19" s="1064"/>
    </row>
    <row r="20" spans="2:40" s="1052" customFormat="1" ht="18" customHeight="1" thickBot="1">
      <c r="B20" s="1132"/>
      <c r="C20" s="1283" t="s">
        <v>386</v>
      </c>
      <c r="D20" s="1133"/>
      <c r="E20" s="1214">
        <v>2</v>
      </c>
      <c r="F20" s="1214" t="s">
        <v>250</v>
      </c>
      <c r="G20" s="1215">
        <v>500</v>
      </c>
      <c r="H20" s="1216">
        <v>313</v>
      </c>
      <c r="I20" s="1215" t="s">
        <v>251</v>
      </c>
      <c r="J20" s="1217">
        <f aca="true" t="shared" si="0" ref="J20:J26">IF(I20="A",200,IF(I20="B",60,20))</f>
        <v>200</v>
      </c>
      <c r="K20" s="1218">
        <f aca="true" t="shared" si="1" ref="K20:K26">IF(G20=500,IF(H20&lt;100,100*$G$14/100,H20*$G$14/100),IF(H20&lt;100,100*$G$15/100,H20*$G$15/100))</f>
        <v>366.77027000000004</v>
      </c>
      <c r="L20" s="1219">
        <v>39695.870833333334</v>
      </c>
      <c r="M20" s="1219">
        <v>39697.6375</v>
      </c>
      <c r="N20" s="1134">
        <f aca="true" t="shared" si="2" ref="N20:N26">IF(F20="","",(M20-L20)*24)</f>
        <v>42.39999999990687</v>
      </c>
      <c r="O20" s="1135">
        <f aca="true" t="shared" si="3" ref="O20:O26">IF(F20="","",ROUND((M20-L20)*24*60,0))</f>
        <v>2544</v>
      </c>
      <c r="P20" s="1220" t="s">
        <v>252</v>
      </c>
      <c r="Q20" s="1136" t="str">
        <f aca="true" t="shared" si="4" ref="Q20:Q26">IF(F20="","","--")</f>
        <v>--</v>
      </c>
      <c r="R20" s="1137" t="str">
        <f aca="true" t="shared" si="5" ref="R20:R26">IF(F20="","","NO")</f>
        <v>NO</v>
      </c>
      <c r="S20" s="1137" t="str">
        <f aca="true" t="shared" si="6" ref="S20:S26">IF(F20="","",IF(OR(P20="P",P20="RP"),"--","NO"))</f>
        <v>NO</v>
      </c>
      <c r="T20" s="1221">
        <f aca="true" t="shared" si="7" ref="T20:T26">IF(AND(P20="F",S20="NO"),K20*J20*IF(R20="SI",1.2,1),"--")</f>
        <v>73354.054</v>
      </c>
      <c r="U20" s="1221">
        <f aca="true" t="shared" si="8" ref="U20:U26">IF(AND(P20="F",AF20&gt;=10),K20*J20*IF(R20="SI",1.2,1)*IF(AF20&lt;=300,ROUND(AF20/60,2),5),"--")</f>
        <v>366770.27</v>
      </c>
      <c r="V20" s="1139">
        <f aca="true" t="shared" si="9" ref="V20:V26">IF(AND(P20="F",AF20&gt;300),(ROUND(AF20/60,2)-5)*K20*J20*0.1*IF(R20="SI",1.2,1),"--")</f>
        <v>491472.1618000001</v>
      </c>
      <c r="W20" s="1138">
        <f aca="true" t="shared" si="10" ref="W20:W26">IF(F20="","",SUM(T20:V20)*IF(X20="SI",1,2))</f>
        <v>931596.4858000001</v>
      </c>
      <c r="X20" s="1139" t="str">
        <f aca="true" t="shared" si="11" ref="X20:X26">IF(F20="","","SI")</f>
        <v>SI</v>
      </c>
      <c r="Y20" s="1222">
        <v>1</v>
      </c>
      <c r="Z20" s="1140">
        <f>IF(F20="","",IF(Y20&lt;=10,48,72))</f>
        <v>48</v>
      </c>
      <c r="AA20" s="1223">
        <v>0</v>
      </c>
      <c r="AB20" s="1141">
        <v>1</v>
      </c>
      <c r="AC20" s="1142">
        <f>IF(F20="","",Z20+AA20)</f>
        <v>48</v>
      </c>
      <c r="AD20" s="1138">
        <f>IF(F20="","",AB20*24*Y20)</f>
        <v>24</v>
      </c>
      <c r="AE20" s="1143">
        <f aca="true" t="shared" si="12" ref="AE20:AE26">IF(F20="","",AD20+AC20)</f>
        <v>72</v>
      </c>
      <c r="AF20" s="1224">
        <f aca="true" t="shared" si="13" ref="AF20:AF26">AE20*60</f>
        <v>4320</v>
      </c>
      <c r="AG20" s="1225">
        <f aca="true" t="shared" si="14" ref="AG20:AG26">LOG(W20)/LOG(AD20)</f>
        <v>4.324865398287025</v>
      </c>
      <c r="AH20" s="1225">
        <f aca="true" t="shared" si="15" ref="AH20:AH26">1/(2*Y20)</f>
        <v>0.5</v>
      </c>
      <c r="AI20" s="1221">
        <f aca="true" t="shared" si="16" ref="AI20:AI26">IF(AND(P20="F",S20="NO"),K20*J20*IF(R20="SI",1.2,1),"--")</f>
        <v>73354.054</v>
      </c>
      <c r="AJ20" s="1221">
        <f aca="true" t="shared" si="17" ref="AJ20:AJ26">IF(AND(P20="F",O20&gt;=10),K20*J20*IF(R20="SI",1.2,1)*IF(O20&lt;=300,ROUND(O20/60,2),5),"--")</f>
        <v>366770.27</v>
      </c>
      <c r="AK20" s="1139">
        <f aca="true" t="shared" si="18" ref="AK20:AK26">IF(AND(P20="F",O20&gt;300),(ROUND(O20/60,2)-5)*K20*J20*0.1*IF(R20="SI",1.2,1),"--")</f>
        <v>274344.16196000006</v>
      </c>
      <c r="AL20" s="1138">
        <f aca="true" t="shared" si="19" ref="AL20:AL26">IF(F20="","",SUM(AI20:AK20)*IF(X20="SI",1,2))</f>
        <v>714468.4859600001</v>
      </c>
      <c r="AM20" s="1144">
        <f aca="true" t="shared" si="20" ref="AM20:AM26">IF(F20=""," ",IF(N20&lt;=AC20,0,(IF(N20&gt;AE20,AL20,(N20-AC20)^AG20*1/(1-AH20*(N20-AE20))))))</f>
        <v>0</v>
      </c>
      <c r="AN20" s="1145"/>
    </row>
    <row r="21" spans="2:40" s="1052" customFormat="1" ht="20.25" customHeight="1">
      <c r="B21" s="1132"/>
      <c r="C21" s="1284"/>
      <c r="D21" s="1146"/>
      <c r="E21" s="180">
        <v>3</v>
      </c>
      <c r="F21" s="180" t="s">
        <v>253</v>
      </c>
      <c r="G21" s="209">
        <v>500</v>
      </c>
      <c r="H21" s="1226">
        <v>313</v>
      </c>
      <c r="I21" s="209" t="s">
        <v>251</v>
      </c>
      <c r="J21" s="1227">
        <f t="shared" si="0"/>
        <v>200</v>
      </c>
      <c r="K21" s="1228">
        <f t="shared" si="1"/>
        <v>366.77027000000004</v>
      </c>
      <c r="L21" s="845">
        <v>39695.87222222222</v>
      </c>
      <c r="M21" s="1229">
        <v>39698.47708333333</v>
      </c>
      <c r="N21" s="1147">
        <f t="shared" si="2"/>
        <v>62.516666666662786</v>
      </c>
      <c r="O21" s="1148">
        <f t="shared" si="3"/>
        <v>3751</v>
      </c>
      <c r="P21" s="1220" t="s">
        <v>252</v>
      </c>
      <c r="Q21" s="1149" t="str">
        <f t="shared" si="4"/>
        <v>--</v>
      </c>
      <c r="R21" s="1150" t="str">
        <f t="shared" si="5"/>
        <v>NO</v>
      </c>
      <c r="S21" s="1137" t="str">
        <f>IF(F21="","",IF(OR(P21="P",P21="RP"),"--","NO"))</f>
        <v>NO</v>
      </c>
      <c r="T21" s="1221">
        <f>IF(AND(P21="F",S21="NO"),K21*J21*IF(R21="SI",1.2,1),"--")</f>
        <v>73354.054</v>
      </c>
      <c r="U21" s="1221">
        <f>IF(AND(P21="F",AF21&gt;=10),K21*J21*IF(R21="SI",1.2,1)*IF(AF21&lt;=300,ROUND(AF21/60,2),5),"--")</f>
        <v>366770.27</v>
      </c>
      <c r="V21" s="1139">
        <f>IF(AND(P21="F",AF21&gt;300),(ROUND(AF21/60,2)-5)*K21*J21*0.1*IF(R21="SI",1.2,1),"--")</f>
        <v>491472.1618000001</v>
      </c>
      <c r="W21" s="1138">
        <f>IF(F21="","",SUM(T21:V21)*IF(X21="SI",1,2))</f>
        <v>931596.4858000001</v>
      </c>
      <c r="X21" s="1139" t="str">
        <f>IF(F21="","","SI")</f>
        <v>SI</v>
      </c>
      <c r="Y21" s="1222">
        <v>1</v>
      </c>
      <c r="Z21" s="1140">
        <f>IF(F21="","",IF(Y21&lt;=10,48,72))</f>
        <v>48</v>
      </c>
      <c r="AA21" s="1223">
        <v>0</v>
      </c>
      <c r="AB21" s="1141">
        <v>1</v>
      </c>
      <c r="AC21" s="1142">
        <f>IF(F21="","",Z21+AA21)</f>
        <v>48</v>
      </c>
      <c r="AD21" s="1138">
        <f>IF(F21="","",AB21*24*Y21)</f>
        <v>24</v>
      </c>
      <c r="AE21" s="1143">
        <f>IF(F21="","",AD21+AC21)</f>
        <v>72</v>
      </c>
      <c r="AF21" s="1224">
        <f t="shared" si="13"/>
        <v>4320</v>
      </c>
      <c r="AG21" s="1225">
        <f>LOG(W21)/LOG(AD21)</f>
        <v>4.324865398287025</v>
      </c>
      <c r="AH21" s="1225">
        <f>1/(2*Y21)</f>
        <v>0.5</v>
      </c>
      <c r="AI21" s="1221">
        <f>IF(AND(P21="F",S21="NO"),K21*J21*IF(R21="SI",1.2,1),"--")</f>
        <v>73354.054</v>
      </c>
      <c r="AJ21" s="1221">
        <f>IF(AND(P21="F",O21&gt;=10),K21*J21*IF(R21="SI",1.2,1)*IF(O21&lt;=300,ROUND(O21/60,2),5),"--")</f>
        <v>366770.27</v>
      </c>
      <c r="AK21" s="1139">
        <f>IF(AND(P21="F",O21&gt;300),(ROUND(O21/60,2)-5)*K21*J21*0.1*IF(R21="SI",1.2,1),"--")</f>
        <v>421932.51860800013</v>
      </c>
      <c r="AL21" s="1138">
        <f>IF(F21="","",SUM(AI21:AK21)*IF(X21="SI",1,2))</f>
        <v>862056.8426080002</v>
      </c>
      <c r="AM21" s="1144">
        <f>IF(F21=""," ",IF(N21&lt;=AC21,0,(IF(N21&gt;AE21,AL21,(N21-AC21)^AG21*1/(1-AH21*(N21-AE21))))))</f>
        <v>18445.05681802638</v>
      </c>
      <c r="AN21" s="1145"/>
    </row>
    <row r="22" spans="2:40" s="1063" customFormat="1" ht="22.5" customHeight="1" thickBot="1">
      <c r="B22" s="1132"/>
      <c r="C22" s="1285"/>
      <c r="D22" s="1151"/>
      <c r="E22" s="1152"/>
      <c r="F22" s="1230"/>
      <c r="G22" s="1231"/>
      <c r="H22" s="1232"/>
      <c r="I22" s="1231"/>
      <c r="J22" s="1233">
        <f t="shared" si="0"/>
        <v>20</v>
      </c>
      <c r="K22" s="1234">
        <f t="shared" si="1"/>
        <v>97.649</v>
      </c>
      <c r="L22" s="1235"/>
      <c r="M22" s="1235"/>
      <c r="N22" s="1153">
        <f t="shared" si="2"/>
      </c>
      <c r="O22" s="1154">
        <f t="shared" si="3"/>
      </c>
      <c r="P22" s="1236"/>
      <c r="Q22" s="1155">
        <f t="shared" si="4"/>
      </c>
      <c r="R22" s="1156">
        <f t="shared" si="5"/>
      </c>
      <c r="S22" s="1156">
        <f t="shared" si="6"/>
      </c>
      <c r="T22" s="1212" t="str">
        <f t="shared" si="7"/>
        <v>--</v>
      </c>
      <c r="U22" s="1212" t="e">
        <f t="shared" si="8"/>
        <v>#VALUE!</v>
      </c>
      <c r="V22" s="1158" t="e">
        <f t="shared" si="9"/>
        <v>#VALUE!</v>
      </c>
      <c r="W22" s="1157">
        <f t="shared" si="10"/>
      </c>
      <c r="X22" s="1158">
        <f t="shared" si="11"/>
      </c>
      <c r="Y22" s="1237"/>
      <c r="Z22" s="1159">
        <f>IF(F22="","",IF(N21&lt;=AE21,0,IF(Y22&lt;=10,48,72)))</f>
      </c>
      <c r="AA22" s="1238"/>
      <c r="AB22" s="1160">
        <f>IF(F22="","",IF(N21&lt;=AE21,1,0.9))</f>
      </c>
      <c r="AC22" s="1157">
        <f>IF(F22="","",IF(N21&lt;=AE21,N21+AA22,Z22+AA22))</f>
      </c>
      <c r="AD22" s="1161">
        <f>IF(F22="","",IF(N21&lt;=AE21,AB22*Y22*24,AB22*Y22*24))</f>
      </c>
      <c r="AE22" s="1157">
        <f t="shared" si="12"/>
      </c>
      <c r="AF22" s="1157" t="e">
        <f t="shared" si="13"/>
        <v>#VALUE!</v>
      </c>
      <c r="AG22" s="1239" t="e">
        <f t="shared" si="14"/>
        <v>#VALUE!</v>
      </c>
      <c r="AH22" s="1239" t="e">
        <f t="shared" si="15"/>
        <v>#DIV/0!</v>
      </c>
      <c r="AI22" s="1212" t="str">
        <f t="shared" si="16"/>
        <v>--</v>
      </c>
      <c r="AJ22" s="1212" t="str">
        <f t="shared" si="17"/>
        <v>--</v>
      </c>
      <c r="AK22" s="1158" t="str">
        <f t="shared" si="18"/>
        <v>--</v>
      </c>
      <c r="AL22" s="1157">
        <f t="shared" si="19"/>
      </c>
      <c r="AM22" s="1157" t="str">
        <f t="shared" si="20"/>
        <v> </v>
      </c>
      <c r="AN22" s="1145"/>
    </row>
    <row r="23" spans="2:40" s="1052" customFormat="1" ht="16.5" customHeight="1">
      <c r="B23" s="1132"/>
      <c r="C23" s="1283"/>
      <c r="D23" s="1133"/>
      <c r="E23" s="1162"/>
      <c r="F23" s="1240"/>
      <c r="G23" s="1241"/>
      <c r="H23" s="1242"/>
      <c r="I23" s="1241"/>
      <c r="J23" s="1217">
        <f t="shared" si="0"/>
        <v>20</v>
      </c>
      <c r="K23" s="1218">
        <f t="shared" si="1"/>
        <v>97.649</v>
      </c>
      <c r="L23" s="1243"/>
      <c r="M23" s="1244"/>
      <c r="N23" s="1134">
        <f t="shared" si="2"/>
      </c>
      <c r="O23" s="1135">
        <f t="shared" si="3"/>
      </c>
      <c r="P23" s="1220"/>
      <c r="Q23" s="1136">
        <f t="shared" si="4"/>
      </c>
      <c r="R23" s="1137">
        <f t="shared" si="5"/>
      </c>
      <c r="S23" s="1137">
        <f t="shared" si="6"/>
      </c>
      <c r="T23" s="1221" t="str">
        <f t="shared" si="7"/>
        <v>--</v>
      </c>
      <c r="U23" s="1221" t="e">
        <f t="shared" si="8"/>
        <v>#VALUE!</v>
      </c>
      <c r="V23" s="1139" t="e">
        <f t="shared" si="9"/>
        <v>#VALUE!</v>
      </c>
      <c r="W23" s="1138">
        <f t="shared" si="10"/>
      </c>
      <c r="X23" s="1139">
        <f t="shared" si="11"/>
      </c>
      <c r="Y23" s="1222"/>
      <c r="Z23" s="1163">
        <f>IF(F23="","",IF(Y23&lt;=10,48,72))</f>
      </c>
      <c r="AA23" s="1245"/>
      <c r="AB23" s="1164">
        <f>IF(F23="","",0.9)</f>
      </c>
      <c r="AC23" s="1138">
        <f>IF(F23="","",Z23+AA23)</f>
      </c>
      <c r="AD23" s="1138">
        <f>IF(F23="","",AB23*24*Y23)</f>
      </c>
      <c r="AE23" s="1143">
        <f t="shared" si="12"/>
      </c>
      <c r="AF23" s="1224" t="e">
        <f t="shared" si="13"/>
        <v>#VALUE!</v>
      </c>
      <c r="AG23" s="1225" t="e">
        <f t="shared" si="14"/>
        <v>#VALUE!</v>
      </c>
      <c r="AH23" s="1225" t="e">
        <f t="shared" si="15"/>
        <v>#DIV/0!</v>
      </c>
      <c r="AI23" s="1221" t="str">
        <f t="shared" si="16"/>
        <v>--</v>
      </c>
      <c r="AJ23" s="1221" t="str">
        <f t="shared" si="17"/>
        <v>--</v>
      </c>
      <c r="AK23" s="1139" t="str">
        <f t="shared" si="18"/>
        <v>--</v>
      </c>
      <c r="AL23" s="1138">
        <f t="shared" si="19"/>
      </c>
      <c r="AM23" s="1144" t="str">
        <f t="shared" si="20"/>
        <v> </v>
      </c>
      <c r="AN23" s="1145"/>
    </row>
    <row r="24" spans="2:40" s="1052" customFormat="1" ht="16.5" customHeight="1">
      <c r="B24" s="1132"/>
      <c r="C24" s="1284"/>
      <c r="D24" s="1146"/>
      <c r="E24" s="1165"/>
      <c r="F24" s="1246"/>
      <c r="G24" s="1247"/>
      <c r="H24" s="1248"/>
      <c r="I24" s="1247"/>
      <c r="J24" s="1227">
        <f t="shared" si="0"/>
        <v>20</v>
      </c>
      <c r="K24" s="1228">
        <f t="shared" si="1"/>
        <v>97.649</v>
      </c>
      <c r="L24" s="1249"/>
      <c r="M24" s="1250"/>
      <c r="N24" s="1147">
        <f t="shared" si="2"/>
      </c>
      <c r="O24" s="1148">
        <f t="shared" si="3"/>
      </c>
      <c r="P24" s="1251"/>
      <c r="Q24" s="1149">
        <f t="shared" si="4"/>
      </c>
      <c r="R24" s="1150">
        <f t="shared" si="5"/>
      </c>
      <c r="S24" s="1150">
        <f t="shared" si="6"/>
      </c>
      <c r="T24" s="1252" t="str">
        <f t="shared" si="7"/>
        <v>--</v>
      </c>
      <c r="U24" s="1252" t="e">
        <f t="shared" si="8"/>
        <v>#VALUE!</v>
      </c>
      <c r="V24" s="1166" t="e">
        <f t="shared" si="9"/>
        <v>#VALUE!</v>
      </c>
      <c r="W24" s="1161">
        <f t="shared" si="10"/>
      </c>
      <c r="X24" s="1166">
        <f t="shared" si="11"/>
      </c>
      <c r="Y24" s="1253"/>
      <c r="Z24" s="1167">
        <f>IF(F24="","",IF(N23&lt;=AE23,0,IF(Y24&lt;=10,48,72)))</f>
      </c>
      <c r="AA24" s="1254"/>
      <c r="AB24" s="1160">
        <f>IF(F24="","",IF(N23&lt;=AE23,1,0.9))</f>
      </c>
      <c r="AC24" s="1161">
        <f>IF(F24="","",IF(N23&lt;=AE23,N23+AA24,Z24+AA24))</f>
      </c>
      <c r="AD24" s="1161">
        <f>IF(F24="","",IF(N23&lt;=AE23,AB24*Y24*24,AB24*Y24*24))</f>
      </c>
      <c r="AE24" s="1168">
        <f t="shared" si="12"/>
      </c>
      <c r="AF24" s="1255" t="e">
        <f t="shared" si="13"/>
        <v>#VALUE!</v>
      </c>
      <c r="AG24" s="1256" t="e">
        <f t="shared" si="14"/>
        <v>#VALUE!</v>
      </c>
      <c r="AH24" s="1256" t="e">
        <f t="shared" si="15"/>
        <v>#DIV/0!</v>
      </c>
      <c r="AI24" s="1257" t="str">
        <f t="shared" si="16"/>
        <v>--</v>
      </c>
      <c r="AJ24" s="1257" t="str">
        <f t="shared" si="17"/>
        <v>--</v>
      </c>
      <c r="AK24" s="1258" t="str">
        <f t="shared" si="18"/>
        <v>--</v>
      </c>
      <c r="AL24" s="1161">
        <f t="shared" si="19"/>
      </c>
      <c r="AM24" s="163" t="str">
        <f t="shared" si="20"/>
        <v> </v>
      </c>
      <c r="AN24" s="1145"/>
    </row>
    <row r="25" spans="2:40" s="1052" customFormat="1" ht="16.5" customHeight="1">
      <c r="B25" s="1132"/>
      <c r="C25" s="1284"/>
      <c r="D25" s="1146"/>
      <c r="E25" s="1165"/>
      <c r="F25" s="1246"/>
      <c r="G25" s="1247"/>
      <c r="H25" s="1248"/>
      <c r="I25" s="1247"/>
      <c r="J25" s="1227">
        <f t="shared" si="0"/>
        <v>20</v>
      </c>
      <c r="K25" s="1228">
        <f t="shared" si="1"/>
        <v>97.649</v>
      </c>
      <c r="L25" s="1259"/>
      <c r="M25" s="1259"/>
      <c r="N25" s="1147">
        <f t="shared" si="2"/>
      </c>
      <c r="O25" s="1148">
        <f t="shared" si="3"/>
      </c>
      <c r="P25" s="1260"/>
      <c r="Q25" s="1149">
        <f t="shared" si="4"/>
      </c>
      <c r="R25" s="1150">
        <f t="shared" si="5"/>
      </c>
      <c r="S25" s="1150">
        <f t="shared" si="6"/>
      </c>
      <c r="T25" s="1252" t="str">
        <f t="shared" si="7"/>
        <v>--</v>
      </c>
      <c r="U25" s="1252" t="e">
        <f t="shared" si="8"/>
        <v>#VALUE!</v>
      </c>
      <c r="V25" s="1166" t="e">
        <f t="shared" si="9"/>
        <v>#VALUE!</v>
      </c>
      <c r="W25" s="1169">
        <f t="shared" si="10"/>
      </c>
      <c r="X25" s="1166">
        <f t="shared" si="11"/>
      </c>
      <c r="Y25" s="1261"/>
      <c r="Z25" s="1170">
        <f>IF(F25="","",IF(N24&lt;=AE24,0,IF(Y25&lt;=10,48,72)))</f>
      </c>
      <c r="AA25" s="1262"/>
      <c r="AB25" s="1160">
        <f>IF(F25="","",IF(N24&lt;=AE24,1,0.9))</f>
      </c>
      <c r="AC25" s="1169">
        <f>IF(F25="","",IF(N24&lt;=AE24,N24+AA25,Z25+AA25))</f>
      </c>
      <c r="AD25" s="1161">
        <f>IF(F25="","",IF(N24&lt;=AE24,AB25*Y25*24,AB25*Y25*24))</f>
      </c>
      <c r="AE25" s="1169">
        <f t="shared" si="12"/>
      </c>
      <c r="AF25" s="1169" t="e">
        <f t="shared" si="13"/>
        <v>#VALUE!</v>
      </c>
      <c r="AG25" s="1263" t="e">
        <f t="shared" si="14"/>
        <v>#VALUE!</v>
      </c>
      <c r="AH25" s="1263" t="e">
        <f t="shared" si="15"/>
        <v>#DIV/0!</v>
      </c>
      <c r="AI25" s="1252" t="str">
        <f t="shared" si="16"/>
        <v>--</v>
      </c>
      <c r="AJ25" s="1252" t="str">
        <f t="shared" si="17"/>
        <v>--</v>
      </c>
      <c r="AK25" s="1166" t="str">
        <f t="shared" si="18"/>
        <v>--</v>
      </c>
      <c r="AL25" s="1169">
        <f t="shared" si="19"/>
      </c>
      <c r="AM25" s="1169" t="str">
        <f t="shared" si="20"/>
        <v> </v>
      </c>
      <c r="AN25" s="1145"/>
    </row>
    <row r="26" spans="2:40" s="1063" customFormat="1" ht="16.5" customHeight="1" thickBot="1">
      <c r="B26" s="1132"/>
      <c r="C26" s="1285"/>
      <c r="D26" s="1151"/>
      <c r="E26" s="1152"/>
      <c r="F26" s="1230"/>
      <c r="G26" s="1231"/>
      <c r="H26" s="1232"/>
      <c r="I26" s="1231"/>
      <c r="J26" s="1233">
        <f t="shared" si="0"/>
        <v>20</v>
      </c>
      <c r="K26" s="1234">
        <f t="shared" si="1"/>
        <v>97.649</v>
      </c>
      <c r="L26" s="1235"/>
      <c r="M26" s="1235"/>
      <c r="N26" s="1153">
        <f t="shared" si="2"/>
      </c>
      <c r="O26" s="1154">
        <f t="shared" si="3"/>
      </c>
      <c r="P26" s="1236"/>
      <c r="Q26" s="1155">
        <f t="shared" si="4"/>
      </c>
      <c r="R26" s="1156">
        <f t="shared" si="5"/>
      </c>
      <c r="S26" s="1156">
        <f t="shared" si="6"/>
      </c>
      <c r="T26" s="1212" t="str">
        <f t="shared" si="7"/>
        <v>--</v>
      </c>
      <c r="U26" s="1212" t="e">
        <f t="shared" si="8"/>
        <v>#VALUE!</v>
      </c>
      <c r="V26" s="1158" t="e">
        <f t="shared" si="9"/>
        <v>#VALUE!</v>
      </c>
      <c r="W26" s="1157">
        <f t="shared" si="10"/>
      </c>
      <c r="X26" s="1158">
        <f t="shared" si="11"/>
      </c>
      <c r="Y26" s="1237"/>
      <c r="Z26" s="1159">
        <f>IF(F26="","",IF(N25&lt;=AE25,0,IF(Y26&lt;=10,48,72)))</f>
      </c>
      <c r="AA26" s="1238"/>
      <c r="AB26" s="1171">
        <f>IF(F26="","",IF(N25&lt;=AE25,1,0.9))</f>
      </c>
      <c r="AC26" s="1157">
        <f>IF(F26="","",IF(N25&lt;=AE25,N25+AA26,Z26+AA26))</f>
      </c>
      <c r="AD26" s="1172">
        <f>IF(F26="","",IF(N25&lt;=AE25,AB26*Y26*24,AB26*Y26*24))</f>
      </c>
      <c r="AE26" s="1157">
        <f t="shared" si="12"/>
      </c>
      <c r="AF26" s="1157" t="e">
        <f t="shared" si="13"/>
        <v>#VALUE!</v>
      </c>
      <c r="AG26" s="1239" t="e">
        <f t="shared" si="14"/>
        <v>#VALUE!</v>
      </c>
      <c r="AH26" s="1239" t="e">
        <f t="shared" si="15"/>
        <v>#DIV/0!</v>
      </c>
      <c r="AI26" s="1212" t="str">
        <f t="shared" si="16"/>
        <v>--</v>
      </c>
      <c r="AJ26" s="1212" t="str">
        <f t="shared" si="17"/>
        <v>--</v>
      </c>
      <c r="AK26" s="1158" t="str">
        <f t="shared" si="18"/>
        <v>--</v>
      </c>
      <c r="AL26" s="1157">
        <f t="shared" si="19"/>
      </c>
      <c r="AM26" s="1157" t="str">
        <f t="shared" si="20"/>
        <v> </v>
      </c>
      <c r="AN26" s="1145"/>
    </row>
    <row r="27" spans="2:40" s="1052" customFormat="1" ht="16.5" customHeight="1" thickBot="1">
      <c r="B27" s="1132"/>
      <c r="C27" s="1264"/>
      <c r="D27" s="1265"/>
      <c r="E27" s="1266"/>
      <c r="F27" s="1267"/>
      <c r="G27" s="1268"/>
      <c r="H27" s="1267"/>
      <c r="I27" s="1269"/>
      <c r="J27" s="1270"/>
      <c r="K27" s="1271"/>
      <c r="L27" s="1272"/>
      <c r="M27" s="1272"/>
      <c r="N27" s="1173"/>
      <c r="O27" s="1173"/>
      <c r="P27" s="1272"/>
      <c r="Q27" s="1174"/>
      <c r="R27" s="1173"/>
      <c r="S27" s="1173"/>
      <c r="T27" s="1273"/>
      <c r="U27" s="1273"/>
      <c r="V27" s="1274"/>
      <c r="W27" s="1175"/>
      <c r="X27" s="1275"/>
      <c r="Y27" s="1276"/>
      <c r="Z27" s="1176"/>
      <c r="AA27" s="1277"/>
      <c r="AB27" s="1177"/>
      <c r="AC27" s="1176"/>
      <c r="AD27" s="1176"/>
      <c r="AE27" s="1176"/>
      <c r="AF27" s="1278"/>
      <c r="AG27" s="1176"/>
      <c r="AH27" s="1176"/>
      <c r="AI27" s="1279"/>
      <c r="AJ27" s="1279"/>
      <c r="AK27" s="1280"/>
      <c r="AL27" s="1176"/>
      <c r="AM27" s="1281"/>
      <c r="AN27" s="1145"/>
    </row>
    <row r="28" spans="2:40" s="146" customFormat="1" ht="16.5" customHeight="1" thickBot="1" thickTop="1">
      <c r="B28" s="155"/>
      <c r="C28" s="156"/>
      <c r="D28" s="156"/>
      <c r="E28" s="1178"/>
      <c r="F28" s="164"/>
      <c r="G28" s="1179"/>
      <c r="H28" s="1094"/>
      <c r="I28" s="1180"/>
      <c r="J28" s="1094"/>
      <c r="K28" s="165"/>
      <c r="L28" s="165"/>
      <c r="M28" s="165"/>
      <c r="N28" s="1181"/>
      <c r="O28" s="165"/>
      <c r="P28" s="165"/>
      <c r="Q28" s="1182"/>
      <c r="R28" s="165"/>
      <c r="S28" s="165"/>
      <c r="T28" s="1183">
        <f>SUM(T18:T27)</f>
        <v>146708.108</v>
      </c>
      <c r="U28" s="1183" t="e">
        <f>SUM(U18:U27)</f>
        <v>#VALUE!</v>
      </c>
      <c r="V28" s="1183" t="e">
        <f>SUM(V18:V27)</f>
        <v>#VALUE!</v>
      </c>
      <c r="W28" s="1184"/>
      <c r="X28" s="1185"/>
      <c r="Y28" s="1184"/>
      <c r="Z28" s="1184"/>
      <c r="AA28" s="1184"/>
      <c r="AB28" s="1184"/>
      <c r="AC28" s="1184"/>
      <c r="AD28" s="1184"/>
      <c r="AE28" s="1184"/>
      <c r="AF28" s="1184"/>
      <c r="AG28" s="1184"/>
      <c r="AH28" s="1184"/>
      <c r="AI28" s="1183">
        <f>SUM(AI18:AI27)</f>
        <v>146708.108</v>
      </c>
      <c r="AJ28" s="1183">
        <f>SUM(AJ18:AJ27)</f>
        <v>733540.54</v>
      </c>
      <c r="AK28" s="1183">
        <f>SUM(AK18:AK27)</f>
        <v>696276.6805680002</v>
      </c>
      <c r="AL28" s="1184"/>
      <c r="AM28" s="1186">
        <f>ROUND(SUM(AM18:AM27),2)</f>
        <v>18445.06</v>
      </c>
      <c r="AN28" s="1145"/>
    </row>
    <row r="29" spans="2:40" ht="13.5" thickTop="1">
      <c r="B29" s="167"/>
      <c r="C29" s="168"/>
      <c r="D29" s="168"/>
      <c r="E29" s="166" t="s">
        <v>387</v>
      </c>
      <c r="F29" s="1187" t="s">
        <v>388</v>
      </c>
      <c r="AN29" s="1188"/>
    </row>
    <row r="30" spans="2:40" ht="12.75">
      <c r="B30" s="167"/>
      <c r="C30" s="168"/>
      <c r="D30" s="168"/>
      <c r="E30" s="166" t="s">
        <v>389</v>
      </c>
      <c r="F30" s="1187" t="s">
        <v>390</v>
      </c>
      <c r="AN30" s="1188"/>
    </row>
    <row r="31" spans="2:40" ht="12.75">
      <c r="B31" s="167"/>
      <c r="C31" s="168"/>
      <c r="D31" s="168"/>
      <c r="E31" s="1187" t="s">
        <v>391</v>
      </c>
      <c r="F31" s="1187" t="s">
        <v>392</v>
      </c>
      <c r="AN31" s="1188"/>
    </row>
    <row r="32" spans="2:40" ht="12.75">
      <c r="B32" s="167"/>
      <c r="C32" s="168"/>
      <c r="D32" s="168"/>
      <c r="E32" s="1187" t="s">
        <v>393</v>
      </c>
      <c r="F32" s="1187" t="s">
        <v>394</v>
      </c>
      <c r="AN32" s="1188"/>
    </row>
    <row r="33" spans="2:40" s="146" customFormat="1" ht="16.5" customHeight="1" thickBot="1">
      <c r="B33" s="1189"/>
      <c r="C33" s="1190"/>
      <c r="D33" s="1190"/>
      <c r="E33" s="1191"/>
      <c r="F33" s="1191"/>
      <c r="G33" s="1191"/>
      <c r="H33" s="1191"/>
      <c r="I33" s="1191"/>
      <c r="J33" s="1191"/>
      <c r="K33" s="1191"/>
      <c r="L33" s="1191"/>
      <c r="M33" s="1191"/>
      <c r="N33" s="1192"/>
      <c r="O33" s="1191"/>
      <c r="P33" s="1191"/>
      <c r="Q33" s="1191"/>
      <c r="R33" s="1191"/>
      <c r="S33" s="1191"/>
      <c r="T33" s="1191"/>
      <c r="U33" s="1191"/>
      <c r="V33" s="1191"/>
      <c r="W33" s="1192"/>
      <c r="X33" s="1191"/>
      <c r="Y33" s="1191"/>
      <c r="Z33" s="1192"/>
      <c r="AA33" s="1192"/>
      <c r="AB33" s="1192"/>
      <c r="AC33" s="1192"/>
      <c r="AD33" s="1192"/>
      <c r="AE33" s="1192"/>
      <c r="AF33" s="1192"/>
      <c r="AG33" s="1191"/>
      <c r="AH33" s="1191"/>
      <c r="AI33" s="1191"/>
      <c r="AJ33" s="1191"/>
      <c r="AK33" s="1191"/>
      <c r="AL33" s="1191"/>
      <c r="AM33" s="1191"/>
      <c r="AN33" s="1193"/>
    </row>
    <row r="34" spans="2:40" ht="16.5" customHeight="1" thickTop="1">
      <c r="B34" s="168"/>
      <c r="C34" s="168"/>
      <c r="D34" s="168"/>
      <c r="AN34" s="168"/>
    </row>
    <row r="35" spans="6:15" ht="15.75">
      <c r="F35" s="1194"/>
      <c r="G35" s="1194"/>
      <c r="H35" s="1194"/>
      <c r="I35" s="1194"/>
      <c r="J35" s="1194"/>
      <c r="K35" s="1194"/>
      <c r="L35" s="1194"/>
      <c r="M35" s="1194"/>
      <c r="N35" s="1195"/>
      <c r="O35" s="1194"/>
    </row>
    <row r="36" spans="6:15" ht="15.75">
      <c r="F36" s="1194"/>
      <c r="G36" s="1194"/>
      <c r="H36" s="1194"/>
      <c r="I36" s="1194"/>
      <c r="J36" s="1194"/>
      <c r="K36" s="1194"/>
      <c r="L36" s="1194"/>
      <c r="M36" s="1194"/>
      <c r="N36" s="1195"/>
      <c r="O36" s="1194"/>
    </row>
    <row r="37" spans="6:15" ht="15.75">
      <c r="F37" s="1194"/>
      <c r="G37" s="1194"/>
      <c r="H37" s="1194"/>
      <c r="I37" s="1194"/>
      <c r="J37" s="1194"/>
      <c r="K37" s="1194"/>
      <c r="L37" s="1194"/>
      <c r="M37" s="1194"/>
      <c r="N37" s="1195"/>
      <c r="O37" s="1194"/>
    </row>
    <row r="38" spans="6:15" ht="15.75">
      <c r="F38" s="1194"/>
      <c r="G38" s="1194"/>
      <c r="H38" s="1194"/>
      <c r="I38" s="1194"/>
      <c r="J38" s="1194"/>
      <c r="K38" s="1194"/>
      <c r="L38" s="1194"/>
      <c r="M38" s="1194"/>
      <c r="N38" s="1195"/>
      <c r="O38" s="1194"/>
    </row>
  </sheetData>
  <mergeCells count="2">
    <mergeCell ref="C20:C22"/>
    <mergeCell ref="C23:C26"/>
  </mergeCells>
  <printOptions/>
  <pageMargins left="0.75" right="0.75" top="1" bottom="1" header="0" footer="0"/>
  <pageSetup fitToHeight="1" fitToWidth="1" horizontalDpi="600" verticalDpi="600" orientation="landscape" paperSize="9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5" zoomScaleNormal="75" workbookViewId="0" topLeftCell="A1">
      <selection activeCell="AE30" sqref="AE3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4.42187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9.8515625" style="0" hidden="1" customWidth="1"/>
    <col min="21" max="21" width="11.281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2"/>
    </row>
    <row r="2" spans="1:30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30" s="5" customFormat="1" ht="13.5" thickTop="1">
      <c r="B7" s="69"/>
      <c r="C7" s="70"/>
      <c r="D7" s="70"/>
      <c r="E7" s="22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2"/>
    </row>
    <row r="8" spans="2:30" s="29" customFormat="1" ht="20.25">
      <c r="B8" s="79"/>
      <c r="C8" s="30"/>
      <c r="D8" s="201" t="s">
        <v>66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6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6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360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6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+'TOT-0908'!B14</f>
        <v>Desde el 01 al 30 de septiembre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23"/>
      <c r="O14" s="223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6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24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83</v>
      </c>
      <c r="E16" s="904">
        <v>89.969</v>
      </c>
      <c r="F16" s="2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84</v>
      </c>
      <c r="E17" s="904">
        <v>74.974</v>
      </c>
      <c r="F17" s="225"/>
      <c r="G17" s="4"/>
      <c r="H17" s="4"/>
      <c r="I17" s="4"/>
      <c r="J17" s="226"/>
      <c r="K17" s="227"/>
      <c r="L17" s="4"/>
      <c r="M17" s="4"/>
      <c r="N17" s="4"/>
      <c r="O17" s="4"/>
      <c r="P17" s="4"/>
      <c r="Q17" s="4"/>
      <c r="R17" s="4"/>
      <c r="S17" s="4"/>
      <c r="T17" s="4"/>
      <c r="U17" s="4"/>
      <c r="V17" s="114"/>
      <c r="W17" s="114"/>
      <c r="X17" s="114"/>
      <c r="Y17" s="114"/>
      <c r="Z17" s="114"/>
      <c r="AA17" s="114"/>
      <c r="AB17" s="114"/>
      <c r="AD17" s="17"/>
    </row>
    <row r="18" spans="2:30" s="5" customFormat="1" ht="16.5" customHeight="1" thickBot="1" thickTop="1">
      <c r="B18" s="50"/>
      <c r="C18" s="4"/>
      <c r="D18" s="4"/>
      <c r="E18" s="228"/>
      <c r="F18" s="4"/>
      <c r="G18" s="4"/>
      <c r="H18" s="4"/>
      <c r="I18" s="4"/>
      <c r="J18" s="4"/>
      <c r="K18" s="4"/>
      <c r="L18" s="4"/>
      <c r="M18" s="4"/>
      <c r="N18" s="22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12</v>
      </c>
      <c r="D19" s="85" t="s">
        <v>0</v>
      </c>
      <c r="E19" s="825" t="s">
        <v>13</v>
      </c>
      <c r="F19" s="86" t="s">
        <v>14</v>
      </c>
      <c r="G19" s="230" t="s">
        <v>68</v>
      </c>
      <c r="H19" s="826" t="s">
        <v>35</v>
      </c>
      <c r="I19" s="827" t="s">
        <v>15</v>
      </c>
      <c r="J19" s="85" t="s">
        <v>16</v>
      </c>
      <c r="K19" s="204" t="s">
        <v>17</v>
      </c>
      <c r="L19" s="87" t="s">
        <v>34</v>
      </c>
      <c r="M19" s="86" t="s">
        <v>29</v>
      </c>
      <c r="N19" s="87" t="s">
        <v>18</v>
      </c>
      <c r="O19" s="86" t="s">
        <v>56</v>
      </c>
      <c r="P19" s="204" t="s">
        <v>57</v>
      </c>
      <c r="Q19" s="85" t="s">
        <v>30</v>
      </c>
      <c r="R19" s="135" t="s">
        <v>19</v>
      </c>
      <c r="S19" s="828" t="s">
        <v>20</v>
      </c>
      <c r="T19" s="231" t="s">
        <v>58</v>
      </c>
      <c r="U19" s="232"/>
      <c r="V19" s="233"/>
      <c r="W19" s="829" t="s">
        <v>131</v>
      </c>
      <c r="X19" s="830"/>
      <c r="Y19" s="831"/>
      <c r="Z19" s="234" t="s">
        <v>21</v>
      </c>
      <c r="AA19" s="235" t="s">
        <v>69</v>
      </c>
      <c r="AB19" s="131" t="s">
        <v>70</v>
      </c>
      <c r="AC19" s="131" t="s">
        <v>22</v>
      </c>
      <c r="AD19" s="236"/>
    </row>
    <row r="20" spans="2:30" s="5" customFormat="1" ht="16.5" customHeight="1" thickTop="1">
      <c r="B20" s="50"/>
      <c r="C20" s="180"/>
      <c r="D20" s="854"/>
      <c r="E20" s="855"/>
      <c r="F20" s="908"/>
      <c r="G20" s="855"/>
      <c r="H20" s="843"/>
      <c r="I20" s="844"/>
      <c r="J20" s="856"/>
      <c r="K20" s="857"/>
      <c r="L20" s="212"/>
      <c r="M20" s="213"/>
      <c r="N20" s="243"/>
      <c r="O20" s="214"/>
      <c r="P20" s="178"/>
      <c r="Q20" s="178"/>
      <c r="R20" s="847"/>
      <c r="S20" s="848"/>
      <c r="T20" s="245"/>
      <c r="U20" s="246"/>
      <c r="V20" s="247"/>
      <c r="W20" s="849"/>
      <c r="X20" s="850"/>
      <c r="Y20" s="851"/>
      <c r="Z20" s="248"/>
      <c r="AA20" s="249"/>
      <c r="AB20" s="852"/>
      <c r="AC20" s="16"/>
      <c r="AD20" s="853"/>
    </row>
    <row r="21" spans="2:30" s="5" customFormat="1" ht="16.5" customHeight="1">
      <c r="B21" s="50"/>
      <c r="C21" s="171">
        <v>7</v>
      </c>
      <c r="D21" s="171" t="s">
        <v>257</v>
      </c>
      <c r="E21" s="173">
        <v>500</v>
      </c>
      <c r="F21" s="1036">
        <v>194</v>
      </c>
      <c r="G21" s="173" t="s">
        <v>230</v>
      </c>
      <c r="H21" s="843">
        <f aca="true" t="shared" si="0" ref="H21:H26">IF(G21="A",200,IF(G21="B",60,20))</f>
        <v>20</v>
      </c>
      <c r="I21" s="844">
        <f aca="true" t="shared" si="1" ref="I21:I26">IF(E21=500,IF(F21&lt;100,100*$E$16/100,F21*$E$16/100),IF(F21&lt;100,100*$E$17/100,F21*$E$17/100))</f>
        <v>174.53985999999998</v>
      </c>
      <c r="J21" s="210">
        <v>39707.572916666664</v>
      </c>
      <c r="K21" s="242">
        <v>39707.57777777778</v>
      </c>
      <c r="L21" s="212">
        <f aca="true" t="shared" si="2" ref="L21:L26">IF(D21="","",(K21-J21)*24)</f>
        <v>0.11666666669771075</v>
      </c>
      <c r="M21" s="213">
        <f aca="true" t="shared" si="3" ref="M21:M26">IF(D21="","",ROUND((K21-J21)*24*60,0))</f>
        <v>7</v>
      </c>
      <c r="N21" s="243" t="s">
        <v>252</v>
      </c>
      <c r="O21" s="214" t="str">
        <f aca="true" t="shared" si="4" ref="O21:O26">IF(D21="","","--")</f>
        <v>--</v>
      </c>
      <c r="P21" s="178" t="str">
        <f aca="true" t="shared" si="5" ref="P21:P26">IF(D21="","","NO")</f>
        <v>NO</v>
      </c>
      <c r="Q21" s="178" t="str">
        <f aca="true" t="shared" si="6" ref="Q21:Q26">IF(D21="","",IF(OR(N21="P",N21="RP"),"--","NO"))</f>
        <v>NO</v>
      </c>
      <c r="R21" s="847" t="str">
        <f aca="true" t="shared" si="7" ref="R21:R26">IF(N21="P",I21*H21*ROUND(M21/60,2)*0.01,"--")</f>
        <v>--</v>
      </c>
      <c r="S21" s="848" t="str">
        <f aca="true" t="shared" si="8" ref="S21:S26">IF(N21="RP",I21*H21*ROUND(M21/60,2)*0.01*O21/100,"--")</f>
        <v>--</v>
      </c>
      <c r="T21" s="245">
        <v>0</v>
      </c>
      <c r="U21" s="246" t="str">
        <f aca="true" t="shared" si="9" ref="U21:U26">IF(AND(N21="F",M21&gt;=10),I21*H21*IF(P21="SI",1.2,1)*IF(M21&lt;=300,ROUND(M21/60,2),5),"--")</f>
        <v>--</v>
      </c>
      <c r="V21" s="247" t="str">
        <f aca="true" t="shared" si="10" ref="V21:V26">IF(AND(N21="F",M21&gt;300),(ROUND(M21/60,2)-5)*I21*H21*0.1*IF(P21="SI",1.2,1),"--")</f>
        <v>--</v>
      </c>
      <c r="W21" s="849" t="str">
        <f aca="true" t="shared" si="11" ref="W21:W26">IF(AND(N21="R",Q21="NO"),I21*H21*O21/100*IF(P21="SI",1.2,1),"--")</f>
        <v>--</v>
      </c>
      <c r="X21" s="850" t="str">
        <f aca="true" t="shared" si="12" ref="X21:X26">IF(AND(N21="R",M21&gt;=10),I21*H21*O21/100*IF(P21="SI",1.2,1)*IF(M21&lt;=300,ROUND(M21/60,2),5),"--")</f>
        <v>--</v>
      </c>
      <c r="Y21" s="851" t="str">
        <f aca="true" t="shared" si="13" ref="Y21:Y26">IF(AND(N21="R",M21&gt;300),(ROUND(M21/60,2)-5)*I21*H21*0.1*O21/100*IF(P21="SI",1.2,1),"--")</f>
        <v>--</v>
      </c>
      <c r="Z21" s="248" t="str">
        <f aca="true" t="shared" si="14" ref="Z21:Z26">IF(N21="RF",ROUND(M21/60,2)*I21*H21*0.1*IF(P21="SI",1.2,1),"--")</f>
        <v>--</v>
      </c>
      <c r="AA21" s="249" t="str">
        <f aca="true" t="shared" si="15" ref="AA21:AA26">IF(N21="RR",ROUND(M21/60,2)*I21*H21*0.1*O21/100*IF(P21="SI",1.2,1),"--")</f>
        <v>--</v>
      </c>
      <c r="AB21" s="852" t="str">
        <f aca="true" t="shared" si="16" ref="AB21:AB26">IF(D21="","","SI")</f>
        <v>SI</v>
      </c>
      <c r="AC21" s="16">
        <f aca="true" t="shared" si="17" ref="AC21:AC26">IF(D21="","",SUM(R21:AA21)*IF(AB21="SI",1,2))</f>
        <v>0</v>
      </c>
      <c r="AD21" s="853"/>
    </row>
    <row r="22" spans="2:30" s="5" customFormat="1" ht="16.5" customHeight="1">
      <c r="B22" s="50"/>
      <c r="C22" s="297">
        <v>8</v>
      </c>
      <c r="D22" s="171" t="s">
        <v>257</v>
      </c>
      <c r="E22" s="173">
        <v>500</v>
      </c>
      <c r="F22" s="909">
        <v>194</v>
      </c>
      <c r="G22" s="173" t="s">
        <v>230</v>
      </c>
      <c r="H22" s="843">
        <f t="shared" si="0"/>
        <v>20</v>
      </c>
      <c r="I22" s="844">
        <f t="shared" si="1"/>
        <v>174.53985999999998</v>
      </c>
      <c r="J22" s="210">
        <v>39707.583333333336</v>
      </c>
      <c r="K22" s="242">
        <v>39707.6875</v>
      </c>
      <c r="L22" s="212">
        <f t="shared" si="2"/>
        <v>2.4999999999417923</v>
      </c>
      <c r="M22" s="213">
        <f t="shared" si="3"/>
        <v>150</v>
      </c>
      <c r="N22" s="243" t="s">
        <v>252</v>
      </c>
      <c r="O22" s="214" t="str">
        <f t="shared" si="4"/>
        <v>--</v>
      </c>
      <c r="P22" s="178" t="str">
        <f t="shared" si="5"/>
        <v>NO</v>
      </c>
      <c r="Q22" s="178" t="str">
        <f t="shared" si="6"/>
        <v>NO</v>
      </c>
      <c r="R22" s="847" t="str">
        <f t="shared" si="7"/>
        <v>--</v>
      </c>
      <c r="S22" s="848" t="str">
        <f t="shared" si="8"/>
        <v>--</v>
      </c>
      <c r="T22" s="245">
        <v>0</v>
      </c>
      <c r="U22" s="246">
        <f t="shared" si="9"/>
        <v>8726.992999999999</v>
      </c>
      <c r="V22" s="247" t="str">
        <f t="shared" si="10"/>
        <v>--</v>
      </c>
      <c r="W22" s="849" t="str">
        <f t="shared" si="11"/>
        <v>--</v>
      </c>
      <c r="X22" s="850" t="str">
        <f t="shared" si="12"/>
        <v>--</v>
      </c>
      <c r="Y22" s="851" t="str">
        <f t="shared" si="13"/>
        <v>--</v>
      </c>
      <c r="Z22" s="248" t="str">
        <f t="shared" si="14"/>
        <v>--</v>
      </c>
      <c r="AA22" s="249" t="str">
        <f t="shared" si="15"/>
        <v>--</v>
      </c>
      <c r="AB22" s="852" t="str">
        <f t="shared" si="16"/>
        <v>SI</v>
      </c>
      <c r="AC22" s="16">
        <f t="shared" si="17"/>
        <v>8726.992999999999</v>
      </c>
      <c r="AD22" s="853"/>
    </row>
    <row r="23" spans="2:30" s="5" customFormat="1" ht="16.5" customHeight="1">
      <c r="B23" s="50"/>
      <c r="C23" s="180"/>
      <c r="D23" s="171"/>
      <c r="E23" s="173"/>
      <c r="F23" s="909"/>
      <c r="G23" s="173"/>
      <c r="H23" s="843">
        <f t="shared" si="0"/>
        <v>20</v>
      </c>
      <c r="I23" s="844">
        <f t="shared" si="1"/>
        <v>74.974</v>
      </c>
      <c r="J23" s="210"/>
      <c r="K23" s="242"/>
      <c r="L23" s="212">
        <f t="shared" si="2"/>
      </c>
      <c r="M23" s="213">
        <f t="shared" si="3"/>
      </c>
      <c r="N23" s="243"/>
      <c r="O23" s="214">
        <f t="shared" si="4"/>
      </c>
      <c r="P23" s="178">
        <f t="shared" si="5"/>
      </c>
      <c r="Q23" s="178">
        <f t="shared" si="6"/>
      </c>
      <c r="R23" s="847" t="str">
        <f t="shared" si="7"/>
        <v>--</v>
      </c>
      <c r="S23" s="848" t="str">
        <f t="shared" si="8"/>
        <v>--</v>
      </c>
      <c r="T23" s="245">
        <v>0</v>
      </c>
      <c r="U23" s="246" t="str">
        <f t="shared" si="9"/>
        <v>--</v>
      </c>
      <c r="V23" s="247" t="str">
        <f t="shared" si="10"/>
        <v>--</v>
      </c>
      <c r="W23" s="849" t="str">
        <f t="shared" si="11"/>
        <v>--</v>
      </c>
      <c r="X23" s="850" t="str">
        <f t="shared" si="12"/>
        <v>--</v>
      </c>
      <c r="Y23" s="851" t="str">
        <f t="shared" si="13"/>
        <v>--</v>
      </c>
      <c r="Z23" s="248" t="str">
        <f t="shared" si="14"/>
        <v>--</v>
      </c>
      <c r="AA23" s="249" t="str">
        <f t="shared" si="15"/>
        <v>--</v>
      </c>
      <c r="AB23" s="852">
        <f t="shared" si="16"/>
      </c>
      <c r="AC23" s="16">
        <f t="shared" si="17"/>
      </c>
      <c r="AD23" s="853"/>
    </row>
    <row r="24" spans="2:30" s="5" customFormat="1" ht="16.5" customHeight="1">
      <c r="B24" s="50"/>
      <c r="C24" s="180"/>
      <c r="D24" s="171"/>
      <c r="E24" s="173"/>
      <c r="F24" s="909"/>
      <c r="G24" s="173"/>
      <c r="H24" s="843">
        <f t="shared" si="0"/>
        <v>20</v>
      </c>
      <c r="I24" s="844">
        <f t="shared" si="1"/>
        <v>74.974</v>
      </c>
      <c r="J24" s="210"/>
      <c r="K24" s="211"/>
      <c r="L24" s="212">
        <f t="shared" si="2"/>
      </c>
      <c r="M24" s="213">
        <f t="shared" si="3"/>
      </c>
      <c r="N24" s="243"/>
      <c r="O24" s="214">
        <f t="shared" si="4"/>
      </c>
      <c r="P24" s="178">
        <f t="shared" si="5"/>
      </c>
      <c r="Q24" s="178">
        <f t="shared" si="6"/>
      </c>
      <c r="R24" s="847" t="str">
        <f t="shared" si="7"/>
        <v>--</v>
      </c>
      <c r="S24" s="848" t="str">
        <f t="shared" si="8"/>
        <v>--</v>
      </c>
      <c r="T24" s="245">
        <v>0</v>
      </c>
      <c r="U24" s="246" t="str">
        <f t="shared" si="9"/>
        <v>--</v>
      </c>
      <c r="V24" s="247" t="str">
        <f t="shared" si="10"/>
        <v>--</v>
      </c>
      <c r="W24" s="849" t="str">
        <f t="shared" si="11"/>
        <v>--</v>
      </c>
      <c r="X24" s="850" t="str">
        <f t="shared" si="12"/>
        <v>--</v>
      </c>
      <c r="Y24" s="851" t="str">
        <f t="shared" si="13"/>
        <v>--</v>
      </c>
      <c r="Z24" s="248" t="str">
        <f t="shared" si="14"/>
        <v>--</v>
      </c>
      <c r="AA24" s="249" t="str">
        <f t="shared" si="15"/>
        <v>--</v>
      </c>
      <c r="AB24" s="852">
        <f t="shared" si="16"/>
      </c>
      <c r="AC24" s="16">
        <f t="shared" si="17"/>
      </c>
      <c r="AD24" s="853"/>
    </row>
    <row r="25" spans="2:30" s="5" customFormat="1" ht="16.5" customHeight="1">
      <c r="B25" s="50"/>
      <c r="C25" s="297"/>
      <c r="D25" s="171"/>
      <c r="E25" s="173"/>
      <c r="F25" s="909"/>
      <c r="G25" s="173"/>
      <c r="H25" s="843">
        <f t="shared" si="0"/>
        <v>20</v>
      </c>
      <c r="I25" s="844">
        <f t="shared" si="1"/>
        <v>74.974</v>
      </c>
      <c r="J25" s="210"/>
      <c r="K25" s="211"/>
      <c r="L25" s="212">
        <f t="shared" si="2"/>
      </c>
      <c r="M25" s="213">
        <f t="shared" si="3"/>
      </c>
      <c r="N25" s="243"/>
      <c r="O25" s="214">
        <f t="shared" si="4"/>
      </c>
      <c r="P25" s="178">
        <f t="shared" si="5"/>
      </c>
      <c r="Q25" s="178">
        <f t="shared" si="6"/>
      </c>
      <c r="R25" s="847" t="str">
        <f t="shared" si="7"/>
        <v>--</v>
      </c>
      <c r="S25" s="848" t="str">
        <f t="shared" si="8"/>
        <v>--</v>
      </c>
      <c r="T25" s="245">
        <v>0</v>
      </c>
      <c r="U25" s="246" t="str">
        <f t="shared" si="9"/>
        <v>--</v>
      </c>
      <c r="V25" s="247" t="str">
        <f t="shared" si="10"/>
        <v>--</v>
      </c>
      <c r="W25" s="849" t="str">
        <f t="shared" si="11"/>
        <v>--</v>
      </c>
      <c r="X25" s="850" t="str">
        <f t="shared" si="12"/>
        <v>--</v>
      </c>
      <c r="Y25" s="851" t="str">
        <f t="shared" si="13"/>
        <v>--</v>
      </c>
      <c r="Z25" s="248" t="str">
        <f t="shared" si="14"/>
        <v>--</v>
      </c>
      <c r="AA25" s="249" t="str">
        <f t="shared" si="15"/>
        <v>--</v>
      </c>
      <c r="AB25" s="852">
        <f t="shared" si="16"/>
      </c>
      <c r="AC25" s="16">
        <f t="shared" si="17"/>
      </c>
      <c r="AD25" s="853"/>
    </row>
    <row r="26" spans="2:30" s="5" customFormat="1" ht="16.5" customHeight="1">
      <c r="B26" s="50"/>
      <c r="C26" s="180"/>
      <c r="D26" s="180"/>
      <c r="E26" s="209"/>
      <c r="F26" s="907"/>
      <c r="G26" s="209"/>
      <c r="H26" s="843">
        <f t="shared" si="0"/>
        <v>20</v>
      </c>
      <c r="I26" s="844">
        <f t="shared" si="1"/>
        <v>74.974</v>
      </c>
      <c r="J26" s="845"/>
      <c r="K26" s="846"/>
      <c r="L26" s="212">
        <f t="shared" si="2"/>
      </c>
      <c r="M26" s="213">
        <f t="shared" si="3"/>
      </c>
      <c r="N26" s="243"/>
      <c r="O26" s="214">
        <f t="shared" si="4"/>
      </c>
      <c r="P26" s="178">
        <f t="shared" si="5"/>
      </c>
      <c r="Q26" s="178">
        <f t="shared" si="6"/>
      </c>
      <c r="R26" s="847" t="str">
        <f t="shared" si="7"/>
        <v>--</v>
      </c>
      <c r="S26" s="848" t="str">
        <f t="shared" si="8"/>
        <v>--</v>
      </c>
      <c r="T26" s="245">
        <v>0</v>
      </c>
      <c r="U26" s="246" t="str">
        <f t="shared" si="9"/>
        <v>--</v>
      </c>
      <c r="V26" s="247" t="str">
        <f t="shared" si="10"/>
        <v>--</v>
      </c>
      <c r="W26" s="849" t="str">
        <f t="shared" si="11"/>
        <v>--</v>
      </c>
      <c r="X26" s="850" t="str">
        <f t="shared" si="12"/>
        <v>--</v>
      </c>
      <c r="Y26" s="851" t="str">
        <f t="shared" si="13"/>
        <v>--</v>
      </c>
      <c r="Z26" s="248" t="str">
        <f t="shared" si="14"/>
        <v>--</v>
      </c>
      <c r="AA26" s="249" t="str">
        <f t="shared" si="15"/>
        <v>--</v>
      </c>
      <c r="AB26" s="852">
        <f t="shared" si="16"/>
      </c>
      <c r="AC26" s="16">
        <f t="shared" si="17"/>
      </c>
      <c r="AD26" s="853"/>
    </row>
    <row r="27" spans="2:30" s="5" customFormat="1" ht="16.5" customHeight="1" thickBot="1">
      <c r="B27" s="50"/>
      <c r="C27" s="180"/>
      <c r="D27" s="175"/>
      <c r="E27" s="251"/>
      <c r="F27" s="903"/>
      <c r="G27" s="252"/>
      <c r="H27" s="858"/>
      <c r="I27" s="859"/>
      <c r="J27" s="898"/>
      <c r="K27" s="898"/>
      <c r="L27" s="9"/>
      <c r="M27" s="9"/>
      <c r="N27" s="177"/>
      <c r="O27" s="216"/>
      <c r="P27" s="177"/>
      <c r="Q27" s="177"/>
      <c r="R27" s="860"/>
      <c r="S27" s="861"/>
      <c r="T27" s="253"/>
      <c r="U27" s="254"/>
      <c r="V27" s="255"/>
      <c r="W27" s="862"/>
      <c r="X27" s="863"/>
      <c r="Y27" s="864"/>
      <c r="Z27" s="256"/>
      <c r="AA27" s="257"/>
      <c r="AB27" s="865"/>
      <c r="AC27" s="258"/>
      <c r="AD27" s="853"/>
    </row>
    <row r="28" spans="2:30" s="5" customFormat="1" ht="16.5" customHeight="1" thickBot="1" thickTop="1">
      <c r="B28" s="50"/>
      <c r="C28" s="126" t="s">
        <v>23</v>
      </c>
      <c r="D28" s="127" t="s">
        <v>361</v>
      </c>
      <c r="E28" s="259"/>
      <c r="F28" s="228"/>
      <c r="G28" s="260"/>
      <c r="H28" s="228"/>
      <c r="I28" s="217"/>
      <c r="J28" s="217"/>
      <c r="K28" s="217"/>
      <c r="L28" s="217"/>
      <c r="M28" s="217"/>
      <c r="N28" s="217"/>
      <c r="O28" s="261"/>
      <c r="P28" s="217"/>
      <c r="Q28" s="217"/>
      <c r="R28" s="866">
        <f aca="true" t="shared" si="18" ref="R28:AA28">SUM(R20:R27)</f>
        <v>0</v>
      </c>
      <c r="S28" s="867">
        <f t="shared" si="18"/>
        <v>0</v>
      </c>
      <c r="T28" s="868">
        <f t="shared" si="18"/>
        <v>0</v>
      </c>
      <c r="U28" s="868">
        <f t="shared" si="18"/>
        <v>8726.992999999999</v>
      </c>
      <c r="V28" s="868">
        <f t="shared" si="18"/>
        <v>0</v>
      </c>
      <c r="W28" s="869">
        <f t="shared" si="18"/>
        <v>0</v>
      </c>
      <c r="X28" s="869">
        <f t="shared" si="18"/>
        <v>0</v>
      </c>
      <c r="Y28" s="869">
        <f t="shared" si="18"/>
        <v>0</v>
      </c>
      <c r="Z28" s="262">
        <f t="shared" si="18"/>
        <v>0</v>
      </c>
      <c r="AA28" s="263">
        <f t="shared" si="18"/>
        <v>0</v>
      </c>
      <c r="AB28" s="264"/>
      <c r="AC28" s="265">
        <f>ROUND(SUM(AC20:AC27),2)</f>
        <v>8726.99</v>
      </c>
      <c r="AD28" s="853"/>
    </row>
    <row r="29" spans="2:30" s="1037" customFormat="1" ht="9.75" thickTop="1">
      <c r="B29" s="1038"/>
      <c r="C29" s="1039"/>
      <c r="D29" s="1040" t="s">
        <v>362</v>
      </c>
      <c r="E29" s="1041"/>
      <c r="F29" s="1042"/>
      <c r="G29" s="1043"/>
      <c r="H29" s="1042"/>
      <c r="I29" s="1044"/>
      <c r="J29" s="1044"/>
      <c r="K29" s="1044"/>
      <c r="L29" s="1044"/>
      <c r="M29" s="1044"/>
      <c r="N29" s="1044"/>
      <c r="O29" s="1045"/>
      <c r="P29" s="1044"/>
      <c r="Q29" s="1044"/>
      <c r="R29" s="1046"/>
      <c r="S29" s="1046"/>
      <c r="T29" s="1046"/>
      <c r="U29" s="1046"/>
      <c r="V29" s="1046"/>
      <c r="W29" s="1046"/>
      <c r="X29" s="1046"/>
      <c r="Y29" s="1046"/>
      <c r="Z29" s="1046"/>
      <c r="AA29" s="1046"/>
      <c r="AB29" s="1046"/>
      <c r="AC29" s="1047"/>
      <c r="AD29" s="1048"/>
    </row>
    <row r="30" spans="2:30" s="5" customFormat="1" ht="16.5" customHeight="1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</row>
    <row r="31" spans="2:30" ht="16.5" customHeight="1" thickTop="1">
      <c r="B31" s="1"/>
      <c r="AD31" s="1"/>
    </row>
  </sheetData>
  <printOptions/>
  <pageMargins left="0.75" right="0.75" top="1" bottom="1" header="0" footer="0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1"/>
  <sheetViews>
    <sheetView zoomScale="75" zoomScaleNormal="75" workbookViewId="0" topLeftCell="C10">
      <selection activeCell="C26" sqref="A26:IV2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2"/>
    </row>
    <row r="2" spans="1:30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30" s="5" customFormat="1" ht="13.5" thickTop="1">
      <c r="B7" s="69"/>
      <c r="C7" s="70"/>
      <c r="D7" s="70"/>
      <c r="E7" s="22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2"/>
    </row>
    <row r="8" spans="2:30" s="29" customFormat="1" ht="20.25">
      <c r="B8" s="79"/>
      <c r="C8" s="30"/>
      <c r="D8" s="201" t="s">
        <v>66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6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6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130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6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'TOT-0908'!B14</f>
        <v>Desde el 01 al 30 de septiembre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23"/>
      <c r="O14" s="223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6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24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83</v>
      </c>
      <c r="E16" s="904">
        <v>117.179</v>
      </c>
      <c r="F16" s="2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84</v>
      </c>
      <c r="E17" s="904">
        <v>97.649</v>
      </c>
      <c r="F17" s="225"/>
      <c r="G17" s="4"/>
      <c r="H17" s="4"/>
      <c r="I17" s="4"/>
      <c r="J17" s="226"/>
      <c r="K17" s="227"/>
      <c r="L17" s="4"/>
      <c r="M17" s="4"/>
      <c r="N17" s="4"/>
      <c r="O17" s="4"/>
      <c r="P17" s="4"/>
      <c r="Q17" s="4"/>
      <c r="R17" s="4"/>
      <c r="S17" s="4"/>
      <c r="T17" s="4"/>
      <c r="U17" s="4"/>
      <c r="V17" s="114"/>
      <c r="W17" s="114"/>
      <c r="X17" s="114"/>
      <c r="Y17" s="114"/>
      <c r="Z17" s="114"/>
      <c r="AA17" s="114"/>
      <c r="AB17" s="114"/>
      <c r="AD17" s="17"/>
    </row>
    <row r="18" spans="2:30" s="5" customFormat="1" ht="16.5" customHeight="1" thickBot="1" thickTop="1">
      <c r="B18" s="50"/>
      <c r="C18" s="4"/>
      <c r="D18" s="4"/>
      <c r="E18" s="228"/>
      <c r="F18" s="4"/>
      <c r="G18" s="4"/>
      <c r="H18" s="4"/>
      <c r="I18" s="4"/>
      <c r="J18" s="4"/>
      <c r="K18" s="4"/>
      <c r="L18" s="4"/>
      <c r="M18" s="4"/>
      <c r="N18" s="22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12</v>
      </c>
      <c r="D19" s="85" t="s">
        <v>0</v>
      </c>
      <c r="E19" s="825" t="s">
        <v>13</v>
      </c>
      <c r="F19" s="86" t="s">
        <v>14</v>
      </c>
      <c r="G19" s="230" t="s">
        <v>68</v>
      </c>
      <c r="H19" s="826" t="s">
        <v>35</v>
      </c>
      <c r="I19" s="827" t="s">
        <v>15</v>
      </c>
      <c r="J19" s="85" t="s">
        <v>16</v>
      </c>
      <c r="K19" s="204" t="s">
        <v>17</v>
      </c>
      <c r="L19" s="87" t="s">
        <v>34</v>
      </c>
      <c r="M19" s="86" t="s">
        <v>29</v>
      </c>
      <c r="N19" s="87" t="s">
        <v>18</v>
      </c>
      <c r="O19" s="86" t="s">
        <v>56</v>
      </c>
      <c r="P19" s="204" t="s">
        <v>57</v>
      </c>
      <c r="Q19" s="85" t="s">
        <v>30</v>
      </c>
      <c r="R19" s="135" t="s">
        <v>19</v>
      </c>
      <c r="S19" s="828" t="s">
        <v>20</v>
      </c>
      <c r="T19" s="231" t="s">
        <v>58</v>
      </c>
      <c r="U19" s="232"/>
      <c r="V19" s="233"/>
      <c r="W19" s="829" t="s">
        <v>131</v>
      </c>
      <c r="X19" s="830"/>
      <c r="Y19" s="831"/>
      <c r="Z19" s="234" t="s">
        <v>21</v>
      </c>
      <c r="AA19" s="235" t="s">
        <v>69</v>
      </c>
      <c r="AB19" s="131" t="s">
        <v>70</v>
      </c>
      <c r="AC19" s="131" t="s">
        <v>22</v>
      </c>
      <c r="AD19" s="236"/>
    </row>
    <row r="20" spans="2:30" s="5" customFormat="1" ht="16.5" customHeight="1" thickTop="1">
      <c r="B20" s="50"/>
      <c r="C20" s="206"/>
      <c r="D20" s="883"/>
      <c r="E20" s="883"/>
      <c r="F20" s="905"/>
      <c r="G20" s="882"/>
      <c r="H20" s="884"/>
      <c r="I20" s="885"/>
      <c r="J20" s="897"/>
      <c r="K20" s="897"/>
      <c r="L20" s="882"/>
      <c r="M20" s="882"/>
      <c r="N20" s="882"/>
      <c r="O20" s="882"/>
      <c r="P20" s="882"/>
      <c r="Q20" s="882"/>
      <c r="R20" s="886"/>
      <c r="S20" s="887"/>
      <c r="T20" s="888"/>
      <c r="U20" s="889"/>
      <c r="V20" s="890"/>
      <c r="W20" s="891"/>
      <c r="X20" s="892"/>
      <c r="Y20" s="893"/>
      <c r="Z20" s="894"/>
      <c r="AA20" s="895"/>
      <c r="AB20" s="882"/>
      <c r="AC20" s="832"/>
      <c r="AD20" s="17"/>
    </row>
    <row r="21" spans="2:30" s="5" customFormat="1" ht="16.5" customHeight="1">
      <c r="B21" s="50"/>
      <c r="C21" s="297"/>
      <c r="D21" s="207"/>
      <c r="E21" s="7"/>
      <c r="F21" s="906"/>
      <c r="G21" s="207"/>
      <c r="H21" s="833"/>
      <c r="I21" s="834"/>
      <c r="J21" s="237"/>
      <c r="K21" s="114"/>
      <c r="L21" s="207"/>
      <c r="M21" s="207"/>
      <c r="N21" s="208"/>
      <c r="O21" s="207"/>
      <c r="P21" s="207"/>
      <c r="Q21" s="207"/>
      <c r="R21" s="835"/>
      <c r="S21" s="836"/>
      <c r="T21" s="837"/>
      <c r="U21" s="838"/>
      <c r="V21" s="839"/>
      <c r="W21" s="840"/>
      <c r="X21" s="841"/>
      <c r="Y21" s="842"/>
      <c r="Z21" s="238"/>
      <c r="AA21" s="239"/>
      <c r="AB21" s="207"/>
      <c r="AC21" s="240"/>
      <c r="AD21" s="17"/>
    </row>
    <row r="22" spans="2:30" s="5" customFormat="1" ht="16.5" customHeight="1">
      <c r="B22" s="50"/>
      <c r="C22" s="180">
        <v>1</v>
      </c>
      <c r="D22" s="180" t="s">
        <v>249</v>
      </c>
      <c r="E22" s="209">
        <v>220</v>
      </c>
      <c r="F22" s="907">
        <v>61</v>
      </c>
      <c r="G22" s="209" t="s">
        <v>230</v>
      </c>
      <c r="H22" s="843">
        <f aca="true" t="shared" si="0" ref="H22:H37">IF(G22="A",200,IF(G22="B",60,20))</f>
        <v>20</v>
      </c>
      <c r="I22" s="844">
        <f aca="true" t="shared" si="1" ref="I22:I37">IF(E22=500,IF(F22&lt;100,100*$E$16/100,F22*$E$16/100),IF(F22&lt;100,100*$E$17/100,F22*$E$17/100))</f>
        <v>97.649</v>
      </c>
      <c r="J22" s="845">
        <v>39695.38125</v>
      </c>
      <c r="K22" s="846">
        <v>39695.54305555556</v>
      </c>
      <c r="L22" s="212">
        <f aca="true" t="shared" si="2" ref="L22:L37">IF(D22="","",(K22-J22)*24)</f>
        <v>3.8833333334187046</v>
      </c>
      <c r="M22" s="213">
        <f aca="true" t="shared" si="3" ref="M22:M37">IF(D22="","",ROUND((K22-J22)*24*60,0))</f>
        <v>233</v>
      </c>
      <c r="N22" s="243" t="s">
        <v>222</v>
      </c>
      <c r="O22" s="214" t="str">
        <f aca="true" t="shared" si="4" ref="O22:O37">IF(D22="","","--")</f>
        <v>--</v>
      </c>
      <c r="P22" s="178" t="str">
        <f aca="true" t="shared" si="5" ref="P22:P37">IF(D22="","","NO")</f>
        <v>NO</v>
      </c>
      <c r="Q22" s="178" t="str">
        <f aca="true" t="shared" si="6" ref="Q22:Q37">IF(D22="","",IF(OR(N22="P",N22="RP"),"--","NO"))</f>
        <v>--</v>
      </c>
      <c r="R22" s="847">
        <f aca="true" t="shared" si="7" ref="R22:R37">IF(N22="P",I22*H22*ROUND(M22/60,2)*0.01,"--")</f>
        <v>75.775624</v>
      </c>
      <c r="S22" s="848" t="str">
        <f aca="true" t="shared" si="8" ref="S22:S37">IF(N22="RP",I22*H22*ROUND(M22/60,2)*0.01*O22/100,"--")</f>
        <v>--</v>
      </c>
      <c r="T22" s="245" t="str">
        <f aca="true" t="shared" si="9" ref="T22:T37">IF(AND(N22="F",Q22="NO"),I22*H22*IF(P22="SI",1.2,1),"--")</f>
        <v>--</v>
      </c>
      <c r="U22" s="246" t="str">
        <f aca="true" t="shared" si="10" ref="U22:U37">IF(AND(N22="F",M22&gt;=10),I22*H22*IF(P22="SI",1.2,1)*IF(M22&lt;=300,ROUND(M22/60,2),5),"--")</f>
        <v>--</v>
      </c>
      <c r="V22" s="247" t="str">
        <f aca="true" t="shared" si="11" ref="V22:V37">IF(AND(N22="F",M22&gt;300),(ROUND(M22/60,2)-5)*I22*H22*0.1*IF(P22="SI",1.2,1),"--")</f>
        <v>--</v>
      </c>
      <c r="W22" s="849" t="str">
        <f aca="true" t="shared" si="12" ref="W22:W37">IF(AND(N22="R",Q22="NO"),I22*H22*O22/100*IF(P22="SI",1.2,1),"--")</f>
        <v>--</v>
      </c>
      <c r="X22" s="850" t="str">
        <f aca="true" t="shared" si="13" ref="X22:X37">IF(AND(N22="R",M22&gt;=10),I22*H22*O22/100*IF(P22="SI",1.2,1)*IF(M22&lt;=300,ROUND(M22/60,2),5),"--")</f>
        <v>--</v>
      </c>
      <c r="Y22" s="851" t="str">
        <f aca="true" t="shared" si="14" ref="Y22:Y37">IF(AND(N22="R",M22&gt;300),(ROUND(M22/60,2)-5)*I22*H22*0.1*O22/100*IF(P22="SI",1.2,1),"--")</f>
        <v>--</v>
      </c>
      <c r="Z22" s="248" t="str">
        <f aca="true" t="shared" si="15" ref="Z22:Z37">IF(N22="RF",ROUND(M22/60,2)*I22*H22*0.1*IF(P22="SI",1.2,1),"--")</f>
        <v>--</v>
      </c>
      <c r="AA22" s="249" t="str">
        <f aca="true" t="shared" si="16" ref="AA22:AA37">IF(N22="RR",ROUND(M22/60,2)*I22*H22*0.1*O22/100*IF(P22="SI",1.2,1),"--")</f>
        <v>--</v>
      </c>
      <c r="AB22" s="852" t="s">
        <v>219</v>
      </c>
      <c r="AC22" s="16">
        <f aca="true" t="shared" si="17" ref="AC22:AC37">IF(D22="","",SUM(R22:AA22)*IF(AB22="SI",1,2))</f>
        <v>75.775624</v>
      </c>
      <c r="AD22" s="853"/>
    </row>
    <row r="23" spans="2:30" s="5" customFormat="1" ht="16.5" customHeight="1">
      <c r="B23" s="50"/>
      <c r="C23" s="297">
        <v>4</v>
      </c>
      <c r="D23" s="854" t="s">
        <v>254</v>
      </c>
      <c r="E23" s="855">
        <v>500</v>
      </c>
      <c r="F23" s="908">
        <v>227</v>
      </c>
      <c r="G23" s="855" t="s">
        <v>251</v>
      </c>
      <c r="H23" s="843">
        <f t="shared" si="0"/>
        <v>200</v>
      </c>
      <c r="I23" s="844">
        <f t="shared" si="1"/>
        <v>265.99633</v>
      </c>
      <c r="J23" s="856">
        <v>39699.88680555556</v>
      </c>
      <c r="K23" s="857">
        <v>39700.760416666664</v>
      </c>
      <c r="L23" s="212">
        <f t="shared" si="2"/>
        <v>20.966666666558012</v>
      </c>
      <c r="M23" s="213">
        <f t="shared" si="3"/>
        <v>1258</v>
      </c>
      <c r="N23" s="243" t="s">
        <v>252</v>
      </c>
      <c r="O23" s="214" t="str">
        <f t="shared" si="4"/>
        <v>--</v>
      </c>
      <c r="P23" s="178" t="str">
        <f t="shared" si="5"/>
        <v>NO</v>
      </c>
      <c r="Q23" s="178" t="str">
        <f t="shared" si="6"/>
        <v>NO</v>
      </c>
      <c r="R23" s="847" t="str">
        <f t="shared" si="7"/>
        <v>--</v>
      </c>
      <c r="S23" s="848" t="str">
        <f t="shared" si="8"/>
        <v>--</v>
      </c>
      <c r="T23" s="245">
        <f t="shared" si="9"/>
        <v>53199.266</v>
      </c>
      <c r="U23" s="246">
        <f t="shared" si="10"/>
        <v>265996.33</v>
      </c>
      <c r="V23" s="247">
        <f t="shared" si="11"/>
        <v>84959.227802</v>
      </c>
      <c r="W23" s="849" t="str">
        <f t="shared" si="12"/>
        <v>--</v>
      </c>
      <c r="X23" s="850" t="str">
        <f t="shared" si="13"/>
        <v>--</v>
      </c>
      <c r="Y23" s="851" t="str">
        <f t="shared" si="14"/>
        <v>--</v>
      </c>
      <c r="Z23" s="248" t="str">
        <f t="shared" si="15"/>
        <v>--</v>
      </c>
      <c r="AA23" s="249" t="str">
        <f t="shared" si="16"/>
        <v>--</v>
      </c>
      <c r="AB23" s="852" t="s">
        <v>219</v>
      </c>
      <c r="AC23" s="16">
        <f t="shared" si="17"/>
        <v>404154.823802</v>
      </c>
      <c r="AD23" s="853"/>
    </row>
    <row r="24" spans="2:30" s="5" customFormat="1" ht="16.5" customHeight="1">
      <c r="B24" s="50"/>
      <c r="C24" s="180">
        <v>5</v>
      </c>
      <c r="D24" s="180" t="s">
        <v>255</v>
      </c>
      <c r="E24" s="209">
        <v>500</v>
      </c>
      <c r="F24" s="907">
        <v>150</v>
      </c>
      <c r="G24" s="209" t="s">
        <v>230</v>
      </c>
      <c r="H24" s="843">
        <f t="shared" si="0"/>
        <v>20</v>
      </c>
      <c r="I24" s="844">
        <f t="shared" si="1"/>
        <v>175.7685</v>
      </c>
      <c r="J24" s="845">
        <v>39705.34166666667</v>
      </c>
      <c r="K24" s="846">
        <v>39705.75902777778</v>
      </c>
      <c r="L24" s="212">
        <f t="shared" si="2"/>
        <v>10.016666666662786</v>
      </c>
      <c r="M24" s="213">
        <f t="shared" si="3"/>
        <v>601</v>
      </c>
      <c r="N24" s="243" t="s">
        <v>222</v>
      </c>
      <c r="O24" s="214" t="str">
        <f t="shared" si="4"/>
        <v>--</v>
      </c>
      <c r="P24" s="178" t="str">
        <f t="shared" si="5"/>
        <v>NO</v>
      </c>
      <c r="Q24" s="178" t="str">
        <f t="shared" si="6"/>
        <v>--</v>
      </c>
      <c r="R24" s="847">
        <f t="shared" si="7"/>
        <v>352.24007399999994</v>
      </c>
      <c r="S24" s="848" t="str">
        <f t="shared" si="8"/>
        <v>--</v>
      </c>
      <c r="T24" s="245" t="str">
        <f t="shared" si="9"/>
        <v>--</v>
      </c>
      <c r="U24" s="246" t="str">
        <f t="shared" si="10"/>
        <v>--</v>
      </c>
      <c r="V24" s="247" t="str">
        <f t="shared" si="11"/>
        <v>--</v>
      </c>
      <c r="W24" s="849" t="str">
        <f t="shared" si="12"/>
        <v>--</v>
      </c>
      <c r="X24" s="850" t="str">
        <f t="shared" si="13"/>
        <v>--</v>
      </c>
      <c r="Y24" s="851" t="str">
        <f t="shared" si="14"/>
        <v>--</v>
      </c>
      <c r="Z24" s="248" t="str">
        <f t="shared" si="15"/>
        <v>--</v>
      </c>
      <c r="AA24" s="249" t="str">
        <f t="shared" si="16"/>
        <v>--</v>
      </c>
      <c r="AB24" s="852" t="s">
        <v>219</v>
      </c>
      <c r="AC24" s="16">
        <f t="shared" si="17"/>
        <v>352.24007399999994</v>
      </c>
      <c r="AD24" s="853"/>
    </row>
    <row r="25" spans="2:30" s="5" customFormat="1" ht="16.5" customHeight="1">
      <c r="B25" s="50"/>
      <c r="C25" s="297">
        <v>6</v>
      </c>
      <c r="D25" s="180" t="s">
        <v>256</v>
      </c>
      <c r="E25" s="209">
        <v>220</v>
      </c>
      <c r="F25" s="907">
        <v>114</v>
      </c>
      <c r="G25" s="209" t="s">
        <v>230</v>
      </c>
      <c r="H25" s="843">
        <f t="shared" si="0"/>
        <v>20</v>
      </c>
      <c r="I25" s="844">
        <f t="shared" si="1"/>
        <v>111.31986</v>
      </c>
      <c r="J25" s="845">
        <v>39707.35625</v>
      </c>
      <c r="K25" s="846">
        <v>39707.69097222222</v>
      </c>
      <c r="L25" s="212">
        <f t="shared" si="2"/>
        <v>8.033333333325572</v>
      </c>
      <c r="M25" s="213">
        <f t="shared" si="3"/>
        <v>482</v>
      </c>
      <c r="N25" s="243" t="s">
        <v>222</v>
      </c>
      <c r="O25" s="214" t="str">
        <f t="shared" si="4"/>
        <v>--</v>
      </c>
      <c r="P25" s="178" t="str">
        <f t="shared" si="5"/>
        <v>NO</v>
      </c>
      <c r="Q25" s="178" t="str">
        <f t="shared" si="6"/>
        <v>--</v>
      </c>
      <c r="R25" s="847">
        <f t="shared" si="7"/>
        <v>178.77969516000002</v>
      </c>
      <c r="S25" s="848" t="str">
        <f t="shared" si="8"/>
        <v>--</v>
      </c>
      <c r="T25" s="245" t="str">
        <f t="shared" si="9"/>
        <v>--</v>
      </c>
      <c r="U25" s="246" t="str">
        <f t="shared" si="10"/>
        <v>--</v>
      </c>
      <c r="V25" s="247" t="str">
        <f t="shared" si="11"/>
        <v>--</v>
      </c>
      <c r="W25" s="849" t="str">
        <f t="shared" si="12"/>
        <v>--</v>
      </c>
      <c r="X25" s="850" t="str">
        <f t="shared" si="13"/>
        <v>--</v>
      </c>
      <c r="Y25" s="851" t="str">
        <f t="shared" si="14"/>
        <v>--</v>
      </c>
      <c r="Z25" s="248" t="str">
        <f t="shared" si="15"/>
        <v>--</v>
      </c>
      <c r="AA25" s="249" t="str">
        <f t="shared" si="16"/>
        <v>--</v>
      </c>
      <c r="AB25" s="852" t="s">
        <v>219</v>
      </c>
      <c r="AC25" s="16">
        <f t="shared" si="17"/>
        <v>178.77969516000002</v>
      </c>
      <c r="AD25" s="853"/>
    </row>
    <row r="26" spans="2:30" s="5" customFormat="1" ht="16.5" customHeight="1">
      <c r="B26" s="50"/>
      <c r="C26" s="180">
        <v>9</v>
      </c>
      <c r="D26" s="171" t="s">
        <v>343</v>
      </c>
      <c r="E26" s="173">
        <v>500</v>
      </c>
      <c r="F26" s="909">
        <v>304</v>
      </c>
      <c r="G26" s="173" t="s">
        <v>251</v>
      </c>
      <c r="H26" s="843">
        <f t="shared" si="0"/>
        <v>200</v>
      </c>
      <c r="I26" s="844">
        <f t="shared" si="1"/>
        <v>356.22416</v>
      </c>
      <c r="J26" s="210">
        <v>39707.82430555556</v>
      </c>
      <c r="K26" s="242">
        <v>39707.82847222222</v>
      </c>
      <c r="L26" s="212">
        <f t="shared" si="2"/>
        <v>0.09999999997671694</v>
      </c>
      <c r="M26" s="213">
        <f t="shared" si="3"/>
        <v>6</v>
      </c>
      <c r="N26" s="243" t="s">
        <v>252</v>
      </c>
      <c r="O26" s="214" t="str">
        <f t="shared" si="4"/>
        <v>--</v>
      </c>
      <c r="P26" s="178" t="str">
        <f t="shared" si="5"/>
        <v>NO</v>
      </c>
      <c r="Q26" s="178" t="str">
        <f t="shared" si="6"/>
        <v>NO</v>
      </c>
      <c r="R26" s="847" t="str">
        <f t="shared" si="7"/>
        <v>--</v>
      </c>
      <c r="S26" s="848" t="str">
        <f t="shared" si="8"/>
        <v>--</v>
      </c>
      <c r="T26" s="245">
        <f t="shared" si="9"/>
        <v>71244.832</v>
      </c>
      <c r="U26" s="246" t="str">
        <f t="shared" si="10"/>
        <v>--</v>
      </c>
      <c r="V26" s="247" t="str">
        <f t="shared" si="11"/>
        <v>--</v>
      </c>
      <c r="W26" s="849" t="str">
        <f t="shared" si="12"/>
        <v>--</v>
      </c>
      <c r="X26" s="850" t="str">
        <f t="shared" si="13"/>
        <v>--</v>
      </c>
      <c r="Y26" s="851" t="str">
        <f t="shared" si="14"/>
        <v>--</v>
      </c>
      <c r="Z26" s="248" t="str">
        <f t="shared" si="15"/>
        <v>--</v>
      </c>
      <c r="AA26" s="249" t="str">
        <f t="shared" si="16"/>
        <v>--</v>
      </c>
      <c r="AB26" s="852" t="s">
        <v>219</v>
      </c>
      <c r="AC26" s="16">
        <f t="shared" si="17"/>
        <v>71244.832</v>
      </c>
      <c r="AD26" s="853"/>
    </row>
    <row r="27" spans="2:30" s="5" customFormat="1" ht="16.5" customHeight="1">
      <c r="B27" s="50"/>
      <c r="C27" s="297">
        <v>10</v>
      </c>
      <c r="D27" s="171" t="s">
        <v>256</v>
      </c>
      <c r="E27" s="173">
        <v>220</v>
      </c>
      <c r="F27" s="909">
        <v>114</v>
      </c>
      <c r="G27" s="173" t="s">
        <v>230</v>
      </c>
      <c r="H27" s="843">
        <f t="shared" si="0"/>
        <v>20</v>
      </c>
      <c r="I27" s="844">
        <f t="shared" si="1"/>
        <v>111.31986</v>
      </c>
      <c r="J27" s="210">
        <v>39708.40625</v>
      </c>
      <c r="K27" s="242">
        <v>39708.71319444444</v>
      </c>
      <c r="L27" s="212">
        <f t="shared" si="2"/>
        <v>7.366666666581295</v>
      </c>
      <c r="M27" s="213">
        <f t="shared" si="3"/>
        <v>442</v>
      </c>
      <c r="N27" s="243" t="s">
        <v>222</v>
      </c>
      <c r="O27" s="214" t="str">
        <f t="shared" si="4"/>
        <v>--</v>
      </c>
      <c r="P27" s="178" t="str">
        <f t="shared" si="5"/>
        <v>NO</v>
      </c>
      <c r="Q27" s="178" t="str">
        <f t="shared" si="6"/>
        <v>--</v>
      </c>
      <c r="R27" s="847">
        <f t="shared" si="7"/>
        <v>164.08547364000003</v>
      </c>
      <c r="S27" s="848" t="str">
        <f t="shared" si="8"/>
        <v>--</v>
      </c>
      <c r="T27" s="245" t="str">
        <f t="shared" si="9"/>
        <v>--</v>
      </c>
      <c r="U27" s="246" t="str">
        <f t="shared" si="10"/>
        <v>--</v>
      </c>
      <c r="V27" s="247" t="str">
        <f t="shared" si="11"/>
        <v>--</v>
      </c>
      <c r="W27" s="849" t="str">
        <f t="shared" si="12"/>
        <v>--</v>
      </c>
      <c r="X27" s="850" t="str">
        <f t="shared" si="13"/>
        <v>--</v>
      </c>
      <c r="Y27" s="851" t="str">
        <f t="shared" si="14"/>
        <v>--</v>
      </c>
      <c r="Z27" s="248" t="str">
        <f t="shared" si="15"/>
        <v>--</v>
      </c>
      <c r="AA27" s="249" t="str">
        <f t="shared" si="16"/>
        <v>--</v>
      </c>
      <c r="AB27" s="852" t="s">
        <v>219</v>
      </c>
      <c r="AC27" s="16">
        <f t="shared" si="17"/>
        <v>164.08547364000003</v>
      </c>
      <c r="AD27" s="853"/>
    </row>
    <row r="28" spans="2:30" s="5" customFormat="1" ht="16.5" customHeight="1">
      <c r="B28" s="50"/>
      <c r="C28" s="180">
        <v>11</v>
      </c>
      <c r="D28" s="171" t="s">
        <v>343</v>
      </c>
      <c r="E28" s="173">
        <v>500</v>
      </c>
      <c r="F28" s="909">
        <v>304</v>
      </c>
      <c r="G28" s="173" t="s">
        <v>251</v>
      </c>
      <c r="H28" s="843">
        <f t="shared" si="0"/>
        <v>200</v>
      </c>
      <c r="I28" s="844">
        <f t="shared" si="1"/>
        <v>356.22416</v>
      </c>
      <c r="J28" s="210">
        <v>39709.0375</v>
      </c>
      <c r="K28" s="242">
        <v>39709.290972222225</v>
      </c>
      <c r="L28" s="212">
        <f t="shared" si="2"/>
        <v>6.083333333430346</v>
      </c>
      <c r="M28" s="213">
        <f t="shared" si="3"/>
        <v>365</v>
      </c>
      <c r="N28" s="243" t="s">
        <v>222</v>
      </c>
      <c r="O28" s="214" t="str">
        <f t="shared" si="4"/>
        <v>--</v>
      </c>
      <c r="P28" s="178" t="str">
        <f t="shared" si="5"/>
        <v>NO</v>
      </c>
      <c r="Q28" s="178" t="str">
        <f t="shared" si="6"/>
        <v>--</v>
      </c>
      <c r="R28" s="847">
        <f t="shared" si="7"/>
        <v>4331.6857856</v>
      </c>
      <c r="S28" s="848" t="str">
        <f t="shared" si="8"/>
        <v>--</v>
      </c>
      <c r="T28" s="245" t="str">
        <f t="shared" si="9"/>
        <v>--</v>
      </c>
      <c r="U28" s="246" t="str">
        <f t="shared" si="10"/>
        <v>--</v>
      </c>
      <c r="V28" s="247" t="str">
        <f t="shared" si="11"/>
        <v>--</v>
      </c>
      <c r="W28" s="849" t="str">
        <f t="shared" si="12"/>
        <v>--</v>
      </c>
      <c r="X28" s="850" t="str">
        <f t="shared" si="13"/>
        <v>--</v>
      </c>
      <c r="Y28" s="851" t="str">
        <f t="shared" si="14"/>
        <v>--</v>
      </c>
      <c r="Z28" s="248" t="str">
        <f t="shared" si="15"/>
        <v>--</v>
      </c>
      <c r="AA28" s="249" t="str">
        <f t="shared" si="16"/>
        <v>--</v>
      </c>
      <c r="AB28" s="852" t="s">
        <v>219</v>
      </c>
      <c r="AC28" s="16">
        <f t="shared" si="17"/>
        <v>4331.6857856</v>
      </c>
      <c r="AD28" s="853"/>
    </row>
    <row r="29" spans="2:30" s="5" customFormat="1" ht="16.5" customHeight="1">
      <c r="B29" s="50"/>
      <c r="C29" s="297">
        <v>12</v>
      </c>
      <c r="D29" s="171" t="s">
        <v>258</v>
      </c>
      <c r="E29" s="173">
        <v>220</v>
      </c>
      <c r="F29" s="909">
        <v>114</v>
      </c>
      <c r="G29" s="173" t="s">
        <v>230</v>
      </c>
      <c r="H29" s="843">
        <f t="shared" si="0"/>
        <v>20</v>
      </c>
      <c r="I29" s="844">
        <f t="shared" si="1"/>
        <v>111.31986</v>
      </c>
      <c r="J29" s="210">
        <v>39709.34097222222</v>
      </c>
      <c r="K29" s="211">
        <v>39709.691666666666</v>
      </c>
      <c r="L29" s="212">
        <f t="shared" si="2"/>
        <v>8.41666666668607</v>
      </c>
      <c r="M29" s="213">
        <f t="shared" si="3"/>
        <v>505</v>
      </c>
      <c r="N29" s="243" t="s">
        <v>222</v>
      </c>
      <c r="O29" s="214" t="str">
        <f t="shared" si="4"/>
        <v>--</v>
      </c>
      <c r="P29" s="178" t="str">
        <f t="shared" si="5"/>
        <v>NO</v>
      </c>
      <c r="Q29" s="178" t="str">
        <f t="shared" si="6"/>
        <v>--</v>
      </c>
      <c r="R29" s="847">
        <f t="shared" si="7"/>
        <v>187.46264424000006</v>
      </c>
      <c r="S29" s="848" t="str">
        <f t="shared" si="8"/>
        <v>--</v>
      </c>
      <c r="T29" s="245" t="str">
        <f t="shared" si="9"/>
        <v>--</v>
      </c>
      <c r="U29" s="246" t="str">
        <f t="shared" si="10"/>
        <v>--</v>
      </c>
      <c r="V29" s="247" t="str">
        <f t="shared" si="11"/>
        <v>--</v>
      </c>
      <c r="W29" s="849" t="str">
        <f t="shared" si="12"/>
        <v>--</v>
      </c>
      <c r="X29" s="850" t="str">
        <f t="shared" si="13"/>
        <v>--</v>
      </c>
      <c r="Y29" s="851" t="str">
        <f t="shared" si="14"/>
        <v>--</v>
      </c>
      <c r="Z29" s="248" t="str">
        <f t="shared" si="15"/>
        <v>--</v>
      </c>
      <c r="AA29" s="249" t="str">
        <f t="shared" si="16"/>
        <v>--</v>
      </c>
      <c r="AB29" s="852" t="s">
        <v>219</v>
      </c>
      <c r="AC29" s="16">
        <f t="shared" si="17"/>
        <v>187.46264424000006</v>
      </c>
      <c r="AD29" s="853"/>
    </row>
    <row r="30" spans="2:30" s="5" customFormat="1" ht="16.5" customHeight="1">
      <c r="B30" s="50"/>
      <c r="C30" s="180">
        <v>13</v>
      </c>
      <c r="D30" s="171" t="s">
        <v>258</v>
      </c>
      <c r="E30" s="173">
        <v>220</v>
      </c>
      <c r="F30" s="909">
        <v>114</v>
      </c>
      <c r="G30" s="173" t="s">
        <v>230</v>
      </c>
      <c r="H30" s="843">
        <f t="shared" si="0"/>
        <v>20</v>
      </c>
      <c r="I30" s="844">
        <f t="shared" si="1"/>
        <v>111.31986</v>
      </c>
      <c r="J30" s="210">
        <v>39710.35208333333</v>
      </c>
      <c r="K30" s="211">
        <v>39710.57638888889</v>
      </c>
      <c r="L30" s="212">
        <f t="shared" si="2"/>
        <v>5.383333333418705</v>
      </c>
      <c r="M30" s="213">
        <f t="shared" si="3"/>
        <v>323</v>
      </c>
      <c r="N30" s="243" t="s">
        <v>222</v>
      </c>
      <c r="O30" s="214" t="str">
        <f t="shared" si="4"/>
        <v>--</v>
      </c>
      <c r="P30" s="178" t="str">
        <f t="shared" si="5"/>
        <v>NO</v>
      </c>
      <c r="Q30" s="178" t="str">
        <f t="shared" si="6"/>
        <v>--</v>
      </c>
      <c r="R30" s="847">
        <f t="shared" si="7"/>
        <v>119.78016936000002</v>
      </c>
      <c r="S30" s="848" t="str">
        <f t="shared" si="8"/>
        <v>--</v>
      </c>
      <c r="T30" s="245" t="str">
        <f t="shared" si="9"/>
        <v>--</v>
      </c>
      <c r="U30" s="246" t="str">
        <f t="shared" si="10"/>
        <v>--</v>
      </c>
      <c r="V30" s="247" t="str">
        <f t="shared" si="11"/>
        <v>--</v>
      </c>
      <c r="W30" s="849" t="str">
        <f t="shared" si="12"/>
        <v>--</v>
      </c>
      <c r="X30" s="850" t="str">
        <f t="shared" si="13"/>
        <v>--</v>
      </c>
      <c r="Y30" s="851" t="str">
        <f t="shared" si="14"/>
        <v>--</v>
      </c>
      <c r="Z30" s="248" t="str">
        <f t="shared" si="15"/>
        <v>--</v>
      </c>
      <c r="AA30" s="249" t="str">
        <f t="shared" si="16"/>
        <v>--</v>
      </c>
      <c r="AB30" s="852" t="s">
        <v>219</v>
      </c>
      <c r="AC30" s="16">
        <f t="shared" si="17"/>
        <v>119.78016936000002</v>
      </c>
      <c r="AD30" s="853"/>
    </row>
    <row r="31" spans="2:30" s="5" customFormat="1" ht="16.5" customHeight="1">
      <c r="B31" s="50"/>
      <c r="C31" s="297">
        <v>14</v>
      </c>
      <c r="D31" s="171" t="s">
        <v>259</v>
      </c>
      <c r="E31" s="173">
        <v>500</v>
      </c>
      <c r="F31" s="909">
        <v>165</v>
      </c>
      <c r="G31" s="173" t="s">
        <v>230</v>
      </c>
      <c r="H31" s="843">
        <f t="shared" si="0"/>
        <v>20</v>
      </c>
      <c r="I31" s="844">
        <f t="shared" si="1"/>
        <v>193.34535</v>
      </c>
      <c r="J31" s="210">
        <v>39711.396527777775</v>
      </c>
      <c r="K31" s="211">
        <v>39711.74791666667</v>
      </c>
      <c r="L31" s="212">
        <f t="shared" si="2"/>
        <v>8.433333333407063</v>
      </c>
      <c r="M31" s="213">
        <f t="shared" si="3"/>
        <v>506</v>
      </c>
      <c r="N31" s="243" t="s">
        <v>222</v>
      </c>
      <c r="O31" s="214" t="str">
        <f t="shared" si="4"/>
        <v>--</v>
      </c>
      <c r="P31" s="178" t="str">
        <f t="shared" si="5"/>
        <v>NO</v>
      </c>
      <c r="Q31" s="178" t="str">
        <f t="shared" si="6"/>
        <v>--</v>
      </c>
      <c r="R31" s="847">
        <f t="shared" si="7"/>
        <v>325.9802601</v>
      </c>
      <c r="S31" s="848" t="str">
        <f t="shared" si="8"/>
        <v>--</v>
      </c>
      <c r="T31" s="245" t="str">
        <f t="shared" si="9"/>
        <v>--</v>
      </c>
      <c r="U31" s="246" t="str">
        <f t="shared" si="10"/>
        <v>--</v>
      </c>
      <c r="V31" s="247" t="str">
        <f t="shared" si="11"/>
        <v>--</v>
      </c>
      <c r="W31" s="849" t="str">
        <f t="shared" si="12"/>
        <v>--</v>
      </c>
      <c r="X31" s="850" t="str">
        <f t="shared" si="13"/>
        <v>--</v>
      </c>
      <c r="Y31" s="851" t="str">
        <f t="shared" si="14"/>
        <v>--</v>
      </c>
      <c r="Z31" s="248" t="str">
        <f t="shared" si="15"/>
        <v>--</v>
      </c>
      <c r="AA31" s="249" t="str">
        <f t="shared" si="16"/>
        <v>--</v>
      </c>
      <c r="AB31" s="852" t="s">
        <v>219</v>
      </c>
      <c r="AC31" s="16">
        <f t="shared" si="17"/>
        <v>325.9802601</v>
      </c>
      <c r="AD31" s="853"/>
    </row>
    <row r="32" spans="2:30" s="5" customFormat="1" ht="16.5" customHeight="1">
      <c r="B32" s="50"/>
      <c r="C32" s="180">
        <v>15</v>
      </c>
      <c r="D32" s="171" t="s">
        <v>260</v>
      </c>
      <c r="E32" s="173">
        <v>500</v>
      </c>
      <c r="F32" s="909">
        <v>346</v>
      </c>
      <c r="G32" s="173" t="s">
        <v>251</v>
      </c>
      <c r="H32" s="843">
        <f t="shared" si="0"/>
        <v>200</v>
      </c>
      <c r="I32" s="844">
        <f t="shared" si="1"/>
        <v>405.43934</v>
      </c>
      <c r="J32" s="210">
        <v>39715.27291666667</v>
      </c>
      <c r="K32" s="211">
        <v>39715.27916666667</v>
      </c>
      <c r="L32" s="212">
        <f t="shared" si="2"/>
        <v>0.1499999999650754</v>
      </c>
      <c r="M32" s="213">
        <f t="shared" si="3"/>
        <v>9</v>
      </c>
      <c r="N32" s="243" t="s">
        <v>252</v>
      </c>
      <c r="O32" s="214" t="str">
        <f t="shared" si="4"/>
        <v>--</v>
      </c>
      <c r="P32" s="178" t="str">
        <f t="shared" si="5"/>
        <v>NO</v>
      </c>
      <c r="Q32" s="178" t="str">
        <f t="shared" si="6"/>
        <v>NO</v>
      </c>
      <c r="R32" s="847" t="str">
        <f t="shared" si="7"/>
        <v>--</v>
      </c>
      <c r="S32" s="848" t="str">
        <f t="shared" si="8"/>
        <v>--</v>
      </c>
      <c r="T32" s="245">
        <f t="shared" si="9"/>
        <v>81087.868</v>
      </c>
      <c r="U32" s="246" t="str">
        <f t="shared" si="10"/>
        <v>--</v>
      </c>
      <c r="V32" s="247" t="str">
        <f t="shared" si="11"/>
        <v>--</v>
      </c>
      <c r="W32" s="849" t="str">
        <f t="shared" si="12"/>
        <v>--</v>
      </c>
      <c r="X32" s="850" t="str">
        <f t="shared" si="13"/>
        <v>--</v>
      </c>
      <c r="Y32" s="851" t="str">
        <f t="shared" si="14"/>
        <v>--</v>
      </c>
      <c r="Z32" s="248" t="str">
        <f t="shared" si="15"/>
        <v>--</v>
      </c>
      <c r="AA32" s="249" t="str">
        <f t="shared" si="16"/>
        <v>--</v>
      </c>
      <c r="AB32" s="852" t="s">
        <v>219</v>
      </c>
      <c r="AC32" s="16">
        <f t="shared" si="17"/>
        <v>81087.868</v>
      </c>
      <c r="AD32" s="853"/>
    </row>
    <row r="33" spans="2:30" s="5" customFormat="1" ht="16.5" customHeight="1">
      <c r="B33" s="50"/>
      <c r="C33" s="297">
        <v>16</v>
      </c>
      <c r="D33" s="171" t="s">
        <v>261</v>
      </c>
      <c r="E33" s="173">
        <v>220</v>
      </c>
      <c r="F33" s="909">
        <v>6</v>
      </c>
      <c r="G33" s="173" t="s">
        <v>230</v>
      </c>
      <c r="H33" s="843">
        <f t="shared" si="0"/>
        <v>20</v>
      </c>
      <c r="I33" s="844">
        <f t="shared" si="1"/>
        <v>97.649</v>
      </c>
      <c r="J33" s="210">
        <v>39716.46111111111</v>
      </c>
      <c r="K33" s="211">
        <v>39716.87777777778</v>
      </c>
      <c r="L33" s="212">
        <f t="shared" si="2"/>
        <v>10.000000000116415</v>
      </c>
      <c r="M33" s="213">
        <f t="shared" si="3"/>
        <v>600</v>
      </c>
      <c r="N33" s="243" t="s">
        <v>222</v>
      </c>
      <c r="O33" s="214" t="str">
        <f t="shared" si="4"/>
        <v>--</v>
      </c>
      <c r="P33" s="178" t="str">
        <f t="shared" si="5"/>
        <v>NO</v>
      </c>
      <c r="Q33" s="178" t="str">
        <f t="shared" si="6"/>
        <v>--</v>
      </c>
      <c r="R33" s="847">
        <f t="shared" si="7"/>
        <v>195.298</v>
      </c>
      <c r="S33" s="848" t="str">
        <f t="shared" si="8"/>
        <v>--</v>
      </c>
      <c r="T33" s="245" t="str">
        <f t="shared" si="9"/>
        <v>--</v>
      </c>
      <c r="U33" s="246" t="str">
        <f t="shared" si="10"/>
        <v>--</v>
      </c>
      <c r="V33" s="247" t="str">
        <f t="shared" si="11"/>
        <v>--</v>
      </c>
      <c r="W33" s="849" t="str">
        <f t="shared" si="12"/>
        <v>--</v>
      </c>
      <c r="X33" s="850" t="str">
        <f t="shared" si="13"/>
        <v>--</v>
      </c>
      <c r="Y33" s="851" t="str">
        <f t="shared" si="14"/>
        <v>--</v>
      </c>
      <c r="Z33" s="248" t="str">
        <f t="shared" si="15"/>
        <v>--</v>
      </c>
      <c r="AA33" s="249" t="str">
        <f t="shared" si="16"/>
        <v>--</v>
      </c>
      <c r="AB33" s="852" t="s">
        <v>219</v>
      </c>
      <c r="AC33" s="16">
        <v>0</v>
      </c>
      <c r="AD33" s="853"/>
    </row>
    <row r="34" spans="2:30" s="5" customFormat="1" ht="16.5" customHeight="1">
      <c r="B34" s="50"/>
      <c r="C34" s="180">
        <v>17</v>
      </c>
      <c r="D34" s="171" t="s">
        <v>262</v>
      </c>
      <c r="E34" s="173">
        <v>500</v>
      </c>
      <c r="F34" s="909">
        <v>183.89999389648438</v>
      </c>
      <c r="G34" s="173" t="s">
        <v>230</v>
      </c>
      <c r="H34" s="843">
        <f t="shared" si="0"/>
        <v>20</v>
      </c>
      <c r="I34" s="844">
        <f t="shared" si="1"/>
        <v>215.49217384796142</v>
      </c>
      <c r="J34" s="210">
        <v>39717.56180555555</v>
      </c>
      <c r="K34" s="211">
        <v>39717.60138888889</v>
      </c>
      <c r="L34" s="212">
        <f t="shared" si="2"/>
        <v>0.9500000001280569</v>
      </c>
      <c r="M34" s="213">
        <f t="shared" si="3"/>
        <v>57</v>
      </c>
      <c r="N34" s="243" t="s">
        <v>252</v>
      </c>
      <c r="O34" s="214" t="str">
        <f t="shared" si="4"/>
        <v>--</v>
      </c>
      <c r="P34" s="178" t="str">
        <f t="shared" si="5"/>
        <v>NO</v>
      </c>
      <c r="Q34" s="178" t="s">
        <v>219</v>
      </c>
      <c r="R34" s="847" t="str">
        <f t="shared" si="7"/>
        <v>--</v>
      </c>
      <c r="S34" s="848" t="str">
        <f t="shared" si="8"/>
        <v>--</v>
      </c>
      <c r="T34" s="245" t="str">
        <f t="shared" si="9"/>
        <v>--</v>
      </c>
      <c r="U34" s="246">
        <f t="shared" si="10"/>
        <v>4094.351303111267</v>
      </c>
      <c r="V34" s="247" t="str">
        <f t="shared" si="11"/>
        <v>--</v>
      </c>
      <c r="W34" s="849" t="str">
        <f t="shared" si="12"/>
        <v>--</v>
      </c>
      <c r="X34" s="850" t="str">
        <f t="shared" si="13"/>
        <v>--</v>
      </c>
      <c r="Y34" s="851" t="str">
        <f t="shared" si="14"/>
        <v>--</v>
      </c>
      <c r="Z34" s="248" t="str">
        <f t="shared" si="15"/>
        <v>--</v>
      </c>
      <c r="AA34" s="249" t="str">
        <f t="shared" si="16"/>
        <v>--</v>
      </c>
      <c r="AB34" s="852" t="s">
        <v>219</v>
      </c>
      <c r="AC34" s="16">
        <f t="shared" si="17"/>
        <v>4094.351303111267</v>
      </c>
      <c r="AD34" s="853"/>
    </row>
    <row r="35" spans="2:30" s="5" customFormat="1" ht="16.5" customHeight="1">
      <c r="B35" s="50"/>
      <c r="C35" s="297">
        <v>18</v>
      </c>
      <c r="D35" s="171" t="s">
        <v>343</v>
      </c>
      <c r="E35" s="173">
        <v>500</v>
      </c>
      <c r="F35" s="909">
        <v>304</v>
      </c>
      <c r="G35" s="173" t="s">
        <v>251</v>
      </c>
      <c r="H35" s="843">
        <f t="shared" si="0"/>
        <v>200</v>
      </c>
      <c r="I35" s="844">
        <f t="shared" si="1"/>
        <v>356.22416</v>
      </c>
      <c r="J35" s="210">
        <v>39718.95208333333</v>
      </c>
      <c r="K35" s="211">
        <v>39718.95347222222</v>
      </c>
      <c r="L35" s="212">
        <f t="shared" si="2"/>
        <v>0.033333333441987634</v>
      </c>
      <c r="M35" s="213">
        <f t="shared" si="3"/>
        <v>2</v>
      </c>
      <c r="N35" s="243" t="s">
        <v>252</v>
      </c>
      <c r="O35" s="214" t="str">
        <f t="shared" si="4"/>
        <v>--</v>
      </c>
      <c r="P35" s="178" t="str">
        <f t="shared" si="5"/>
        <v>NO</v>
      </c>
      <c r="Q35" s="178" t="str">
        <f t="shared" si="6"/>
        <v>NO</v>
      </c>
      <c r="R35" s="847" t="str">
        <f t="shared" si="7"/>
        <v>--</v>
      </c>
      <c r="S35" s="848" t="str">
        <f t="shared" si="8"/>
        <v>--</v>
      </c>
      <c r="T35" s="245">
        <f t="shared" si="9"/>
        <v>71244.832</v>
      </c>
      <c r="U35" s="246" t="str">
        <f t="shared" si="10"/>
        <v>--</v>
      </c>
      <c r="V35" s="247" t="str">
        <f t="shared" si="11"/>
        <v>--</v>
      </c>
      <c r="W35" s="849" t="str">
        <f t="shared" si="12"/>
        <v>--</v>
      </c>
      <c r="X35" s="850" t="str">
        <f t="shared" si="13"/>
        <v>--</v>
      </c>
      <c r="Y35" s="851" t="str">
        <f t="shared" si="14"/>
        <v>--</v>
      </c>
      <c r="Z35" s="248" t="str">
        <f t="shared" si="15"/>
        <v>--</v>
      </c>
      <c r="AA35" s="249" t="str">
        <f t="shared" si="16"/>
        <v>--</v>
      </c>
      <c r="AB35" s="852" t="s">
        <v>219</v>
      </c>
      <c r="AC35" s="16">
        <f t="shared" si="17"/>
        <v>71244.832</v>
      </c>
      <c r="AD35" s="853"/>
    </row>
    <row r="36" spans="2:30" s="5" customFormat="1" ht="16.5" customHeight="1">
      <c r="B36" s="50"/>
      <c r="C36" s="180">
        <v>19</v>
      </c>
      <c r="D36" s="171" t="s">
        <v>253</v>
      </c>
      <c r="E36" s="173">
        <v>500</v>
      </c>
      <c r="F36" s="909">
        <v>313</v>
      </c>
      <c r="G36" s="173" t="s">
        <v>251</v>
      </c>
      <c r="H36" s="843">
        <f t="shared" si="0"/>
        <v>200</v>
      </c>
      <c r="I36" s="844">
        <f t="shared" si="1"/>
        <v>366.77027000000004</v>
      </c>
      <c r="J36" s="210">
        <v>39718.95208333333</v>
      </c>
      <c r="K36" s="211">
        <v>39719.4875</v>
      </c>
      <c r="L36" s="212">
        <f t="shared" si="2"/>
        <v>12.85000000015134</v>
      </c>
      <c r="M36" s="213">
        <f t="shared" si="3"/>
        <v>771</v>
      </c>
      <c r="N36" s="243" t="s">
        <v>252</v>
      </c>
      <c r="O36" s="214" t="str">
        <f t="shared" si="4"/>
        <v>--</v>
      </c>
      <c r="P36" s="178" t="str">
        <f t="shared" si="5"/>
        <v>NO</v>
      </c>
      <c r="Q36" s="178" t="str">
        <f t="shared" si="6"/>
        <v>NO</v>
      </c>
      <c r="R36" s="847" t="str">
        <f t="shared" si="7"/>
        <v>--</v>
      </c>
      <c r="S36" s="848" t="str">
        <f t="shared" si="8"/>
        <v>--</v>
      </c>
      <c r="T36" s="245">
        <f t="shared" si="9"/>
        <v>73354.054</v>
      </c>
      <c r="U36" s="246">
        <f t="shared" si="10"/>
        <v>366770.27</v>
      </c>
      <c r="V36" s="247">
        <f t="shared" si="11"/>
        <v>57582.93239000001</v>
      </c>
      <c r="W36" s="849" t="str">
        <f t="shared" si="12"/>
        <v>--</v>
      </c>
      <c r="X36" s="850" t="str">
        <f t="shared" si="13"/>
        <v>--</v>
      </c>
      <c r="Y36" s="851" t="str">
        <f t="shared" si="14"/>
        <v>--</v>
      </c>
      <c r="Z36" s="248" t="str">
        <f t="shared" si="15"/>
        <v>--</v>
      </c>
      <c r="AA36" s="249" t="str">
        <f t="shared" si="16"/>
        <v>--</v>
      </c>
      <c r="AB36" s="852" t="s">
        <v>219</v>
      </c>
      <c r="AC36" s="16">
        <f t="shared" si="17"/>
        <v>497707.25639000005</v>
      </c>
      <c r="AD36" s="853"/>
    </row>
    <row r="37" spans="2:30" s="5" customFormat="1" ht="16.5" customHeight="1">
      <c r="B37" s="50"/>
      <c r="C37" s="297"/>
      <c r="D37" s="171"/>
      <c r="E37" s="173"/>
      <c r="F37" s="909"/>
      <c r="G37" s="173"/>
      <c r="H37" s="843">
        <f t="shared" si="0"/>
        <v>20</v>
      </c>
      <c r="I37" s="844">
        <f t="shared" si="1"/>
        <v>97.649</v>
      </c>
      <c r="J37" s="210"/>
      <c r="K37" s="211"/>
      <c r="L37" s="212">
        <f t="shared" si="2"/>
      </c>
      <c r="M37" s="213">
        <f t="shared" si="3"/>
      </c>
      <c r="N37" s="243"/>
      <c r="O37" s="214">
        <f t="shared" si="4"/>
      </c>
      <c r="P37" s="178">
        <f t="shared" si="5"/>
      </c>
      <c r="Q37" s="178">
        <f t="shared" si="6"/>
      </c>
      <c r="R37" s="847" t="str">
        <f t="shared" si="7"/>
        <v>--</v>
      </c>
      <c r="S37" s="848" t="str">
        <f t="shared" si="8"/>
        <v>--</v>
      </c>
      <c r="T37" s="245" t="str">
        <f t="shared" si="9"/>
        <v>--</v>
      </c>
      <c r="U37" s="246" t="str">
        <f t="shared" si="10"/>
        <v>--</v>
      </c>
      <c r="V37" s="247" t="str">
        <f t="shared" si="11"/>
        <v>--</v>
      </c>
      <c r="W37" s="849" t="str">
        <f t="shared" si="12"/>
        <v>--</v>
      </c>
      <c r="X37" s="850" t="str">
        <f t="shared" si="13"/>
        <v>--</v>
      </c>
      <c r="Y37" s="851" t="str">
        <f t="shared" si="14"/>
        <v>--</v>
      </c>
      <c r="Z37" s="248" t="str">
        <f t="shared" si="15"/>
        <v>--</v>
      </c>
      <c r="AA37" s="249" t="str">
        <f t="shared" si="16"/>
        <v>--</v>
      </c>
      <c r="AB37" s="852">
        <f>IF(D37="","","SI")</f>
      </c>
      <c r="AC37" s="16">
        <f t="shared" si="17"/>
      </c>
      <c r="AD37" s="853"/>
    </row>
    <row r="38" spans="2:30" s="5" customFormat="1" ht="16.5" customHeight="1" thickBot="1">
      <c r="B38" s="50"/>
      <c r="C38" s="180"/>
      <c r="D38" s="175"/>
      <c r="E38" s="251"/>
      <c r="F38" s="903"/>
      <c r="G38" s="252"/>
      <c r="H38" s="858"/>
      <c r="I38" s="859"/>
      <c r="J38" s="898"/>
      <c r="K38" s="898"/>
      <c r="L38" s="9"/>
      <c r="M38" s="9"/>
      <c r="N38" s="177"/>
      <c r="O38" s="216"/>
      <c r="P38" s="177"/>
      <c r="Q38" s="177"/>
      <c r="R38" s="860"/>
      <c r="S38" s="861"/>
      <c r="T38" s="253"/>
      <c r="U38" s="254"/>
      <c r="V38" s="255"/>
      <c r="W38" s="862"/>
      <c r="X38" s="863"/>
      <c r="Y38" s="864"/>
      <c r="Z38" s="256"/>
      <c r="AA38" s="257"/>
      <c r="AB38" s="865"/>
      <c r="AC38" s="258"/>
      <c r="AD38" s="853"/>
    </row>
    <row r="39" spans="2:30" s="5" customFormat="1" ht="16.5" customHeight="1" thickBot="1" thickTop="1">
      <c r="B39" s="50"/>
      <c r="C39" s="126" t="s">
        <v>23</v>
      </c>
      <c r="D39" s="127" t="s">
        <v>340</v>
      </c>
      <c r="E39" s="259"/>
      <c r="F39" s="228"/>
      <c r="G39" s="260"/>
      <c r="H39" s="228"/>
      <c r="I39" s="217"/>
      <c r="J39" s="217"/>
      <c r="K39" s="217"/>
      <c r="L39" s="217"/>
      <c r="M39" s="217"/>
      <c r="N39" s="217"/>
      <c r="O39" s="261"/>
      <c r="P39" s="217"/>
      <c r="Q39" s="217"/>
      <c r="R39" s="866">
        <f aca="true" t="shared" si="18" ref="R39:AA39">SUM(R20:R38)</f>
        <v>5931.0877261000005</v>
      </c>
      <c r="S39" s="867">
        <f t="shared" si="18"/>
        <v>0</v>
      </c>
      <c r="T39" s="868">
        <f t="shared" si="18"/>
        <v>350130.852</v>
      </c>
      <c r="U39" s="868">
        <f t="shared" si="18"/>
        <v>636860.9513031113</v>
      </c>
      <c r="V39" s="868">
        <f t="shared" si="18"/>
        <v>142542.160192</v>
      </c>
      <c r="W39" s="869">
        <f t="shared" si="18"/>
        <v>0</v>
      </c>
      <c r="X39" s="869">
        <f t="shared" si="18"/>
        <v>0</v>
      </c>
      <c r="Y39" s="869">
        <f t="shared" si="18"/>
        <v>0</v>
      </c>
      <c r="Z39" s="262">
        <f t="shared" si="18"/>
        <v>0</v>
      </c>
      <c r="AA39" s="263">
        <f t="shared" si="18"/>
        <v>0</v>
      </c>
      <c r="AB39" s="264"/>
      <c r="AC39" s="265">
        <f>ROUND(SUM(AC20:AC38),2)</f>
        <v>1135269.75</v>
      </c>
      <c r="AD39" s="853"/>
    </row>
    <row r="40" spans="2:30" s="5" customFormat="1" ht="16.5" customHeight="1" thickBot="1" thickTop="1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2:30" ht="16.5" customHeight="1" thickTop="1">
      <c r="B41" s="1"/>
      <c r="AD41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5"/>
  <sheetViews>
    <sheetView zoomScale="75" zoomScaleNormal="75" workbookViewId="0" topLeftCell="C1">
      <selection activeCell="N24" sqref="N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2"/>
    </row>
    <row r="2" spans="1:30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30" s="5" customFormat="1" ht="13.5" thickTop="1">
      <c r="B7" s="69"/>
      <c r="C7" s="70"/>
      <c r="D7" s="70"/>
      <c r="E7" s="22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2"/>
    </row>
    <row r="8" spans="2:30" s="29" customFormat="1" ht="20.25">
      <c r="B8" s="79"/>
      <c r="C8" s="30"/>
      <c r="D8" s="201" t="s">
        <v>66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6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6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130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6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'TOT-0908'!B14</f>
        <v>Desde el 01 al 30 de septiembre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23"/>
      <c r="O14" s="223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6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24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83</v>
      </c>
      <c r="E16" s="904">
        <v>117.179</v>
      </c>
      <c r="F16" s="2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84</v>
      </c>
      <c r="E17" s="904">
        <v>97.649</v>
      </c>
      <c r="F17" s="225"/>
      <c r="G17" s="4"/>
      <c r="H17" s="4"/>
      <c r="I17" s="4"/>
      <c r="J17" s="226"/>
      <c r="K17" s="227"/>
      <c r="L17" s="4"/>
      <c r="M17" s="4"/>
      <c r="N17" s="4"/>
      <c r="O17" s="4"/>
      <c r="P17" s="4"/>
      <c r="Q17" s="4"/>
      <c r="R17" s="4"/>
      <c r="S17" s="4"/>
      <c r="T17" s="4"/>
      <c r="U17" s="4"/>
      <c r="V17" s="114"/>
      <c r="W17" s="114"/>
      <c r="X17" s="114"/>
      <c r="Y17" s="114"/>
      <c r="Z17" s="114"/>
      <c r="AA17" s="114"/>
      <c r="AB17" s="114"/>
      <c r="AD17" s="17"/>
    </row>
    <row r="18" spans="2:30" s="5" customFormat="1" ht="16.5" customHeight="1" thickBot="1" thickTop="1">
      <c r="B18" s="50"/>
      <c r="C18" s="4"/>
      <c r="D18" s="4"/>
      <c r="E18" s="228"/>
      <c r="F18" s="4"/>
      <c r="G18" s="4"/>
      <c r="H18" s="4"/>
      <c r="I18" s="4"/>
      <c r="J18" s="4"/>
      <c r="K18" s="4"/>
      <c r="L18" s="4"/>
      <c r="M18" s="4"/>
      <c r="N18" s="22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12</v>
      </c>
      <c r="D19" s="85" t="s">
        <v>0</v>
      </c>
      <c r="E19" s="825" t="s">
        <v>13</v>
      </c>
      <c r="F19" s="86" t="s">
        <v>14</v>
      </c>
      <c r="G19" s="230" t="s">
        <v>68</v>
      </c>
      <c r="H19" s="826" t="s">
        <v>35</v>
      </c>
      <c r="I19" s="827" t="s">
        <v>15</v>
      </c>
      <c r="J19" s="85" t="s">
        <v>16</v>
      </c>
      <c r="K19" s="204" t="s">
        <v>17</v>
      </c>
      <c r="L19" s="87" t="s">
        <v>34</v>
      </c>
      <c r="M19" s="86" t="s">
        <v>29</v>
      </c>
      <c r="N19" s="87" t="s">
        <v>18</v>
      </c>
      <c r="O19" s="86" t="s">
        <v>56</v>
      </c>
      <c r="P19" s="204" t="s">
        <v>57</v>
      </c>
      <c r="Q19" s="85" t="s">
        <v>30</v>
      </c>
      <c r="R19" s="135" t="s">
        <v>19</v>
      </c>
      <c r="S19" s="828" t="s">
        <v>20</v>
      </c>
      <c r="T19" s="231" t="s">
        <v>58</v>
      </c>
      <c r="U19" s="232"/>
      <c r="V19" s="233"/>
      <c r="W19" s="829" t="s">
        <v>131</v>
      </c>
      <c r="X19" s="830"/>
      <c r="Y19" s="831"/>
      <c r="Z19" s="234" t="s">
        <v>21</v>
      </c>
      <c r="AA19" s="235" t="s">
        <v>69</v>
      </c>
      <c r="AB19" s="131" t="s">
        <v>70</v>
      </c>
      <c r="AC19" s="131" t="s">
        <v>22</v>
      </c>
      <c r="AD19" s="236"/>
    </row>
    <row r="20" spans="2:30" s="5" customFormat="1" ht="16.5" customHeight="1" thickTop="1">
      <c r="B20" s="50"/>
      <c r="C20" s="206"/>
      <c r="D20" s="883"/>
      <c r="E20" s="883"/>
      <c r="F20" s="905"/>
      <c r="G20" s="882"/>
      <c r="H20" s="884"/>
      <c r="I20" s="885"/>
      <c r="J20" s="897"/>
      <c r="K20" s="897"/>
      <c r="L20" s="882"/>
      <c r="M20" s="882"/>
      <c r="N20" s="882"/>
      <c r="O20" s="882"/>
      <c r="P20" s="882"/>
      <c r="Q20" s="882"/>
      <c r="R20" s="886"/>
      <c r="S20" s="887"/>
      <c r="T20" s="888"/>
      <c r="U20" s="889"/>
      <c r="V20" s="890"/>
      <c r="W20" s="891"/>
      <c r="X20" s="892"/>
      <c r="Y20" s="893"/>
      <c r="Z20" s="894"/>
      <c r="AA20" s="895"/>
      <c r="AB20" s="882"/>
      <c r="AC20" s="832">
        <f>'LI-09 (1)'!AC39</f>
        <v>1135269.75</v>
      </c>
      <c r="AD20" s="17"/>
    </row>
    <row r="21" spans="2:30" s="5" customFormat="1" ht="16.5" customHeight="1">
      <c r="B21" s="50"/>
      <c r="C21" s="297"/>
      <c r="D21" s="207"/>
      <c r="E21" s="7"/>
      <c r="F21" s="906"/>
      <c r="G21" s="207"/>
      <c r="H21" s="833"/>
      <c r="I21" s="834"/>
      <c r="J21" s="237"/>
      <c r="K21" s="114"/>
      <c r="L21" s="207"/>
      <c r="M21" s="207"/>
      <c r="N21" s="208"/>
      <c r="O21" s="207"/>
      <c r="P21" s="207"/>
      <c r="Q21" s="207"/>
      <c r="R21" s="835"/>
      <c r="S21" s="836"/>
      <c r="T21" s="837"/>
      <c r="U21" s="838"/>
      <c r="V21" s="839"/>
      <c r="W21" s="840"/>
      <c r="X21" s="841"/>
      <c r="Y21" s="842"/>
      <c r="Z21" s="238"/>
      <c r="AA21" s="239"/>
      <c r="AB21" s="207"/>
      <c r="AC21" s="240"/>
      <c r="AD21" s="17"/>
    </row>
    <row r="22" spans="2:30" s="5" customFormat="1" ht="16.5" customHeight="1">
      <c r="B22" s="50"/>
      <c r="C22" s="180">
        <v>20</v>
      </c>
      <c r="D22" s="180" t="s">
        <v>263</v>
      </c>
      <c r="E22" s="209">
        <v>500</v>
      </c>
      <c r="F22" s="907">
        <v>202.93</v>
      </c>
      <c r="G22" s="209" t="s">
        <v>230</v>
      </c>
      <c r="H22" s="843">
        <f aca="true" t="shared" si="0" ref="H22:H41">IF(G22="A",200,IF(G22="B",60,20))</f>
        <v>20</v>
      </c>
      <c r="I22" s="844">
        <f aca="true" t="shared" si="1" ref="I22:I41">IF(E22=500,IF(F22&lt;100,100*$E$16/100,F22*$E$16/100),IF(F22&lt;100,100*$E$17/100,F22*$E$17/100))</f>
        <v>237.7913447</v>
      </c>
      <c r="J22" s="845">
        <v>39719.23819444444</v>
      </c>
      <c r="K22" s="846">
        <v>39719.77916666667</v>
      </c>
      <c r="L22" s="212">
        <f aca="true" t="shared" si="2" ref="L22:L41">IF(D22="","",(K22-J22)*24)</f>
        <v>12.983333333395422</v>
      </c>
      <c r="M22" s="213">
        <f aca="true" t="shared" si="3" ref="M22:M41">IF(D22="","",ROUND((K22-J22)*24*60,0))</f>
        <v>779</v>
      </c>
      <c r="N22" s="243" t="s">
        <v>222</v>
      </c>
      <c r="O22" s="214" t="str">
        <f aca="true" t="shared" si="4" ref="O22:O41">IF(D22="","","--")</f>
        <v>--</v>
      </c>
      <c r="P22" s="178" t="str">
        <f aca="true" t="shared" si="5" ref="P22:P41">IF(D22="","","NO")</f>
        <v>NO</v>
      </c>
      <c r="Q22" s="178" t="str">
        <f aca="true" t="shared" si="6" ref="Q22:Q41">IF(D22="","",IF(OR(N22="P",N22="RP"),"--","NO"))</f>
        <v>--</v>
      </c>
      <c r="R22" s="847">
        <f aca="true" t="shared" si="7" ref="R22:R41">IF(N22="P",I22*H22*ROUND(M22/60,2)*0.01,"--")</f>
        <v>617.3063308412</v>
      </c>
      <c r="S22" s="848" t="str">
        <f aca="true" t="shared" si="8" ref="S22:S41">IF(N22="RP",I22*H22*ROUND(M22/60,2)*0.01*O22/100,"--")</f>
        <v>--</v>
      </c>
      <c r="T22" s="245" t="str">
        <f aca="true" t="shared" si="9" ref="T22:T41">IF(AND(N22="F",Q22="NO"),I22*H22*IF(P22="SI",1.2,1),"--")</f>
        <v>--</v>
      </c>
      <c r="U22" s="246" t="str">
        <f aca="true" t="shared" si="10" ref="U22:U41">IF(AND(N22="F",M22&gt;=10),I22*H22*IF(P22="SI",1.2,1)*IF(M22&lt;=300,ROUND(M22/60,2),5),"--")</f>
        <v>--</v>
      </c>
      <c r="V22" s="247" t="str">
        <f aca="true" t="shared" si="11" ref="V22:V41">IF(AND(N22="F",M22&gt;300),(ROUND(M22/60,2)-5)*I22*H22*0.1*IF(P22="SI",1.2,1),"--")</f>
        <v>--</v>
      </c>
      <c r="W22" s="849" t="str">
        <f aca="true" t="shared" si="12" ref="W22:W41">IF(AND(N22="R",Q22="NO"),I22*H22*O22/100*IF(P22="SI",1.2,1),"--")</f>
        <v>--</v>
      </c>
      <c r="X22" s="850" t="str">
        <f aca="true" t="shared" si="13" ref="X22:X41">IF(AND(N22="R",M22&gt;=10),I22*H22*O22/100*IF(P22="SI",1.2,1)*IF(M22&lt;=300,ROUND(M22/60,2),5),"--")</f>
        <v>--</v>
      </c>
      <c r="Y22" s="851" t="str">
        <f aca="true" t="shared" si="14" ref="Y22:Y41">IF(AND(N22="R",M22&gt;300),(ROUND(M22/60,2)-5)*I22*H22*0.1*O22/100*IF(P22="SI",1.2,1),"--")</f>
        <v>--</v>
      </c>
      <c r="Z22" s="248" t="str">
        <f aca="true" t="shared" si="15" ref="Z22:Z41">IF(N22="RF",ROUND(M22/60,2)*I22*H22*0.1*IF(P22="SI",1.2,1),"--")</f>
        <v>--</v>
      </c>
      <c r="AA22" s="249" t="str">
        <f aca="true" t="shared" si="16" ref="AA22:AA41">IF(N22="RR",ROUND(M22/60,2)*I22*H22*0.1*O22/100*IF(P22="SI",1.2,1),"--")</f>
        <v>--</v>
      </c>
      <c r="AB22" s="852" t="s">
        <v>219</v>
      </c>
      <c r="AC22" s="16">
        <v>0</v>
      </c>
      <c r="AD22" s="853"/>
    </row>
    <row r="23" spans="2:30" s="5" customFormat="1" ht="16.5" customHeight="1">
      <c r="B23" s="50"/>
      <c r="C23" s="297">
        <v>21</v>
      </c>
      <c r="D23" s="180" t="s">
        <v>264</v>
      </c>
      <c r="E23" s="209">
        <v>500</v>
      </c>
      <c r="F23" s="907">
        <v>257</v>
      </c>
      <c r="G23" s="209" t="s">
        <v>265</v>
      </c>
      <c r="H23" s="843">
        <f t="shared" si="0"/>
        <v>60</v>
      </c>
      <c r="I23" s="844">
        <f t="shared" si="1"/>
        <v>301.15003</v>
      </c>
      <c r="J23" s="845">
        <v>39719.34444444445</v>
      </c>
      <c r="K23" s="846">
        <v>39719.73819444444</v>
      </c>
      <c r="L23" s="212">
        <f t="shared" si="2"/>
        <v>9.449999999895226</v>
      </c>
      <c r="M23" s="213">
        <f t="shared" si="3"/>
        <v>567</v>
      </c>
      <c r="N23" s="243" t="s">
        <v>222</v>
      </c>
      <c r="O23" s="214" t="str">
        <f t="shared" si="4"/>
        <v>--</v>
      </c>
      <c r="P23" s="178" t="str">
        <f t="shared" si="5"/>
        <v>NO</v>
      </c>
      <c r="Q23" s="178" t="str">
        <f t="shared" si="6"/>
        <v>--</v>
      </c>
      <c r="R23" s="847">
        <f t="shared" si="7"/>
        <v>1707.5206701</v>
      </c>
      <c r="S23" s="848" t="str">
        <f t="shared" si="8"/>
        <v>--</v>
      </c>
      <c r="T23" s="245" t="str">
        <f t="shared" si="9"/>
        <v>--</v>
      </c>
      <c r="U23" s="246" t="str">
        <f t="shared" si="10"/>
        <v>--</v>
      </c>
      <c r="V23" s="247" t="str">
        <f t="shared" si="11"/>
        <v>--</v>
      </c>
      <c r="W23" s="849" t="str">
        <f t="shared" si="12"/>
        <v>--</v>
      </c>
      <c r="X23" s="850" t="str">
        <f t="shared" si="13"/>
        <v>--</v>
      </c>
      <c r="Y23" s="851" t="str">
        <f t="shared" si="14"/>
        <v>--</v>
      </c>
      <c r="Z23" s="248" t="str">
        <f t="shared" si="15"/>
        <v>--</v>
      </c>
      <c r="AA23" s="249" t="str">
        <f t="shared" si="16"/>
        <v>--</v>
      </c>
      <c r="AB23" s="852" t="s">
        <v>219</v>
      </c>
      <c r="AC23" s="16">
        <f aca="true" t="shared" si="17" ref="AC23:AC41">IF(D23="","",SUM(R23:AA23)*IF(AB23="SI",1,2))</f>
        <v>1707.5206701</v>
      </c>
      <c r="AD23" s="853"/>
    </row>
    <row r="24" spans="2:30" s="5" customFormat="1" ht="16.5" customHeight="1">
      <c r="B24" s="50"/>
      <c r="C24" s="180">
        <v>22</v>
      </c>
      <c r="D24" s="854" t="s">
        <v>344</v>
      </c>
      <c r="E24" s="855">
        <v>500</v>
      </c>
      <c r="F24" s="908">
        <v>3</v>
      </c>
      <c r="G24" s="855" t="s">
        <v>230</v>
      </c>
      <c r="H24" s="843">
        <f t="shared" si="0"/>
        <v>20</v>
      </c>
      <c r="I24" s="844">
        <f t="shared" si="1"/>
        <v>117.179</v>
      </c>
      <c r="J24" s="856">
        <v>39720.308333333334</v>
      </c>
      <c r="K24" s="857">
        <v>39720.56041666667</v>
      </c>
      <c r="L24" s="212">
        <f t="shared" si="2"/>
        <v>6.0499999999883585</v>
      </c>
      <c r="M24" s="213">
        <f t="shared" si="3"/>
        <v>363</v>
      </c>
      <c r="N24" s="243" t="s">
        <v>222</v>
      </c>
      <c r="O24" s="214" t="str">
        <f t="shared" si="4"/>
        <v>--</v>
      </c>
      <c r="P24" s="178" t="str">
        <f t="shared" si="5"/>
        <v>NO</v>
      </c>
      <c r="Q24" s="178" t="str">
        <f t="shared" si="6"/>
        <v>--</v>
      </c>
      <c r="R24" s="847">
        <f t="shared" si="7"/>
        <v>141.78659</v>
      </c>
      <c r="S24" s="848" t="str">
        <f t="shared" si="8"/>
        <v>--</v>
      </c>
      <c r="T24" s="245" t="str">
        <f t="shared" si="9"/>
        <v>--</v>
      </c>
      <c r="U24" s="246" t="str">
        <f t="shared" si="10"/>
        <v>--</v>
      </c>
      <c r="V24" s="247" t="str">
        <f t="shared" si="11"/>
        <v>--</v>
      </c>
      <c r="W24" s="849" t="str">
        <f t="shared" si="12"/>
        <v>--</v>
      </c>
      <c r="X24" s="850" t="str">
        <f t="shared" si="13"/>
        <v>--</v>
      </c>
      <c r="Y24" s="851" t="str">
        <f t="shared" si="14"/>
        <v>--</v>
      </c>
      <c r="Z24" s="248" t="str">
        <f t="shared" si="15"/>
        <v>--</v>
      </c>
      <c r="AA24" s="249" t="str">
        <f t="shared" si="16"/>
        <v>--</v>
      </c>
      <c r="AB24" s="852" t="s">
        <v>219</v>
      </c>
      <c r="AC24" s="16">
        <v>0</v>
      </c>
      <c r="AD24" s="853"/>
    </row>
    <row r="25" spans="2:30" s="5" customFormat="1" ht="16.5" customHeight="1">
      <c r="B25" s="50"/>
      <c r="C25" s="297"/>
      <c r="D25" s="854"/>
      <c r="E25" s="855"/>
      <c r="F25" s="908"/>
      <c r="G25" s="855"/>
      <c r="H25" s="843">
        <f t="shared" si="0"/>
        <v>20</v>
      </c>
      <c r="I25" s="844">
        <f t="shared" si="1"/>
        <v>97.649</v>
      </c>
      <c r="J25" s="856"/>
      <c r="K25" s="857"/>
      <c r="L25" s="212">
        <f t="shared" si="2"/>
      </c>
      <c r="M25" s="213">
        <f t="shared" si="3"/>
      </c>
      <c r="N25" s="243"/>
      <c r="O25" s="214">
        <f t="shared" si="4"/>
      </c>
      <c r="P25" s="178">
        <f t="shared" si="5"/>
      </c>
      <c r="Q25" s="178">
        <f t="shared" si="6"/>
      </c>
      <c r="R25" s="847" t="str">
        <f t="shared" si="7"/>
        <v>--</v>
      </c>
      <c r="S25" s="848" t="str">
        <f t="shared" si="8"/>
        <v>--</v>
      </c>
      <c r="T25" s="245" t="str">
        <f t="shared" si="9"/>
        <v>--</v>
      </c>
      <c r="U25" s="246" t="str">
        <f t="shared" si="10"/>
        <v>--</v>
      </c>
      <c r="V25" s="247" t="str">
        <f t="shared" si="11"/>
        <v>--</v>
      </c>
      <c r="W25" s="849" t="str">
        <f t="shared" si="12"/>
        <v>--</v>
      </c>
      <c r="X25" s="850" t="str">
        <f t="shared" si="13"/>
        <v>--</v>
      </c>
      <c r="Y25" s="851" t="str">
        <f t="shared" si="14"/>
        <v>--</v>
      </c>
      <c r="Z25" s="248" t="str">
        <f t="shared" si="15"/>
        <v>--</v>
      </c>
      <c r="AA25" s="249" t="str">
        <f t="shared" si="16"/>
        <v>--</v>
      </c>
      <c r="AB25" s="852">
        <f aca="true" t="shared" si="18" ref="AB25:AB41">IF(D25="","","SI")</f>
      </c>
      <c r="AC25" s="16">
        <f t="shared" si="17"/>
      </c>
      <c r="AD25" s="853"/>
    </row>
    <row r="26" spans="2:30" s="5" customFormat="1" ht="16.5" customHeight="1">
      <c r="B26" s="50"/>
      <c r="C26" s="180"/>
      <c r="D26" s="180"/>
      <c r="E26" s="209"/>
      <c r="F26" s="907"/>
      <c r="G26" s="209"/>
      <c r="H26" s="843">
        <f t="shared" si="0"/>
        <v>20</v>
      </c>
      <c r="I26" s="844">
        <f t="shared" si="1"/>
        <v>97.649</v>
      </c>
      <c r="J26" s="845"/>
      <c r="K26" s="846"/>
      <c r="L26" s="212">
        <f t="shared" si="2"/>
      </c>
      <c r="M26" s="213">
        <f t="shared" si="3"/>
      </c>
      <c r="N26" s="243"/>
      <c r="O26" s="214">
        <f t="shared" si="4"/>
      </c>
      <c r="P26" s="178">
        <f t="shared" si="5"/>
      </c>
      <c r="Q26" s="178">
        <f t="shared" si="6"/>
      </c>
      <c r="R26" s="847" t="str">
        <f t="shared" si="7"/>
        <v>--</v>
      </c>
      <c r="S26" s="848" t="str">
        <f t="shared" si="8"/>
        <v>--</v>
      </c>
      <c r="T26" s="245" t="str">
        <f t="shared" si="9"/>
        <v>--</v>
      </c>
      <c r="U26" s="246" t="str">
        <f t="shared" si="10"/>
        <v>--</v>
      </c>
      <c r="V26" s="247" t="str">
        <f t="shared" si="11"/>
        <v>--</v>
      </c>
      <c r="W26" s="849" t="str">
        <f t="shared" si="12"/>
        <v>--</v>
      </c>
      <c r="X26" s="850" t="str">
        <f t="shared" si="13"/>
        <v>--</v>
      </c>
      <c r="Y26" s="851" t="str">
        <f t="shared" si="14"/>
        <v>--</v>
      </c>
      <c r="Z26" s="248" t="str">
        <f t="shared" si="15"/>
        <v>--</v>
      </c>
      <c r="AA26" s="249" t="str">
        <f t="shared" si="16"/>
        <v>--</v>
      </c>
      <c r="AB26" s="852">
        <f t="shared" si="18"/>
      </c>
      <c r="AC26" s="16">
        <f t="shared" si="17"/>
      </c>
      <c r="AD26" s="853"/>
    </row>
    <row r="27" spans="2:30" s="5" customFormat="1" ht="16.5" customHeight="1">
      <c r="B27" s="50"/>
      <c r="C27" s="297"/>
      <c r="D27" s="180"/>
      <c r="E27" s="209"/>
      <c r="F27" s="907"/>
      <c r="G27" s="209"/>
      <c r="H27" s="843">
        <f t="shared" si="0"/>
        <v>20</v>
      </c>
      <c r="I27" s="844">
        <f t="shared" si="1"/>
        <v>97.649</v>
      </c>
      <c r="J27" s="845"/>
      <c r="K27" s="846"/>
      <c r="L27" s="212">
        <f t="shared" si="2"/>
      </c>
      <c r="M27" s="213">
        <f t="shared" si="3"/>
      </c>
      <c r="N27" s="243"/>
      <c r="O27" s="214">
        <f t="shared" si="4"/>
      </c>
      <c r="P27" s="178">
        <f t="shared" si="5"/>
      </c>
      <c r="Q27" s="178">
        <f t="shared" si="6"/>
      </c>
      <c r="R27" s="847" t="str">
        <f t="shared" si="7"/>
        <v>--</v>
      </c>
      <c r="S27" s="848" t="str">
        <f t="shared" si="8"/>
        <v>--</v>
      </c>
      <c r="T27" s="245" t="str">
        <f t="shared" si="9"/>
        <v>--</v>
      </c>
      <c r="U27" s="246" t="str">
        <f t="shared" si="10"/>
        <v>--</v>
      </c>
      <c r="V27" s="247" t="str">
        <f t="shared" si="11"/>
        <v>--</v>
      </c>
      <c r="W27" s="849" t="str">
        <f t="shared" si="12"/>
        <v>--</v>
      </c>
      <c r="X27" s="850" t="str">
        <f t="shared" si="13"/>
        <v>--</v>
      </c>
      <c r="Y27" s="851" t="str">
        <f t="shared" si="14"/>
        <v>--</v>
      </c>
      <c r="Z27" s="248" t="str">
        <f t="shared" si="15"/>
        <v>--</v>
      </c>
      <c r="AA27" s="249" t="str">
        <f t="shared" si="16"/>
        <v>--</v>
      </c>
      <c r="AB27" s="852">
        <f t="shared" si="18"/>
      </c>
      <c r="AC27" s="16">
        <f t="shared" si="17"/>
      </c>
      <c r="AD27" s="853"/>
    </row>
    <row r="28" spans="2:30" s="5" customFormat="1" ht="16.5" customHeight="1">
      <c r="B28" s="50"/>
      <c r="C28" s="180"/>
      <c r="D28" s="171"/>
      <c r="E28" s="173"/>
      <c r="F28" s="909"/>
      <c r="G28" s="173"/>
      <c r="H28" s="843">
        <f t="shared" si="0"/>
        <v>20</v>
      </c>
      <c r="I28" s="844">
        <f t="shared" si="1"/>
        <v>97.649</v>
      </c>
      <c r="J28" s="210"/>
      <c r="K28" s="242"/>
      <c r="L28" s="212">
        <f t="shared" si="2"/>
      </c>
      <c r="M28" s="213">
        <f t="shared" si="3"/>
      </c>
      <c r="N28" s="243"/>
      <c r="O28" s="214">
        <f t="shared" si="4"/>
      </c>
      <c r="P28" s="178">
        <f t="shared" si="5"/>
      </c>
      <c r="Q28" s="178">
        <f t="shared" si="6"/>
      </c>
      <c r="R28" s="847" t="str">
        <f t="shared" si="7"/>
        <v>--</v>
      </c>
      <c r="S28" s="848" t="str">
        <f t="shared" si="8"/>
        <v>--</v>
      </c>
      <c r="T28" s="245" t="str">
        <f t="shared" si="9"/>
        <v>--</v>
      </c>
      <c r="U28" s="246" t="str">
        <f t="shared" si="10"/>
        <v>--</v>
      </c>
      <c r="V28" s="247" t="str">
        <f t="shared" si="11"/>
        <v>--</v>
      </c>
      <c r="W28" s="849" t="str">
        <f t="shared" si="12"/>
        <v>--</v>
      </c>
      <c r="X28" s="850" t="str">
        <f t="shared" si="13"/>
        <v>--</v>
      </c>
      <c r="Y28" s="851" t="str">
        <f t="shared" si="14"/>
        <v>--</v>
      </c>
      <c r="Z28" s="248" t="str">
        <f t="shared" si="15"/>
        <v>--</v>
      </c>
      <c r="AA28" s="249" t="str">
        <f t="shared" si="16"/>
        <v>--</v>
      </c>
      <c r="AB28" s="852">
        <f t="shared" si="18"/>
      </c>
      <c r="AC28" s="16">
        <f t="shared" si="17"/>
      </c>
      <c r="AD28" s="853"/>
    </row>
    <row r="29" spans="2:30" s="5" customFormat="1" ht="16.5" customHeight="1">
      <c r="B29" s="50"/>
      <c r="C29" s="297"/>
      <c r="D29" s="171"/>
      <c r="E29" s="173"/>
      <c r="F29" s="909"/>
      <c r="G29" s="173"/>
      <c r="H29" s="843">
        <f t="shared" si="0"/>
        <v>20</v>
      </c>
      <c r="I29" s="844">
        <f t="shared" si="1"/>
        <v>97.649</v>
      </c>
      <c r="J29" s="210"/>
      <c r="K29" s="242"/>
      <c r="L29" s="212">
        <f t="shared" si="2"/>
      </c>
      <c r="M29" s="213">
        <f t="shared" si="3"/>
      </c>
      <c r="N29" s="243"/>
      <c r="O29" s="214">
        <f t="shared" si="4"/>
      </c>
      <c r="P29" s="178">
        <f t="shared" si="5"/>
      </c>
      <c r="Q29" s="178">
        <f t="shared" si="6"/>
      </c>
      <c r="R29" s="847" t="str">
        <f t="shared" si="7"/>
        <v>--</v>
      </c>
      <c r="S29" s="848" t="str">
        <f t="shared" si="8"/>
        <v>--</v>
      </c>
      <c r="T29" s="245" t="str">
        <f t="shared" si="9"/>
        <v>--</v>
      </c>
      <c r="U29" s="246" t="str">
        <f t="shared" si="10"/>
        <v>--</v>
      </c>
      <c r="V29" s="247" t="str">
        <f t="shared" si="11"/>
        <v>--</v>
      </c>
      <c r="W29" s="849" t="str">
        <f t="shared" si="12"/>
        <v>--</v>
      </c>
      <c r="X29" s="850" t="str">
        <f t="shared" si="13"/>
        <v>--</v>
      </c>
      <c r="Y29" s="851" t="str">
        <f t="shared" si="14"/>
        <v>--</v>
      </c>
      <c r="Z29" s="248" t="str">
        <f t="shared" si="15"/>
        <v>--</v>
      </c>
      <c r="AA29" s="249" t="str">
        <f t="shared" si="16"/>
        <v>--</v>
      </c>
      <c r="AB29" s="852">
        <f t="shared" si="18"/>
      </c>
      <c r="AC29" s="16">
        <f t="shared" si="17"/>
      </c>
      <c r="AD29" s="853"/>
    </row>
    <row r="30" spans="2:30" s="5" customFormat="1" ht="16.5" customHeight="1">
      <c r="B30" s="50"/>
      <c r="C30" s="180"/>
      <c r="D30" s="171"/>
      <c r="E30" s="173"/>
      <c r="F30" s="909"/>
      <c r="G30" s="173"/>
      <c r="H30" s="843">
        <f t="shared" si="0"/>
        <v>20</v>
      </c>
      <c r="I30" s="844">
        <f t="shared" si="1"/>
        <v>97.649</v>
      </c>
      <c r="J30" s="210"/>
      <c r="K30" s="242"/>
      <c r="L30" s="212">
        <f t="shared" si="2"/>
      </c>
      <c r="M30" s="213">
        <f t="shared" si="3"/>
      </c>
      <c r="N30" s="243"/>
      <c r="O30" s="214">
        <f t="shared" si="4"/>
      </c>
      <c r="P30" s="178">
        <f t="shared" si="5"/>
      </c>
      <c r="Q30" s="178">
        <f t="shared" si="6"/>
      </c>
      <c r="R30" s="847" t="str">
        <f t="shared" si="7"/>
        <v>--</v>
      </c>
      <c r="S30" s="848" t="str">
        <f t="shared" si="8"/>
        <v>--</v>
      </c>
      <c r="T30" s="245" t="str">
        <f t="shared" si="9"/>
        <v>--</v>
      </c>
      <c r="U30" s="246" t="str">
        <f t="shared" si="10"/>
        <v>--</v>
      </c>
      <c r="V30" s="247" t="str">
        <f t="shared" si="11"/>
        <v>--</v>
      </c>
      <c r="W30" s="849" t="str">
        <f t="shared" si="12"/>
        <v>--</v>
      </c>
      <c r="X30" s="850" t="str">
        <f t="shared" si="13"/>
        <v>--</v>
      </c>
      <c r="Y30" s="851" t="str">
        <f t="shared" si="14"/>
        <v>--</v>
      </c>
      <c r="Z30" s="248" t="str">
        <f t="shared" si="15"/>
        <v>--</v>
      </c>
      <c r="AA30" s="249" t="str">
        <f t="shared" si="16"/>
        <v>--</v>
      </c>
      <c r="AB30" s="852">
        <f t="shared" si="18"/>
      </c>
      <c r="AC30" s="16">
        <f t="shared" si="17"/>
      </c>
      <c r="AD30" s="853"/>
    </row>
    <row r="31" spans="2:30" s="5" customFormat="1" ht="16.5" customHeight="1">
      <c r="B31" s="50"/>
      <c r="C31" s="297"/>
      <c r="D31" s="171"/>
      <c r="E31" s="173"/>
      <c r="F31" s="909"/>
      <c r="G31" s="173"/>
      <c r="H31" s="843">
        <f t="shared" si="0"/>
        <v>20</v>
      </c>
      <c r="I31" s="844">
        <f t="shared" si="1"/>
        <v>97.649</v>
      </c>
      <c r="J31" s="210"/>
      <c r="K31" s="242"/>
      <c r="L31" s="212">
        <f t="shared" si="2"/>
      </c>
      <c r="M31" s="213">
        <f t="shared" si="3"/>
      </c>
      <c r="N31" s="243"/>
      <c r="O31" s="214">
        <f t="shared" si="4"/>
      </c>
      <c r="P31" s="178">
        <f t="shared" si="5"/>
      </c>
      <c r="Q31" s="178">
        <f t="shared" si="6"/>
      </c>
      <c r="R31" s="847" t="str">
        <f t="shared" si="7"/>
        <v>--</v>
      </c>
      <c r="S31" s="848" t="str">
        <f t="shared" si="8"/>
        <v>--</v>
      </c>
      <c r="T31" s="245" t="str">
        <f t="shared" si="9"/>
        <v>--</v>
      </c>
      <c r="U31" s="246" t="str">
        <f t="shared" si="10"/>
        <v>--</v>
      </c>
      <c r="V31" s="247" t="str">
        <f t="shared" si="11"/>
        <v>--</v>
      </c>
      <c r="W31" s="849" t="str">
        <f t="shared" si="12"/>
        <v>--</v>
      </c>
      <c r="X31" s="850" t="str">
        <f t="shared" si="13"/>
        <v>--</v>
      </c>
      <c r="Y31" s="851" t="str">
        <f t="shared" si="14"/>
        <v>--</v>
      </c>
      <c r="Z31" s="248" t="str">
        <f t="shared" si="15"/>
        <v>--</v>
      </c>
      <c r="AA31" s="249" t="str">
        <f t="shared" si="16"/>
        <v>--</v>
      </c>
      <c r="AB31" s="852">
        <f t="shared" si="18"/>
      </c>
      <c r="AC31" s="16">
        <f t="shared" si="17"/>
      </c>
      <c r="AD31" s="853"/>
    </row>
    <row r="32" spans="2:30" s="5" customFormat="1" ht="16.5" customHeight="1">
      <c r="B32" s="50"/>
      <c r="C32" s="180"/>
      <c r="D32" s="171"/>
      <c r="E32" s="173"/>
      <c r="F32" s="909"/>
      <c r="G32" s="173"/>
      <c r="H32" s="843">
        <f t="shared" si="0"/>
        <v>20</v>
      </c>
      <c r="I32" s="844">
        <f t="shared" si="1"/>
        <v>97.649</v>
      </c>
      <c r="J32" s="210"/>
      <c r="K32" s="242"/>
      <c r="L32" s="212">
        <f t="shared" si="2"/>
      </c>
      <c r="M32" s="213">
        <f t="shared" si="3"/>
      </c>
      <c r="N32" s="243"/>
      <c r="O32" s="214">
        <f t="shared" si="4"/>
      </c>
      <c r="P32" s="178">
        <f t="shared" si="5"/>
      </c>
      <c r="Q32" s="178">
        <f t="shared" si="6"/>
      </c>
      <c r="R32" s="847" t="str">
        <f t="shared" si="7"/>
        <v>--</v>
      </c>
      <c r="S32" s="848" t="str">
        <f t="shared" si="8"/>
        <v>--</v>
      </c>
      <c r="T32" s="245" t="str">
        <f t="shared" si="9"/>
        <v>--</v>
      </c>
      <c r="U32" s="246" t="str">
        <f t="shared" si="10"/>
        <v>--</v>
      </c>
      <c r="V32" s="247" t="str">
        <f t="shared" si="11"/>
        <v>--</v>
      </c>
      <c r="W32" s="849" t="str">
        <f t="shared" si="12"/>
        <v>--</v>
      </c>
      <c r="X32" s="850" t="str">
        <f t="shared" si="13"/>
        <v>--</v>
      </c>
      <c r="Y32" s="851" t="str">
        <f t="shared" si="14"/>
        <v>--</v>
      </c>
      <c r="Z32" s="248" t="str">
        <f t="shared" si="15"/>
        <v>--</v>
      </c>
      <c r="AA32" s="249" t="str">
        <f t="shared" si="16"/>
        <v>--</v>
      </c>
      <c r="AB32" s="852">
        <f t="shared" si="18"/>
      </c>
      <c r="AC32" s="16">
        <f t="shared" si="17"/>
      </c>
      <c r="AD32" s="853"/>
    </row>
    <row r="33" spans="2:30" s="5" customFormat="1" ht="16.5" customHeight="1">
      <c r="B33" s="50"/>
      <c r="C33" s="297"/>
      <c r="D33" s="171"/>
      <c r="E33" s="173"/>
      <c r="F33" s="909"/>
      <c r="G33" s="173"/>
      <c r="H33" s="843">
        <f t="shared" si="0"/>
        <v>20</v>
      </c>
      <c r="I33" s="844">
        <f t="shared" si="1"/>
        <v>97.649</v>
      </c>
      <c r="J33" s="210"/>
      <c r="K33" s="211"/>
      <c r="L33" s="212">
        <f t="shared" si="2"/>
      </c>
      <c r="M33" s="213">
        <f t="shared" si="3"/>
      </c>
      <c r="N33" s="243"/>
      <c r="O33" s="214">
        <f t="shared" si="4"/>
      </c>
      <c r="P33" s="178">
        <f t="shared" si="5"/>
      </c>
      <c r="Q33" s="178">
        <f t="shared" si="6"/>
      </c>
      <c r="R33" s="847" t="str">
        <f t="shared" si="7"/>
        <v>--</v>
      </c>
      <c r="S33" s="848" t="str">
        <f t="shared" si="8"/>
        <v>--</v>
      </c>
      <c r="T33" s="245" t="str">
        <f t="shared" si="9"/>
        <v>--</v>
      </c>
      <c r="U33" s="246" t="str">
        <f t="shared" si="10"/>
        <v>--</v>
      </c>
      <c r="V33" s="247" t="str">
        <f t="shared" si="11"/>
        <v>--</v>
      </c>
      <c r="W33" s="849" t="str">
        <f t="shared" si="12"/>
        <v>--</v>
      </c>
      <c r="X33" s="850" t="str">
        <f t="shared" si="13"/>
        <v>--</v>
      </c>
      <c r="Y33" s="851" t="str">
        <f t="shared" si="14"/>
        <v>--</v>
      </c>
      <c r="Z33" s="248" t="str">
        <f t="shared" si="15"/>
        <v>--</v>
      </c>
      <c r="AA33" s="249" t="str">
        <f t="shared" si="16"/>
        <v>--</v>
      </c>
      <c r="AB33" s="852">
        <f t="shared" si="18"/>
      </c>
      <c r="AC33" s="16">
        <f t="shared" si="17"/>
      </c>
      <c r="AD33" s="853"/>
    </row>
    <row r="34" spans="2:30" s="5" customFormat="1" ht="16.5" customHeight="1">
      <c r="B34" s="50"/>
      <c r="C34" s="180"/>
      <c r="D34" s="171"/>
      <c r="E34" s="173"/>
      <c r="F34" s="909"/>
      <c r="G34" s="173"/>
      <c r="H34" s="843">
        <f t="shared" si="0"/>
        <v>20</v>
      </c>
      <c r="I34" s="844">
        <f t="shared" si="1"/>
        <v>97.649</v>
      </c>
      <c r="J34" s="210"/>
      <c r="K34" s="211"/>
      <c r="L34" s="212">
        <f t="shared" si="2"/>
      </c>
      <c r="M34" s="213">
        <f t="shared" si="3"/>
      </c>
      <c r="N34" s="243"/>
      <c r="O34" s="214">
        <f t="shared" si="4"/>
      </c>
      <c r="P34" s="178">
        <f t="shared" si="5"/>
      </c>
      <c r="Q34" s="178">
        <f t="shared" si="6"/>
      </c>
      <c r="R34" s="847" t="str">
        <f t="shared" si="7"/>
        <v>--</v>
      </c>
      <c r="S34" s="848" t="str">
        <f t="shared" si="8"/>
        <v>--</v>
      </c>
      <c r="T34" s="245" t="str">
        <f t="shared" si="9"/>
        <v>--</v>
      </c>
      <c r="U34" s="246" t="str">
        <f t="shared" si="10"/>
        <v>--</v>
      </c>
      <c r="V34" s="247" t="str">
        <f t="shared" si="11"/>
        <v>--</v>
      </c>
      <c r="W34" s="849" t="str">
        <f t="shared" si="12"/>
        <v>--</v>
      </c>
      <c r="X34" s="850" t="str">
        <f t="shared" si="13"/>
        <v>--</v>
      </c>
      <c r="Y34" s="851" t="str">
        <f t="shared" si="14"/>
        <v>--</v>
      </c>
      <c r="Z34" s="248" t="str">
        <f t="shared" si="15"/>
        <v>--</v>
      </c>
      <c r="AA34" s="249" t="str">
        <f t="shared" si="16"/>
        <v>--</v>
      </c>
      <c r="AB34" s="852">
        <f t="shared" si="18"/>
      </c>
      <c r="AC34" s="16">
        <f t="shared" si="17"/>
      </c>
      <c r="AD34" s="853"/>
    </row>
    <row r="35" spans="2:30" s="5" customFormat="1" ht="16.5" customHeight="1">
      <c r="B35" s="50"/>
      <c r="C35" s="297"/>
      <c r="D35" s="171"/>
      <c r="E35" s="173"/>
      <c r="F35" s="909"/>
      <c r="G35" s="173"/>
      <c r="H35" s="843">
        <f t="shared" si="0"/>
        <v>20</v>
      </c>
      <c r="I35" s="844">
        <f t="shared" si="1"/>
        <v>97.649</v>
      </c>
      <c r="J35" s="210"/>
      <c r="K35" s="211"/>
      <c r="L35" s="212">
        <f t="shared" si="2"/>
      </c>
      <c r="M35" s="213">
        <f t="shared" si="3"/>
      </c>
      <c r="N35" s="243"/>
      <c r="O35" s="214">
        <f t="shared" si="4"/>
      </c>
      <c r="P35" s="178">
        <f t="shared" si="5"/>
      </c>
      <c r="Q35" s="178">
        <f t="shared" si="6"/>
      </c>
      <c r="R35" s="847" t="str">
        <f t="shared" si="7"/>
        <v>--</v>
      </c>
      <c r="S35" s="848" t="str">
        <f t="shared" si="8"/>
        <v>--</v>
      </c>
      <c r="T35" s="245" t="str">
        <f t="shared" si="9"/>
        <v>--</v>
      </c>
      <c r="U35" s="246" t="str">
        <f t="shared" si="10"/>
        <v>--</v>
      </c>
      <c r="V35" s="247" t="str">
        <f t="shared" si="11"/>
        <v>--</v>
      </c>
      <c r="W35" s="849" t="str">
        <f t="shared" si="12"/>
        <v>--</v>
      </c>
      <c r="X35" s="850" t="str">
        <f t="shared" si="13"/>
        <v>--</v>
      </c>
      <c r="Y35" s="851" t="str">
        <f t="shared" si="14"/>
        <v>--</v>
      </c>
      <c r="Z35" s="248" t="str">
        <f t="shared" si="15"/>
        <v>--</v>
      </c>
      <c r="AA35" s="249" t="str">
        <f t="shared" si="16"/>
        <v>--</v>
      </c>
      <c r="AB35" s="852">
        <f t="shared" si="18"/>
      </c>
      <c r="AC35" s="16">
        <f t="shared" si="17"/>
      </c>
      <c r="AD35" s="853"/>
    </row>
    <row r="36" spans="2:30" s="5" customFormat="1" ht="16.5" customHeight="1">
      <c r="B36" s="50"/>
      <c r="C36" s="180"/>
      <c r="D36" s="171"/>
      <c r="E36" s="173"/>
      <c r="F36" s="909"/>
      <c r="G36" s="173"/>
      <c r="H36" s="843">
        <f t="shared" si="0"/>
        <v>20</v>
      </c>
      <c r="I36" s="844">
        <f t="shared" si="1"/>
        <v>97.649</v>
      </c>
      <c r="J36" s="210"/>
      <c r="K36" s="211"/>
      <c r="L36" s="212">
        <f t="shared" si="2"/>
      </c>
      <c r="M36" s="213">
        <f t="shared" si="3"/>
      </c>
      <c r="N36" s="243"/>
      <c r="O36" s="214">
        <f t="shared" si="4"/>
      </c>
      <c r="P36" s="178">
        <f t="shared" si="5"/>
      </c>
      <c r="Q36" s="178">
        <f t="shared" si="6"/>
      </c>
      <c r="R36" s="847" t="str">
        <f t="shared" si="7"/>
        <v>--</v>
      </c>
      <c r="S36" s="848" t="str">
        <f t="shared" si="8"/>
        <v>--</v>
      </c>
      <c r="T36" s="245" t="str">
        <f t="shared" si="9"/>
        <v>--</v>
      </c>
      <c r="U36" s="246" t="str">
        <f t="shared" si="10"/>
        <v>--</v>
      </c>
      <c r="V36" s="247" t="str">
        <f t="shared" si="11"/>
        <v>--</v>
      </c>
      <c r="W36" s="849" t="str">
        <f t="shared" si="12"/>
        <v>--</v>
      </c>
      <c r="X36" s="850" t="str">
        <f t="shared" si="13"/>
        <v>--</v>
      </c>
      <c r="Y36" s="851" t="str">
        <f t="shared" si="14"/>
        <v>--</v>
      </c>
      <c r="Z36" s="248" t="str">
        <f t="shared" si="15"/>
        <v>--</v>
      </c>
      <c r="AA36" s="249" t="str">
        <f t="shared" si="16"/>
        <v>--</v>
      </c>
      <c r="AB36" s="852">
        <f t="shared" si="18"/>
      </c>
      <c r="AC36" s="16">
        <f t="shared" si="17"/>
      </c>
      <c r="AD36" s="853"/>
    </row>
    <row r="37" spans="2:30" s="5" customFormat="1" ht="16.5" customHeight="1">
      <c r="B37" s="50"/>
      <c r="C37" s="297"/>
      <c r="D37" s="171"/>
      <c r="E37" s="173"/>
      <c r="F37" s="909"/>
      <c r="G37" s="173"/>
      <c r="H37" s="843">
        <f t="shared" si="0"/>
        <v>20</v>
      </c>
      <c r="I37" s="844">
        <f t="shared" si="1"/>
        <v>97.649</v>
      </c>
      <c r="J37" s="210"/>
      <c r="K37" s="211"/>
      <c r="L37" s="212">
        <f t="shared" si="2"/>
      </c>
      <c r="M37" s="213">
        <f t="shared" si="3"/>
      </c>
      <c r="N37" s="243"/>
      <c r="O37" s="214">
        <f t="shared" si="4"/>
      </c>
      <c r="P37" s="178">
        <f t="shared" si="5"/>
      </c>
      <c r="Q37" s="178">
        <f t="shared" si="6"/>
      </c>
      <c r="R37" s="847" t="str">
        <f t="shared" si="7"/>
        <v>--</v>
      </c>
      <c r="S37" s="848" t="str">
        <f t="shared" si="8"/>
        <v>--</v>
      </c>
      <c r="T37" s="245" t="str">
        <f t="shared" si="9"/>
        <v>--</v>
      </c>
      <c r="U37" s="246" t="str">
        <f t="shared" si="10"/>
        <v>--</v>
      </c>
      <c r="V37" s="247" t="str">
        <f t="shared" si="11"/>
        <v>--</v>
      </c>
      <c r="W37" s="849" t="str">
        <f t="shared" si="12"/>
        <v>--</v>
      </c>
      <c r="X37" s="850" t="str">
        <f t="shared" si="13"/>
        <v>--</v>
      </c>
      <c r="Y37" s="851" t="str">
        <f t="shared" si="14"/>
        <v>--</v>
      </c>
      <c r="Z37" s="248" t="str">
        <f t="shared" si="15"/>
        <v>--</v>
      </c>
      <c r="AA37" s="249" t="str">
        <f t="shared" si="16"/>
        <v>--</v>
      </c>
      <c r="AB37" s="852">
        <f t="shared" si="18"/>
      </c>
      <c r="AC37" s="16">
        <f t="shared" si="17"/>
      </c>
      <c r="AD37" s="853"/>
    </row>
    <row r="38" spans="2:30" s="5" customFormat="1" ht="16.5" customHeight="1">
      <c r="B38" s="50"/>
      <c r="C38" s="180"/>
      <c r="D38" s="171"/>
      <c r="E38" s="173"/>
      <c r="F38" s="909"/>
      <c r="G38" s="173"/>
      <c r="H38" s="843">
        <f t="shared" si="0"/>
        <v>20</v>
      </c>
      <c r="I38" s="844">
        <f t="shared" si="1"/>
        <v>97.649</v>
      </c>
      <c r="J38" s="210"/>
      <c r="K38" s="211"/>
      <c r="L38" s="212">
        <f t="shared" si="2"/>
      </c>
      <c r="M38" s="213">
        <f t="shared" si="3"/>
      </c>
      <c r="N38" s="243"/>
      <c r="O38" s="214">
        <f t="shared" si="4"/>
      </c>
      <c r="P38" s="178">
        <f t="shared" si="5"/>
      </c>
      <c r="Q38" s="178">
        <f t="shared" si="6"/>
      </c>
      <c r="R38" s="847" t="str">
        <f t="shared" si="7"/>
        <v>--</v>
      </c>
      <c r="S38" s="848" t="str">
        <f t="shared" si="8"/>
        <v>--</v>
      </c>
      <c r="T38" s="245" t="str">
        <f t="shared" si="9"/>
        <v>--</v>
      </c>
      <c r="U38" s="246" t="str">
        <f t="shared" si="10"/>
        <v>--</v>
      </c>
      <c r="V38" s="247" t="str">
        <f t="shared" si="11"/>
        <v>--</v>
      </c>
      <c r="W38" s="849" t="str">
        <f t="shared" si="12"/>
        <v>--</v>
      </c>
      <c r="X38" s="850" t="str">
        <f t="shared" si="13"/>
        <v>--</v>
      </c>
      <c r="Y38" s="851" t="str">
        <f t="shared" si="14"/>
        <v>--</v>
      </c>
      <c r="Z38" s="248" t="str">
        <f t="shared" si="15"/>
        <v>--</v>
      </c>
      <c r="AA38" s="249" t="str">
        <f t="shared" si="16"/>
        <v>--</v>
      </c>
      <c r="AB38" s="852">
        <f t="shared" si="18"/>
      </c>
      <c r="AC38" s="16">
        <f t="shared" si="17"/>
      </c>
      <c r="AD38" s="853"/>
    </row>
    <row r="39" spans="2:30" s="5" customFormat="1" ht="16.5" customHeight="1">
      <c r="B39" s="50"/>
      <c r="C39" s="297"/>
      <c r="D39" s="171"/>
      <c r="E39" s="173"/>
      <c r="F39" s="909"/>
      <c r="G39" s="173"/>
      <c r="H39" s="843">
        <f t="shared" si="0"/>
        <v>20</v>
      </c>
      <c r="I39" s="844">
        <f t="shared" si="1"/>
        <v>97.649</v>
      </c>
      <c r="J39" s="210"/>
      <c r="K39" s="211"/>
      <c r="L39" s="212">
        <f t="shared" si="2"/>
      </c>
      <c r="M39" s="213">
        <f t="shared" si="3"/>
      </c>
      <c r="N39" s="243"/>
      <c r="O39" s="214">
        <f t="shared" si="4"/>
      </c>
      <c r="P39" s="178">
        <f t="shared" si="5"/>
      </c>
      <c r="Q39" s="178">
        <f t="shared" si="6"/>
      </c>
      <c r="R39" s="847" t="str">
        <f t="shared" si="7"/>
        <v>--</v>
      </c>
      <c r="S39" s="848" t="str">
        <f t="shared" si="8"/>
        <v>--</v>
      </c>
      <c r="T39" s="245" t="str">
        <f t="shared" si="9"/>
        <v>--</v>
      </c>
      <c r="U39" s="246" t="str">
        <f t="shared" si="10"/>
        <v>--</v>
      </c>
      <c r="V39" s="247" t="str">
        <f t="shared" si="11"/>
        <v>--</v>
      </c>
      <c r="W39" s="849" t="str">
        <f t="shared" si="12"/>
        <v>--</v>
      </c>
      <c r="X39" s="850" t="str">
        <f t="shared" si="13"/>
        <v>--</v>
      </c>
      <c r="Y39" s="851" t="str">
        <f t="shared" si="14"/>
        <v>--</v>
      </c>
      <c r="Z39" s="248" t="str">
        <f t="shared" si="15"/>
        <v>--</v>
      </c>
      <c r="AA39" s="249" t="str">
        <f t="shared" si="16"/>
        <v>--</v>
      </c>
      <c r="AB39" s="852">
        <f t="shared" si="18"/>
      </c>
      <c r="AC39" s="16">
        <f t="shared" si="17"/>
      </c>
      <c r="AD39" s="853"/>
    </row>
    <row r="40" spans="2:30" s="5" customFormat="1" ht="16.5" customHeight="1">
      <c r="B40" s="50"/>
      <c r="C40" s="180"/>
      <c r="D40" s="171"/>
      <c r="E40" s="173"/>
      <c r="F40" s="909"/>
      <c r="G40" s="173"/>
      <c r="H40" s="843">
        <f t="shared" si="0"/>
        <v>20</v>
      </c>
      <c r="I40" s="844">
        <f t="shared" si="1"/>
        <v>97.649</v>
      </c>
      <c r="J40" s="210"/>
      <c r="K40" s="211"/>
      <c r="L40" s="212">
        <f t="shared" si="2"/>
      </c>
      <c r="M40" s="213">
        <f t="shared" si="3"/>
      </c>
      <c r="N40" s="243"/>
      <c r="O40" s="214">
        <f t="shared" si="4"/>
      </c>
      <c r="P40" s="178">
        <f t="shared" si="5"/>
      </c>
      <c r="Q40" s="178">
        <f t="shared" si="6"/>
      </c>
      <c r="R40" s="847" t="str">
        <f t="shared" si="7"/>
        <v>--</v>
      </c>
      <c r="S40" s="848" t="str">
        <f t="shared" si="8"/>
        <v>--</v>
      </c>
      <c r="T40" s="245" t="str">
        <f t="shared" si="9"/>
        <v>--</v>
      </c>
      <c r="U40" s="246" t="str">
        <f t="shared" si="10"/>
        <v>--</v>
      </c>
      <c r="V40" s="247" t="str">
        <f t="shared" si="11"/>
        <v>--</v>
      </c>
      <c r="W40" s="849" t="str">
        <f t="shared" si="12"/>
        <v>--</v>
      </c>
      <c r="X40" s="850" t="str">
        <f t="shared" si="13"/>
        <v>--</v>
      </c>
      <c r="Y40" s="851" t="str">
        <f t="shared" si="14"/>
        <v>--</v>
      </c>
      <c r="Z40" s="248" t="str">
        <f t="shared" si="15"/>
        <v>--</v>
      </c>
      <c r="AA40" s="249" t="str">
        <f t="shared" si="16"/>
        <v>--</v>
      </c>
      <c r="AB40" s="852">
        <f t="shared" si="18"/>
      </c>
      <c r="AC40" s="16">
        <f t="shared" si="17"/>
      </c>
      <c r="AD40" s="853"/>
    </row>
    <row r="41" spans="2:30" s="5" customFormat="1" ht="16.5" customHeight="1">
      <c r="B41" s="50"/>
      <c r="C41" s="297"/>
      <c r="D41" s="171"/>
      <c r="E41" s="173"/>
      <c r="F41" s="909"/>
      <c r="G41" s="173"/>
      <c r="H41" s="843">
        <f t="shared" si="0"/>
        <v>20</v>
      </c>
      <c r="I41" s="844">
        <f t="shared" si="1"/>
        <v>97.649</v>
      </c>
      <c r="J41" s="210"/>
      <c r="K41" s="211"/>
      <c r="L41" s="212">
        <f t="shared" si="2"/>
      </c>
      <c r="M41" s="213">
        <f t="shared" si="3"/>
      </c>
      <c r="N41" s="243"/>
      <c r="O41" s="214">
        <f t="shared" si="4"/>
      </c>
      <c r="P41" s="178">
        <f t="shared" si="5"/>
      </c>
      <c r="Q41" s="178">
        <f t="shared" si="6"/>
      </c>
      <c r="R41" s="847" t="str">
        <f t="shared" si="7"/>
        <v>--</v>
      </c>
      <c r="S41" s="848" t="str">
        <f t="shared" si="8"/>
        <v>--</v>
      </c>
      <c r="T41" s="245" t="str">
        <f t="shared" si="9"/>
        <v>--</v>
      </c>
      <c r="U41" s="246" t="str">
        <f t="shared" si="10"/>
        <v>--</v>
      </c>
      <c r="V41" s="247" t="str">
        <f t="shared" si="11"/>
        <v>--</v>
      </c>
      <c r="W41" s="849" t="str">
        <f t="shared" si="12"/>
        <v>--</v>
      </c>
      <c r="X41" s="850" t="str">
        <f t="shared" si="13"/>
        <v>--</v>
      </c>
      <c r="Y41" s="851" t="str">
        <f t="shared" si="14"/>
        <v>--</v>
      </c>
      <c r="Z41" s="248" t="str">
        <f t="shared" si="15"/>
        <v>--</v>
      </c>
      <c r="AA41" s="249" t="str">
        <f t="shared" si="16"/>
        <v>--</v>
      </c>
      <c r="AB41" s="852">
        <f t="shared" si="18"/>
      </c>
      <c r="AC41" s="16">
        <f t="shared" si="17"/>
      </c>
      <c r="AD41" s="853"/>
    </row>
    <row r="42" spans="2:30" s="5" customFormat="1" ht="16.5" customHeight="1" thickBot="1">
      <c r="B42" s="50"/>
      <c r="C42" s="180"/>
      <c r="D42" s="175"/>
      <c r="E42" s="251"/>
      <c r="F42" s="903"/>
      <c r="G42" s="252"/>
      <c r="H42" s="858"/>
      <c r="I42" s="859"/>
      <c r="J42" s="898"/>
      <c r="K42" s="898"/>
      <c r="L42" s="9"/>
      <c r="M42" s="9"/>
      <c r="N42" s="177"/>
      <c r="O42" s="216"/>
      <c r="P42" s="177"/>
      <c r="Q42" s="177"/>
      <c r="R42" s="860"/>
      <c r="S42" s="861"/>
      <c r="T42" s="253"/>
      <c r="U42" s="254"/>
      <c r="V42" s="255"/>
      <c r="W42" s="862"/>
      <c r="X42" s="863"/>
      <c r="Y42" s="864"/>
      <c r="Z42" s="256"/>
      <c r="AA42" s="257"/>
      <c r="AB42" s="865"/>
      <c r="AC42" s="258"/>
      <c r="AD42" s="853"/>
    </row>
    <row r="43" spans="2:30" s="5" customFormat="1" ht="16.5" customHeight="1" thickBot="1" thickTop="1">
      <c r="B43" s="50"/>
      <c r="C43" s="126" t="s">
        <v>23</v>
      </c>
      <c r="D43" s="127" t="s">
        <v>342</v>
      </c>
      <c r="E43" s="259"/>
      <c r="F43" s="228"/>
      <c r="G43" s="260"/>
      <c r="H43" s="228"/>
      <c r="I43" s="217"/>
      <c r="J43" s="217"/>
      <c r="K43" s="217"/>
      <c r="L43" s="217"/>
      <c r="M43" s="217"/>
      <c r="N43" s="217"/>
      <c r="O43" s="261"/>
      <c r="P43" s="217"/>
      <c r="Q43" s="217"/>
      <c r="R43" s="866">
        <f aca="true" t="shared" si="19" ref="R43:AA43">SUM(R20:R42)</f>
        <v>2466.6135909412</v>
      </c>
      <c r="S43" s="867">
        <f t="shared" si="19"/>
        <v>0</v>
      </c>
      <c r="T43" s="868">
        <f t="shared" si="19"/>
        <v>0</v>
      </c>
      <c r="U43" s="868">
        <f t="shared" si="19"/>
        <v>0</v>
      </c>
      <c r="V43" s="868">
        <f t="shared" si="19"/>
        <v>0</v>
      </c>
      <c r="W43" s="869">
        <f t="shared" si="19"/>
        <v>0</v>
      </c>
      <c r="X43" s="869">
        <f t="shared" si="19"/>
        <v>0</v>
      </c>
      <c r="Y43" s="869">
        <f t="shared" si="19"/>
        <v>0</v>
      </c>
      <c r="Z43" s="262">
        <f t="shared" si="19"/>
        <v>0</v>
      </c>
      <c r="AA43" s="263">
        <f t="shared" si="19"/>
        <v>0</v>
      </c>
      <c r="AB43" s="264"/>
      <c r="AC43" s="265">
        <f>ROUND(SUM(AC20:AC42),2)</f>
        <v>1136977.27</v>
      </c>
      <c r="AD43" s="853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C155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66" t="str">
        <f>+'TOT-0908'!B2</f>
        <v>ANEXO IV al Memorándum D.T.E.E. N°   366  / 2010          </v>
      </c>
      <c r="C2" s="266"/>
      <c r="D2" s="266"/>
      <c r="E2" s="19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67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67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68" t="s">
        <v>66</v>
      </c>
      <c r="E8" s="104"/>
      <c r="F8" s="104"/>
      <c r="G8" s="269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70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9" customFormat="1" ht="30" customHeight="1">
      <c r="A10" s="933"/>
      <c r="B10" s="934"/>
      <c r="C10" s="933"/>
      <c r="D10" s="935" t="s">
        <v>232</v>
      </c>
      <c r="E10" s="933"/>
      <c r="F10" s="936"/>
      <c r="G10" s="937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8"/>
    </row>
    <row r="11" spans="1:28" s="944" customFormat="1" ht="9.75" customHeight="1">
      <c r="A11" s="940"/>
      <c r="B11" s="941"/>
      <c r="C11" s="940"/>
      <c r="E11" s="942"/>
      <c r="F11" s="942"/>
      <c r="G11" s="942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3"/>
    </row>
    <row r="12" spans="1:28" s="944" customFormat="1" ht="21" customHeight="1">
      <c r="A12" s="933"/>
      <c r="B12" s="934"/>
      <c r="C12" s="933"/>
      <c r="D12" s="945" t="s">
        <v>233</v>
      </c>
      <c r="E12" s="933"/>
      <c r="F12" s="933"/>
      <c r="G12" s="933"/>
      <c r="H12" s="946"/>
      <c r="I12" s="946"/>
      <c r="J12" s="946"/>
      <c r="K12" s="946"/>
      <c r="L12" s="946"/>
      <c r="M12" s="940"/>
      <c r="N12" s="940"/>
      <c r="O12" s="940"/>
      <c r="P12" s="940"/>
      <c r="Q12" s="940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3"/>
    </row>
    <row r="13" spans="1:28" s="5" customFormat="1" ht="12.75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08"/>
      <c r="B14" s="37" t="str">
        <f>'TOT-0908'!B14</f>
        <v>Desde el 01 al 30 de septiembre de 2008</v>
      </c>
      <c r="C14" s="271"/>
      <c r="D14" s="111"/>
      <c r="E14" s="111"/>
      <c r="F14" s="111"/>
      <c r="G14" s="111"/>
      <c r="H14" s="111"/>
      <c r="I14" s="111"/>
      <c r="J14" s="111"/>
      <c r="K14" s="111"/>
      <c r="L14" s="111"/>
      <c r="M14" s="271"/>
      <c r="N14" s="271"/>
      <c r="O14" s="271"/>
      <c r="P14" s="271"/>
      <c r="Q14" s="27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272"/>
    </row>
    <row r="15" spans="1:28" s="5" customFormat="1" ht="13.5" thickBot="1">
      <c r="A15" s="88"/>
      <c r="B15" s="93"/>
      <c r="C15" s="88"/>
      <c r="D15" s="15"/>
      <c r="E15" s="15"/>
      <c r="F15" s="15"/>
      <c r="G15" s="96"/>
      <c r="H15" s="15"/>
      <c r="I15" s="15"/>
      <c r="J15" s="15"/>
      <c r="K15" s="15"/>
      <c r="L15" s="15"/>
      <c r="M15" s="88"/>
      <c r="N15" s="88"/>
      <c r="O15" s="88"/>
      <c r="P15" s="88"/>
      <c r="Q15" s="8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88"/>
      <c r="B16" s="93"/>
      <c r="C16" s="88"/>
      <c r="D16" s="273" t="s">
        <v>72</v>
      </c>
      <c r="E16" s="274"/>
      <c r="F16" s="275">
        <v>0.319</v>
      </c>
      <c r="H16" s="88"/>
      <c r="I16" s="88"/>
      <c r="J16" s="88"/>
      <c r="K16" s="88"/>
      <c r="L16" s="88"/>
      <c r="M16" s="88"/>
      <c r="N16" s="8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88"/>
      <c r="B17" s="93"/>
      <c r="C17" s="88"/>
      <c r="D17" s="109" t="s">
        <v>24</v>
      </c>
      <c r="E17" s="110"/>
      <c r="F17" s="913">
        <v>200</v>
      </c>
      <c r="G17"/>
      <c r="H17" s="15"/>
      <c r="I17" s="226"/>
      <c r="J17" s="227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7"/>
      <c r="V17" s="97"/>
      <c r="W17" s="97"/>
      <c r="X17" s="97"/>
      <c r="Y17" s="97"/>
      <c r="Z17" s="97"/>
      <c r="AA17" s="88"/>
      <c r="AB17" s="17"/>
    </row>
    <row r="18" spans="1:28" s="5" customFormat="1" ht="16.5" customHeight="1" thickBot="1" thickTop="1">
      <c r="A18" s="88"/>
      <c r="B18" s="93"/>
      <c r="C18" s="88"/>
      <c r="D18" s="15"/>
      <c r="E18" s="15"/>
      <c r="F18" s="15"/>
      <c r="G18" s="9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88"/>
      <c r="B19" s="93"/>
      <c r="C19" s="122" t="s">
        <v>12</v>
      </c>
      <c r="D19" s="118" t="s">
        <v>25</v>
      </c>
      <c r="E19" s="117" t="s">
        <v>26</v>
      </c>
      <c r="F19" s="119" t="s">
        <v>27</v>
      </c>
      <c r="G19" s="120" t="s">
        <v>13</v>
      </c>
      <c r="H19" s="128" t="s">
        <v>15</v>
      </c>
      <c r="I19" s="117" t="s">
        <v>16</v>
      </c>
      <c r="J19" s="117" t="s">
        <v>17</v>
      </c>
      <c r="K19" s="118" t="s">
        <v>28</v>
      </c>
      <c r="L19" s="118" t="s">
        <v>29</v>
      </c>
      <c r="M19" s="87" t="s">
        <v>18</v>
      </c>
      <c r="N19" s="87" t="s">
        <v>56</v>
      </c>
      <c r="O19" s="121" t="s">
        <v>30</v>
      </c>
      <c r="P19" s="117" t="s">
        <v>31</v>
      </c>
      <c r="Q19" s="276" t="s">
        <v>35</v>
      </c>
      <c r="R19" s="277" t="s">
        <v>19</v>
      </c>
      <c r="S19" s="278" t="s">
        <v>20</v>
      </c>
      <c r="T19" s="231" t="s">
        <v>73</v>
      </c>
      <c r="U19" s="233"/>
      <c r="V19" s="279" t="s">
        <v>74</v>
      </c>
      <c r="W19" s="280"/>
      <c r="X19" s="281" t="s">
        <v>21</v>
      </c>
      <c r="Y19" s="282" t="s">
        <v>69</v>
      </c>
      <c r="Z19" s="131" t="s">
        <v>70</v>
      </c>
      <c r="AA19" s="120" t="s">
        <v>22</v>
      </c>
      <c r="AB19" s="17"/>
    </row>
    <row r="20" spans="1:28" s="5" customFormat="1" ht="16.5" customHeight="1" thickTop="1">
      <c r="A20" s="88"/>
      <c r="B20" s="93"/>
      <c r="C20" s="283"/>
      <c r="D20" s="283"/>
      <c r="E20" s="283"/>
      <c r="F20" s="283"/>
      <c r="G20" s="284"/>
      <c r="H20" s="285"/>
      <c r="I20" s="283"/>
      <c r="J20" s="283"/>
      <c r="K20" s="283"/>
      <c r="L20" s="283"/>
      <c r="M20" s="283"/>
      <c r="N20" s="206"/>
      <c r="O20" s="286"/>
      <c r="P20" s="283"/>
      <c r="Q20" s="287"/>
      <c r="R20" s="288"/>
      <c r="S20" s="289"/>
      <c r="T20" s="290"/>
      <c r="U20" s="291"/>
      <c r="V20" s="292"/>
      <c r="W20" s="293"/>
      <c r="X20" s="294"/>
      <c r="Y20" s="295"/>
      <c r="Z20" s="286"/>
      <c r="AA20" s="296"/>
      <c r="AB20" s="17"/>
    </row>
    <row r="21" spans="1:28" s="5" customFormat="1" ht="16.5" customHeight="1">
      <c r="A21" s="88"/>
      <c r="B21" s="93"/>
      <c r="C21" s="297"/>
      <c r="D21" s="297"/>
      <c r="E21" s="297"/>
      <c r="F21" s="297"/>
      <c r="G21" s="298"/>
      <c r="H21" s="299"/>
      <c r="I21" s="297"/>
      <c r="J21" s="297"/>
      <c r="K21" s="297"/>
      <c r="L21" s="297"/>
      <c r="M21" s="297"/>
      <c r="N21" s="208"/>
      <c r="O21" s="300"/>
      <c r="P21" s="297"/>
      <c r="Q21" s="301"/>
      <c r="R21" s="302"/>
      <c r="S21" s="303"/>
      <c r="T21" s="304"/>
      <c r="U21" s="305"/>
      <c r="V21" s="306"/>
      <c r="W21" s="307"/>
      <c r="X21" s="308"/>
      <c r="Y21" s="309"/>
      <c r="Z21" s="300"/>
      <c r="AA21" s="310"/>
      <c r="AB21" s="17"/>
    </row>
    <row r="22" spans="1:28" s="5" customFormat="1" ht="16.5" customHeight="1">
      <c r="A22" s="88"/>
      <c r="B22" s="93"/>
      <c r="C22" s="180">
        <v>23</v>
      </c>
      <c r="D22" s="174" t="s">
        <v>266</v>
      </c>
      <c r="E22" s="311" t="s">
        <v>267</v>
      </c>
      <c r="F22" s="312">
        <v>800</v>
      </c>
      <c r="G22" s="313" t="s">
        <v>268</v>
      </c>
      <c r="H22" s="314">
        <f aca="true" t="shared" si="0" ref="H22:H40">F22*$F$16</f>
        <v>255.20000000000002</v>
      </c>
      <c r="I22" s="181">
        <v>39692</v>
      </c>
      <c r="J22" s="181">
        <v>39692.69027777778</v>
      </c>
      <c r="K22" s="315">
        <f aca="true" t="shared" si="1" ref="K22:K40">IF(D22="","",(J22-I22)*24)</f>
        <v>16.566666666709352</v>
      </c>
      <c r="L22" s="14">
        <f aca="true" t="shared" si="2" ref="L22:L40">IF(D22="","",ROUND((J22-I22)*24*60,0))</f>
        <v>994</v>
      </c>
      <c r="M22" s="182" t="s">
        <v>222</v>
      </c>
      <c r="N22" s="244" t="str">
        <f aca="true" t="shared" si="3" ref="N22:N40">IF(D22="","","--")</f>
        <v>--</v>
      </c>
      <c r="O22" s="179" t="str">
        <f aca="true" t="shared" si="4" ref="O22:O40">IF(D22="","",IF(OR(M22="P",M22="RP"),"--","NO"))</f>
        <v>--</v>
      </c>
      <c r="P22" s="178" t="str">
        <f aca="true" t="shared" si="5" ref="P22:P40">IF(D22="","","NO")</f>
        <v>NO</v>
      </c>
      <c r="Q22" s="316">
        <f aca="true" t="shared" si="6" ref="Q22:Q40">$F$17*IF(OR(M22="P",M22="RP"),0.1,1)*IF(P22="SI",1,0.1)</f>
        <v>2</v>
      </c>
      <c r="R22" s="317">
        <f aca="true" t="shared" si="7" ref="R22:R40">IF(M22="P",H22*Q22*ROUND(L22/60,2),"--")</f>
        <v>8457.328000000001</v>
      </c>
      <c r="S22" s="318" t="str">
        <f aca="true" t="shared" si="8" ref="S22:S40">IF(M22="RP",H22*Q22*N22/100*ROUND(L22/60,2),"--")</f>
        <v>--</v>
      </c>
      <c r="T22" s="319" t="str">
        <f aca="true" t="shared" si="9" ref="T22:T40">IF(AND(M22="F",O22="NO"),H22*Q22,"--")</f>
        <v>--</v>
      </c>
      <c r="U22" s="320" t="str">
        <f aca="true" t="shared" si="10" ref="U22:U40">IF(M22="F",H22*Q22*ROUND(L22/60,2),"--")</f>
        <v>--</v>
      </c>
      <c r="V22" s="321" t="str">
        <f aca="true" t="shared" si="11" ref="V22:V40">IF(AND(M22="R",O22="NO"),H22*Q22*N22/100,"--")</f>
        <v>--</v>
      </c>
      <c r="W22" s="322" t="str">
        <f aca="true" t="shared" si="12" ref="W22:W40">IF(M22="R",H22*Q22*N22/100*ROUND(L22/60,2),"--")</f>
        <v>--</v>
      </c>
      <c r="X22" s="323" t="str">
        <f aca="true" t="shared" si="13" ref="X22:X40">IF(M22="RF",H22*Q22*ROUND(L22/60,2),"--")</f>
        <v>--</v>
      </c>
      <c r="Y22" s="324" t="str">
        <f aca="true" t="shared" si="14" ref="Y22:Y40">IF(M22="RR",H22*Q22*N22/100*ROUND(L22/60,2),"--")</f>
        <v>--</v>
      </c>
      <c r="Z22" s="325" t="s">
        <v>219</v>
      </c>
      <c r="AA22" s="16">
        <f aca="true" t="shared" si="15" ref="AA22:AA40">IF(D22="","",(SUM(R22:Y22)*IF(Z22="SI",1,2)*IF(AND(N22&lt;&gt;"--",M22="RF"),N22/100,1)))</f>
        <v>8457.328000000001</v>
      </c>
      <c r="AB22" s="17"/>
    </row>
    <row r="23" spans="1:28" s="5" customFormat="1" ht="16.5" customHeight="1">
      <c r="A23" s="88"/>
      <c r="B23" s="93"/>
      <c r="C23" s="297">
        <v>24</v>
      </c>
      <c r="D23" s="174" t="s">
        <v>269</v>
      </c>
      <c r="E23" s="311" t="s">
        <v>270</v>
      </c>
      <c r="F23" s="312">
        <v>300</v>
      </c>
      <c r="G23" s="313" t="s">
        <v>271</v>
      </c>
      <c r="H23" s="314">
        <f t="shared" si="0"/>
        <v>95.7</v>
      </c>
      <c r="I23" s="181">
        <v>39698.31041666667</v>
      </c>
      <c r="J23" s="181">
        <v>39698.74791666667</v>
      </c>
      <c r="K23" s="315">
        <f t="shared" si="1"/>
        <v>10.5</v>
      </c>
      <c r="L23" s="14">
        <f t="shared" si="2"/>
        <v>630</v>
      </c>
      <c r="M23" s="182" t="s">
        <v>222</v>
      </c>
      <c r="N23" s="244" t="str">
        <f t="shared" si="3"/>
        <v>--</v>
      </c>
      <c r="O23" s="179" t="str">
        <f t="shared" si="4"/>
        <v>--</v>
      </c>
      <c r="P23" s="178" t="str">
        <f t="shared" si="5"/>
        <v>NO</v>
      </c>
      <c r="Q23" s="316">
        <f t="shared" si="6"/>
        <v>2</v>
      </c>
      <c r="R23" s="317">
        <f t="shared" si="7"/>
        <v>2009.7</v>
      </c>
      <c r="S23" s="318" t="str">
        <f t="shared" si="8"/>
        <v>--</v>
      </c>
      <c r="T23" s="319" t="str">
        <f t="shared" si="9"/>
        <v>--</v>
      </c>
      <c r="U23" s="320" t="str">
        <f t="shared" si="10"/>
        <v>--</v>
      </c>
      <c r="V23" s="321" t="str">
        <f t="shared" si="11"/>
        <v>--</v>
      </c>
      <c r="W23" s="322" t="str">
        <f t="shared" si="12"/>
        <v>--</v>
      </c>
      <c r="X23" s="323" t="str">
        <f t="shared" si="13"/>
        <v>--</v>
      </c>
      <c r="Y23" s="324" t="str">
        <f t="shared" si="14"/>
        <v>--</v>
      </c>
      <c r="Z23" s="325" t="s">
        <v>219</v>
      </c>
      <c r="AA23" s="16">
        <f t="shared" si="15"/>
        <v>2009.7</v>
      </c>
      <c r="AB23" s="17"/>
    </row>
    <row r="24" spans="1:28" s="5" customFormat="1" ht="16.5" customHeight="1">
      <c r="A24" s="88"/>
      <c r="B24" s="93"/>
      <c r="C24" s="180">
        <v>25</v>
      </c>
      <c r="D24" s="174" t="s">
        <v>272</v>
      </c>
      <c r="E24" s="311" t="s">
        <v>267</v>
      </c>
      <c r="F24" s="312">
        <v>150</v>
      </c>
      <c r="G24" s="313" t="s">
        <v>345</v>
      </c>
      <c r="H24" s="314">
        <f t="shared" si="0"/>
        <v>47.85</v>
      </c>
      <c r="I24" s="181">
        <v>39698.33541666667</v>
      </c>
      <c r="J24" s="181">
        <v>39698.36388888889</v>
      </c>
      <c r="K24" s="315">
        <f t="shared" si="1"/>
        <v>0.6833333332906477</v>
      </c>
      <c r="L24" s="14">
        <f t="shared" si="2"/>
        <v>41</v>
      </c>
      <c r="M24" s="182" t="s">
        <v>252</v>
      </c>
      <c r="N24" s="244" t="str">
        <f t="shared" si="3"/>
        <v>--</v>
      </c>
      <c r="O24" s="178" t="s">
        <v>219</v>
      </c>
      <c r="P24" s="178" t="str">
        <f t="shared" si="5"/>
        <v>NO</v>
      </c>
      <c r="Q24" s="316">
        <f t="shared" si="6"/>
        <v>20</v>
      </c>
      <c r="R24" s="317" t="str">
        <f t="shared" si="7"/>
        <v>--</v>
      </c>
      <c r="S24" s="318" t="str">
        <f t="shared" si="8"/>
        <v>--</v>
      </c>
      <c r="T24" s="319" t="str">
        <f t="shared" si="9"/>
        <v>--</v>
      </c>
      <c r="U24" s="320">
        <f t="shared" si="10"/>
        <v>650.76</v>
      </c>
      <c r="V24" s="321" t="str">
        <f t="shared" si="11"/>
        <v>--</v>
      </c>
      <c r="W24" s="322" t="str">
        <f t="shared" si="12"/>
        <v>--</v>
      </c>
      <c r="X24" s="323" t="str">
        <f t="shared" si="13"/>
        <v>--</v>
      </c>
      <c r="Y24" s="324" t="str">
        <f t="shared" si="14"/>
        <v>--</v>
      </c>
      <c r="Z24" s="325" t="s">
        <v>219</v>
      </c>
      <c r="AA24" s="16">
        <f t="shared" si="15"/>
        <v>650.76</v>
      </c>
      <c r="AB24" s="17"/>
    </row>
    <row r="25" spans="1:28" s="5" customFormat="1" ht="16.5" customHeight="1">
      <c r="A25" s="88"/>
      <c r="B25" s="93"/>
      <c r="C25" s="297">
        <v>26</v>
      </c>
      <c r="D25" s="174" t="s">
        <v>272</v>
      </c>
      <c r="E25" s="311" t="s">
        <v>273</v>
      </c>
      <c r="F25" s="312">
        <v>300</v>
      </c>
      <c r="G25" s="313" t="s">
        <v>278</v>
      </c>
      <c r="H25" s="314">
        <f t="shared" si="0"/>
        <v>95.7</v>
      </c>
      <c r="I25" s="181">
        <v>39700.376388888886</v>
      </c>
      <c r="J25" s="181">
        <v>39700.75277777778</v>
      </c>
      <c r="K25" s="315">
        <f t="shared" si="1"/>
        <v>9.033333333441988</v>
      </c>
      <c r="L25" s="14">
        <f t="shared" si="2"/>
        <v>542</v>
      </c>
      <c r="M25" s="182" t="s">
        <v>222</v>
      </c>
      <c r="N25" s="244" t="str">
        <f t="shared" si="3"/>
        <v>--</v>
      </c>
      <c r="O25" s="179" t="str">
        <f t="shared" si="4"/>
        <v>--</v>
      </c>
      <c r="P25" s="178" t="str">
        <f t="shared" si="5"/>
        <v>NO</v>
      </c>
      <c r="Q25" s="316">
        <f t="shared" si="6"/>
        <v>2</v>
      </c>
      <c r="R25" s="317">
        <f t="shared" si="7"/>
        <v>1728.3419999999999</v>
      </c>
      <c r="S25" s="318" t="str">
        <f t="shared" si="8"/>
        <v>--</v>
      </c>
      <c r="T25" s="319" t="str">
        <f t="shared" si="9"/>
        <v>--</v>
      </c>
      <c r="U25" s="320" t="str">
        <f t="shared" si="10"/>
        <v>--</v>
      </c>
      <c r="V25" s="321" t="str">
        <f t="shared" si="11"/>
        <v>--</v>
      </c>
      <c r="W25" s="322" t="str">
        <f t="shared" si="12"/>
        <v>--</v>
      </c>
      <c r="X25" s="323" t="str">
        <f t="shared" si="13"/>
        <v>--</v>
      </c>
      <c r="Y25" s="324" t="str">
        <f t="shared" si="14"/>
        <v>--</v>
      </c>
      <c r="Z25" s="325" t="s">
        <v>219</v>
      </c>
      <c r="AA25" s="16">
        <f t="shared" si="15"/>
        <v>1728.3419999999999</v>
      </c>
      <c r="AB25" s="17"/>
    </row>
    <row r="26" spans="1:28" s="5" customFormat="1" ht="16.5" customHeight="1">
      <c r="A26" s="88"/>
      <c r="B26" s="93"/>
      <c r="C26" s="180">
        <v>27</v>
      </c>
      <c r="D26" s="174" t="s">
        <v>272</v>
      </c>
      <c r="E26" s="311" t="s">
        <v>273</v>
      </c>
      <c r="F26" s="312">
        <v>300</v>
      </c>
      <c r="G26" s="313" t="s">
        <v>278</v>
      </c>
      <c r="H26" s="314">
        <f t="shared" si="0"/>
        <v>95.7</v>
      </c>
      <c r="I26" s="181">
        <v>39701.345138888886</v>
      </c>
      <c r="J26" s="181">
        <v>39701.75486111111</v>
      </c>
      <c r="K26" s="315">
        <f t="shared" si="1"/>
        <v>9.833333333430346</v>
      </c>
      <c r="L26" s="14">
        <f t="shared" si="2"/>
        <v>590</v>
      </c>
      <c r="M26" s="182" t="s">
        <v>222</v>
      </c>
      <c r="N26" s="244" t="str">
        <f t="shared" si="3"/>
        <v>--</v>
      </c>
      <c r="O26" s="179" t="str">
        <f t="shared" si="4"/>
        <v>--</v>
      </c>
      <c r="P26" s="178" t="str">
        <f t="shared" si="5"/>
        <v>NO</v>
      </c>
      <c r="Q26" s="316">
        <f t="shared" si="6"/>
        <v>2</v>
      </c>
      <c r="R26" s="317">
        <f t="shared" si="7"/>
        <v>1881.462</v>
      </c>
      <c r="S26" s="318" t="str">
        <f t="shared" si="8"/>
        <v>--</v>
      </c>
      <c r="T26" s="319" t="str">
        <f t="shared" si="9"/>
        <v>--</v>
      </c>
      <c r="U26" s="320" t="str">
        <f t="shared" si="10"/>
        <v>--</v>
      </c>
      <c r="V26" s="321" t="str">
        <f t="shared" si="11"/>
        <v>--</v>
      </c>
      <c r="W26" s="322" t="str">
        <f t="shared" si="12"/>
        <v>--</v>
      </c>
      <c r="X26" s="323" t="str">
        <f t="shared" si="13"/>
        <v>--</v>
      </c>
      <c r="Y26" s="324" t="str">
        <f t="shared" si="14"/>
        <v>--</v>
      </c>
      <c r="Z26" s="325" t="s">
        <v>219</v>
      </c>
      <c r="AA26" s="16">
        <f t="shared" si="15"/>
        <v>1881.462</v>
      </c>
      <c r="AB26" s="17"/>
    </row>
    <row r="27" spans="1:28" s="5" customFormat="1" ht="16.5" customHeight="1">
      <c r="A27" s="88"/>
      <c r="B27" s="93"/>
      <c r="C27" s="297">
        <v>28</v>
      </c>
      <c r="D27" s="174" t="s">
        <v>272</v>
      </c>
      <c r="E27" s="311" t="s">
        <v>273</v>
      </c>
      <c r="F27" s="312">
        <v>300</v>
      </c>
      <c r="G27" s="313" t="s">
        <v>278</v>
      </c>
      <c r="H27" s="314">
        <f t="shared" si="0"/>
        <v>95.7</v>
      </c>
      <c r="I27" s="181">
        <v>39702.32986111111</v>
      </c>
      <c r="J27" s="181">
        <v>39702.77291666667</v>
      </c>
      <c r="K27" s="315">
        <f t="shared" si="1"/>
        <v>10.633333333418705</v>
      </c>
      <c r="L27" s="14">
        <f t="shared" si="2"/>
        <v>638</v>
      </c>
      <c r="M27" s="182" t="s">
        <v>222</v>
      </c>
      <c r="N27" s="244" t="str">
        <f t="shared" si="3"/>
        <v>--</v>
      </c>
      <c r="O27" s="179" t="str">
        <f t="shared" si="4"/>
        <v>--</v>
      </c>
      <c r="P27" s="178" t="str">
        <f t="shared" si="5"/>
        <v>NO</v>
      </c>
      <c r="Q27" s="316">
        <f t="shared" si="6"/>
        <v>2</v>
      </c>
      <c r="R27" s="317">
        <f t="shared" si="7"/>
        <v>2034.582</v>
      </c>
      <c r="S27" s="318" t="str">
        <f t="shared" si="8"/>
        <v>--</v>
      </c>
      <c r="T27" s="319" t="str">
        <f t="shared" si="9"/>
        <v>--</v>
      </c>
      <c r="U27" s="320" t="str">
        <f t="shared" si="10"/>
        <v>--</v>
      </c>
      <c r="V27" s="321" t="str">
        <f t="shared" si="11"/>
        <v>--</v>
      </c>
      <c r="W27" s="322" t="str">
        <f t="shared" si="12"/>
        <v>--</v>
      </c>
      <c r="X27" s="323" t="str">
        <f t="shared" si="13"/>
        <v>--</v>
      </c>
      <c r="Y27" s="324" t="str">
        <f t="shared" si="14"/>
        <v>--</v>
      </c>
      <c r="Z27" s="325" t="s">
        <v>219</v>
      </c>
      <c r="AA27" s="16">
        <f t="shared" si="15"/>
        <v>2034.582</v>
      </c>
      <c r="AB27" s="17"/>
    </row>
    <row r="28" spans="1:29" s="5" customFormat="1" ht="16.5" customHeight="1">
      <c r="A28" s="88"/>
      <c r="B28" s="93"/>
      <c r="C28" s="180">
        <v>29</v>
      </c>
      <c r="D28" s="174" t="s">
        <v>272</v>
      </c>
      <c r="E28" s="311" t="s">
        <v>273</v>
      </c>
      <c r="F28" s="312">
        <v>300</v>
      </c>
      <c r="G28" s="313" t="s">
        <v>278</v>
      </c>
      <c r="H28" s="314">
        <f t="shared" si="0"/>
        <v>95.7</v>
      </c>
      <c r="I28" s="181">
        <v>39703.322222222225</v>
      </c>
      <c r="J28" s="181">
        <v>39703.75347222222</v>
      </c>
      <c r="K28" s="315">
        <f t="shared" si="1"/>
        <v>10.349999999860302</v>
      </c>
      <c r="L28" s="14">
        <f t="shared" si="2"/>
        <v>621</v>
      </c>
      <c r="M28" s="182" t="s">
        <v>222</v>
      </c>
      <c r="N28" s="244" t="str">
        <f t="shared" si="3"/>
        <v>--</v>
      </c>
      <c r="O28" s="179" t="str">
        <f t="shared" si="4"/>
        <v>--</v>
      </c>
      <c r="P28" s="178" t="str">
        <f t="shared" si="5"/>
        <v>NO</v>
      </c>
      <c r="Q28" s="316">
        <f t="shared" si="6"/>
        <v>2</v>
      </c>
      <c r="R28" s="317">
        <f t="shared" si="7"/>
        <v>1980.99</v>
      </c>
      <c r="S28" s="318" t="str">
        <f t="shared" si="8"/>
        <v>--</v>
      </c>
      <c r="T28" s="319" t="str">
        <f t="shared" si="9"/>
        <v>--</v>
      </c>
      <c r="U28" s="320" t="str">
        <f t="shared" si="10"/>
        <v>--</v>
      </c>
      <c r="V28" s="321" t="str">
        <f t="shared" si="11"/>
        <v>--</v>
      </c>
      <c r="W28" s="322" t="str">
        <f t="shared" si="12"/>
        <v>--</v>
      </c>
      <c r="X28" s="323" t="str">
        <f t="shared" si="13"/>
        <v>--</v>
      </c>
      <c r="Y28" s="324" t="str">
        <f t="shared" si="14"/>
        <v>--</v>
      </c>
      <c r="Z28" s="325" t="s">
        <v>219</v>
      </c>
      <c r="AA28" s="16">
        <f t="shared" si="15"/>
        <v>1980.99</v>
      </c>
      <c r="AB28" s="17"/>
      <c r="AC28" s="15"/>
    </row>
    <row r="29" spans="1:28" s="5" customFormat="1" ht="16.5" customHeight="1">
      <c r="A29" s="88"/>
      <c r="B29" s="93"/>
      <c r="C29" s="297">
        <v>30</v>
      </c>
      <c r="D29" s="174" t="s">
        <v>269</v>
      </c>
      <c r="E29" s="311" t="s">
        <v>274</v>
      </c>
      <c r="F29" s="312">
        <v>100</v>
      </c>
      <c r="G29" s="313" t="s">
        <v>278</v>
      </c>
      <c r="H29" s="314">
        <f t="shared" si="0"/>
        <v>31.900000000000002</v>
      </c>
      <c r="I29" s="181">
        <v>39704.334027777775</v>
      </c>
      <c r="J29" s="181">
        <v>39704.82083333333</v>
      </c>
      <c r="K29" s="315">
        <f t="shared" si="1"/>
        <v>11.683333333348855</v>
      </c>
      <c r="L29" s="14">
        <f t="shared" si="2"/>
        <v>701</v>
      </c>
      <c r="M29" s="182" t="s">
        <v>222</v>
      </c>
      <c r="N29" s="244" t="str">
        <f t="shared" si="3"/>
        <v>--</v>
      </c>
      <c r="O29" s="179" t="str">
        <f t="shared" si="4"/>
        <v>--</v>
      </c>
      <c r="P29" s="178" t="str">
        <f t="shared" si="5"/>
        <v>NO</v>
      </c>
      <c r="Q29" s="316">
        <f t="shared" si="6"/>
        <v>2</v>
      </c>
      <c r="R29" s="317">
        <f t="shared" si="7"/>
        <v>745.1840000000001</v>
      </c>
      <c r="S29" s="318" t="str">
        <f t="shared" si="8"/>
        <v>--</v>
      </c>
      <c r="T29" s="319" t="str">
        <f t="shared" si="9"/>
        <v>--</v>
      </c>
      <c r="U29" s="320" t="str">
        <f t="shared" si="10"/>
        <v>--</v>
      </c>
      <c r="V29" s="321" t="str">
        <f t="shared" si="11"/>
        <v>--</v>
      </c>
      <c r="W29" s="322" t="str">
        <f t="shared" si="12"/>
        <v>--</v>
      </c>
      <c r="X29" s="323" t="str">
        <f t="shared" si="13"/>
        <v>--</v>
      </c>
      <c r="Y29" s="324" t="str">
        <f t="shared" si="14"/>
        <v>--</v>
      </c>
      <c r="Z29" s="325" t="s">
        <v>219</v>
      </c>
      <c r="AA29" s="16">
        <f t="shared" si="15"/>
        <v>745.1840000000001</v>
      </c>
      <c r="AB29" s="17"/>
    </row>
    <row r="30" spans="1:28" s="5" customFormat="1" ht="16.5" customHeight="1">
      <c r="A30" s="88"/>
      <c r="B30" s="93"/>
      <c r="C30" s="180">
        <v>31</v>
      </c>
      <c r="D30" s="174" t="s">
        <v>269</v>
      </c>
      <c r="E30" s="311" t="s">
        <v>274</v>
      </c>
      <c r="F30" s="312">
        <v>100</v>
      </c>
      <c r="G30" s="313" t="s">
        <v>278</v>
      </c>
      <c r="H30" s="314">
        <f t="shared" si="0"/>
        <v>31.900000000000002</v>
      </c>
      <c r="I30" s="181">
        <v>39705.35138888889</v>
      </c>
      <c r="J30" s="181">
        <v>39705.592361111114</v>
      </c>
      <c r="K30" s="315">
        <f t="shared" si="1"/>
        <v>5.783333333325572</v>
      </c>
      <c r="L30" s="14">
        <f t="shared" si="2"/>
        <v>347</v>
      </c>
      <c r="M30" s="182" t="s">
        <v>222</v>
      </c>
      <c r="N30" s="244" t="str">
        <f t="shared" si="3"/>
        <v>--</v>
      </c>
      <c r="O30" s="179" t="str">
        <f t="shared" si="4"/>
        <v>--</v>
      </c>
      <c r="P30" s="178" t="str">
        <f t="shared" si="5"/>
        <v>NO</v>
      </c>
      <c r="Q30" s="316">
        <f t="shared" si="6"/>
        <v>2</v>
      </c>
      <c r="R30" s="317">
        <f t="shared" si="7"/>
        <v>368.76400000000007</v>
      </c>
      <c r="S30" s="318" t="str">
        <f t="shared" si="8"/>
        <v>--</v>
      </c>
      <c r="T30" s="319" t="str">
        <f t="shared" si="9"/>
        <v>--</v>
      </c>
      <c r="U30" s="320" t="str">
        <f t="shared" si="10"/>
        <v>--</v>
      </c>
      <c r="V30" s="321" t="str">
        <f t="shared" si="11"/>
        <v>--</v>
      </c>
      <c r="W30" s="322" t="str">
        <f t="shared" si="12"/>
        <v>--</v>
      </c>
      <c r="X30" s="323" t="str">
        <f t="shared" si="13"/>
        <v>--</v>
      </c>
      <c r="Y30" s="324" t="str">
        <f t="shared" si="14"/>
        <v>--</v>
      </c>
      <c r="Z30" s="325" t="s">
        <v>219</v>
      </c>
      <c r="AA30" s="16">
        <f t="shared" si="15"/>
        <v>368.76400000000007</v>
      </c>
      <c r="AB30" s="17"/>
    </row>
    <row r="31" spans="1:28" s="5" customFormat="1" ht="16.5" customHeight="1">
      <c r="A31" s="88"/>
      <c r="B31" s="93"/>
      <c r="C31" s="297">
        <v>32</v>
      </c>
      <c r="D31" s="174" t="s">
        <v>346</v>
      </c>
      <c r="E31" s="311" t="s">
        <v>275</v>
      </c>
      <c r="F31" s="312">
        <v>150</v>
      </c>
      <c r="G31" s="313" t="s">
        <v>347</v>
      </c>
      <c r="H31" s="314">
        <f t="shared" si="0"/>
        <v>47.85</v>
      </c>
      <c r="I31" s="181">
        <v>39707.35972222222</v>
      </c>
      <c r="J31" s="181">
        <v>39707.708333333336</v>
      </c>
      <c r="K31" s="315">
        <f t="shared" si="1"/>
        <v>8.36666666669771</v>
      </c>
      <c r="L31" s="14">
        <f t="shared" si="2"/>
        <v>502</v>
      </c>
      <c r="M31" s="182" t="s">
        <v>222</v>
      </c>
      <c r="N31" s="244" t="str">
        <f t="shared" si="3"/>
        <v>--</v>
      </c>
      <c r="O31" s="179" t="str">
        <f t="shared" si="4"/>
        <v>--</v>
      </c>
      <c r="P31" s="178" t="str">
        <f t="shared" si="5"/>
        <v>NO</v>
      </c>
      <c r="Q31" s="316">
        <f t="shared" si="6"/>
        <v>2</v>
      </c>
      <c r="R31" s="317">
        <f t="shared" si="7"/>
        <v>801.0089999999999</v>
      </c>
      <c r="S31" s="318" t="str">
        <f t="shared" si="8"/>
        <v>--</v>
      </c>
      <c r="T31" s="319" t="str">
        <f t="shared" si="9"/>
        <v>--</v>
      </c>
      <c r="U31" s="320" t="str">
        <f t="shared" si="10"/>
        <v>--</v>
      </c>
      <c r="V31" s="321" t="str">
        <f t="shared" si="11"/>
        <v>--</v>
      </c>
      <c r="W31" s="322" t="str">
        <f t="shared" si="12"/>
        <v>--</v>
      </c>
      <c r="X31" s="323" t="str">
        <f t="shared" si="13"/>
        <v>--</v>
      </c>
      <c r="Y31" s="324" t="str">
        <f t="shared" si="14"/>
        <v>--</v>
      </c>
      <c r="Z31" s="325" t="s">
        <v>219</v>
      </c>
      <c r="AA31" s="16">
        <f t="shared" si="15"/>
        <v>801.0089999999999</v>
      </c>
      <c r="AB31" s="17"/>
    </row>
    <row r="32" spans="1:28" s="5" customFormat="1" ht="16.5" customHeight="1">
      <c r="A32" s="88"/>
      <c r="B32" s="93"/>
      <c r="C32" s="180">
        <v>33</v>
      </c>
      <c r="D32" s="174" t="s">
        <v>346</v>
      </c>
      <c r="E32" s="327" t="s">
        <v>275</v>
      </c>
      <c r="F32" s="312">
        <v>150</v>
      </c>
      <c r="G32" s="313" t="s">
        <v>347</v>
      </c>
      <c r="H32" s="314">
        <f t="shared" si="0"/>
        <v>47.85</v>
      </c>
      <c r="I32" s="181">
        <v>39707.709027777775</v>
      </c>
      <c r="J32" s="181">
        <v>39708.67569444444</v>
      </c>
      <c r="K32" s="315">
        <f t="shared" si="1"/>
        <v>23.20000000001164</v>
      </c>
      <c r="L32" s="14">
        <f t="shared" si="2"/>
        <v>1392</v>
      </c>
      <c r="M32" s="182" t="s">
        <v>252</v>
      </c>
      <c r="N32" s="244" t="str">
        <f t="shared" si="3"/>
        <v>--</v>
      </c>
      <c r="O32" s="178" t="s">
        <v>219</v>
      </c>
      <c r="P32" s="178" t="str">
        <f t="shared" si="5"/>
        <v>NO</v>
      </c>
      <c r="Q32" s="316">
        <f t="shared" si="6"/>
        <v>20</v>
      </c>
      <c r="R32" s="317" t="str">
        <f t="shared" si="7"/>
        <v>--</v>
      </c>
      <c r="S32" s="318" t="str">
        <f t="shared" si="8"/>
        <v>--</v>
      </c>
      <c r="T32" s="319" t="str">
        <f t="shared" si="9"/>
        <v>--</v>
      </c>
      <c r="U32" s="320">
        <f t="shared" si="10"/>
        <v>22202.399999999998</v>
      </c>
      <c r="V32" s="321" t="str">
        <f t="shared" si="11"/>
        <v>--</v>
      </c>
      <c r="W32" s="322" t="str">
        <f t="shared" si="12"/>
        <v>--</v>
      </c>
      <c r="X32" s="323" t="str">
        <f t="shared" si="13"/>
        <v>--</v>
      </c>
      <c r="Y32" s="324" t="str">
        <f t="shared" si="14"/>
        <v>--</v>
      </c>
      <c r="Z32" s="325" t="s">
        <v>219</v>
      </c>
      <c r="AA32" s="16">
        <f t="shared" si="15"/>
        <v>22202.399999999998</v>
      </c>
      <c r="AB32" s="17"/>
    </row>
    <row r="33" spans="1:28" s="5" customFormat="1" ht="16.5" customHeight="1">
      <c r="A33" s="88"/>
      <c r="B33" s="93"/>
      <c r="C33" s="180">
        <v>35</v>
      </c>
      <c r="D33" s="174" t="s">
        <v>269</v>
      </c>
      <c r="E33" s="327" t="s">
        <v>348</v>
      </c>
      <c r="F33" s="312">
        <v>100</v>
      </c>
      <c r="G33" s="313" t="s">
        <v>278</v>
      </c>
      <c r="H33" s="314">
        <f t="shared" si="0"/>
        <v>31.900000000000002</v>
      </c>
      <c r="I33" s="181">
        <v>39708.018055555556</v>
      </c>
      <c r="J33" s="181">
        <v>39708.02916666667</v>
      </c>
      <c r="K33" s="315">
        <f t="shared" si="1"/>
        <v>0.26666666666278616</v>
      </c>
      <c r="L33" s="14">
        <f t="shared" si="2"/>
        <v>16</v>
      </c>
      <c r="M33" s="182" t="s">
        <v>222</v>
      </c>
      <c r="N33" s="244" t="str">
        <f t="shared" si="3"/>
        <v>--</v>
      </c>
      <c r="O33" s="179" t="str">
        <f t="shared" si="4"/>
        <v>--</v>
      </c>
      <c r="P33" s="178" t="str">
        <f t="shared" si="5"/>
        <v>NO</v>
      </c>
      <c r="Q33" s="316">
        <f t="shared" si="6"/>
        <v>2</v>
      </c>
      <c r="R33" s="317">
        <f t="shared" si="7"/>
        <v>17.226000000000003</v>
      </c>
      <c r="S33" s="318" t="str">
        <f t="shared" si="8"/>
        <v>--</v>
      </c>
      <c r="T33" s="319" t="str">
        <f t="shared" si="9"/>
        <v>--</v>
      </c>
      <c r="U33" s="320" t="str">
        <f t="shared" si="10"/>
        <v>--</v>
      </c>
      <c r="V33" s="321" t="str">
        <f t="shared" si="11"/>
        <v>--</v>
      </c>
      <c r="W33" s="322" t="str">
        <f t="shared" si="12"/>
        <v>--</v>
      </c>
      <c r="X33" s="323" t="str">
        <f t="shared" si="13"/>
        <v>--</v>
      </c>
      <c r="Y33" s="324" t="str">
        <f t="shared" si="14"/>
        <v>--</v>
      </c>
      <c r="Z33" s="325" t="s">
        <v>219</v>
      </c>
      <c r="AA33" s="16">
        <f t="shared" si="15"/>
        <v>17.226000000000003</v>
      </c>
      <c r="AB33" s="17"/>
    </row>
    <row r="34" spans="1:28" s="5" customFormat="1" ht="16.5" customHeight="1">
      <c r="A34" s="88"/>
      <c r="B34" s="93"/>
      <c r="C34" s="297">
        <v>36</v>
      </c>
      <c r="D34" s="174" t="s">
        <v>279</v>
      </c>
      <c r="E34" s="327" t="s">
        <v>280</v>
      </c>
      <c r="F34" s="312">
        <v>100</v>
      </c>
      <c r="G34" s="313" t="s">
        <v>278</v>
      </c>
      <c r="H34" s="314">
        <f t="shared" si="0"/>
        <v>31.900000000000002</v>
      </c>
      <c r="I34" s="181">
        <v>39710.30416666667</v>
      </c>
      <c r="J34" s="181">
        <v>39710.57777777778</v>
      </c>
      <c r="K34" s="315">
        <f t="shared" si="1"/>
        <v>6.566666666592937</v>
      </c>
      <c r="L34" s="14">
        <f t="shared" si="2"/>
        <v>394</v>
      </c>
      <c r="M34" s="182" t="s">
        <v>222</v>
      </c>
      <c r="N34" s="244" t="str">
        <f t="shared" si="3"/>
        <v>--</v>
      </c>
      <c r="O34" s="179" t="str">
        <f t="shared" si="4"/>
        <v>--</v>
      </c>
      <c r="P34" s="178" t="str">
        <f t="shared" si="5"/>
        <v>NO</v>
      </c>
      <c r="Q34" s="316">
        <f t="shared" si="6"/>
        <v>2</v>
      </c>
      <c r="R34" s="317">
        <f t="shared" si="7"/>
        <v>419.16600000000005</v>
      </c>
      <c r="S34" s="318" t="str">
        <f t="shared" si="8"/>
        <v>--</v>
      </c>
      <c r="T34" s="319" t="str">
        <f t="shared" si="9"/>
        <v>--</v>
      </c>
      <c r="U34" s="320" t="str">
        <f t="shared" si="10"/>
        <v>--</v>
      </c>
      <c r="V34" s="321" t="str">
        <f t="shared" si="11"/>
        <v>--</v>
      </c>
      <c r="W34" s="322" t="str">
        <f t="shared" si="12"/>
        <v>--</v>
      </c>
      <c r="X34" s="323" t="str">
        <f t="shared" si="13"/>
        <v>--</v>
      </c>
      <c r="Y34" s="324" t="str">
        <f t="shared" si="14"/>
        <v>--</v>
      </c>
      <c r="Z34" s="325" t="s">
        <v>219</v>
      </c>
      <c r="AA34" s="16">
        <f t="shared" si="15"/>
        <v>419.16600000000005</v>
      </c>
      <c r="AB34" s="17"/>
    </row>
    <row r="35" spans="1:28" s="5" customFormat="1" ht="16.5" customHeight="1">
      <c r="A35" s="88"/>
      <c r="B35" s="93"/>
      <c r="C35" s="180">
        <v>37</v>
      </c>
      <c r="D35" s="174" t="s">
        <v>281</v>
      </c>
      <c r="E35" s="327" t="s">
        <v>267</v>
      </c>
      <c r="F35" s="312">
        <v>300</v>
      </c>
      <c r="G35" s="313" t="s">
        <v>347</v>
      </c>
      <c r="H35" s="314">
        <f t="shared" si="0"/>
        <v>95.7</v>
      </c>
      <c r="I35" s="181">
        <v>39711.285416666666</v>
      </c>
      <c r="J35" s="181">
        <v>39711.379166666666</v>
      </c>
      <c r="K35" s="315">
        <f t="shared" si="1"/>
        <v>2.25</v>
      </c>
      <c r="L35" s="14">
        <f t="shared" si="2"/>
        <v>135</v>
      </c>
      <c r="M35" s="182" t="s">
        <v>222</v>
      </c>
      <c r="N35" s="244" t="str">
        <f t="shared" si="3"/>
        <v>--</v>
      </c>
      <c r="O35" s="179" t="str">
        <f t="shared" si="4"/>
        <v>--</v>
      </c>
      <c r="P35" s="178" t="str">
        <f t="shared" si="5"/>
        <v>NO</v>
      </c>
      <c r="Q35" s="316">
        <f t="shared" si="6"/>
        <v>2</v>
      </c>
      <c r="R35" s="317">
        <f t="shared" si="7"/>
        <v>430.65000000000003</v>
      </c>
      <c r="S35" s="318" t="str">
        <f t="shared" si="8"/>
        <v>--</v>
      </c>
      <c r="T35" s="319" t="str">
        <f t="shared" si="9"/>
        <v>--</v>
      </c>
      <c r="U35" s="320" t="str">
        <f t="shared" si="10"/>
        <v>--</v>
      </c>
      <c r="V35" s="321" t="str">
        <f t="shared" si="11"/>
        <v>--</v>
      </c>
      <c r="W35" s="322" t="str">
        <f t="shared" si="12"/>
        <v>--</v>
      </c>
      <c r="X35" s="323" t="str">
        <f t="shared" si="13"/>
        <v>--</v>
      </c>
      <c r="Y35" s="324" t="str">
        <f t="shared" si="14"/>
        <v>--</v>
      </c>
      <c r="Z35" s="325" t="s">
        <v>219</v>
      </c>
      <c r="AA35" s="16">
        <f t="shared" si="15"/>
        <v>430.65000000000003</v>
      </c>
      <c r="AB35" s="17"/>
    </row>
    <row r="36" spans="1:28" s="5" customFormat="1" ht="16.5" customHeight="1">
      <c r="A36" s="88"/>
      <c r="B36" s="93"/>
      <c r="C36" s="297">
        <v>38</v>
      </c>
      <c r="D36" s="174" t="s">
        <v>279</v>
      </c>
      <c r="E36" s="327" t="s">
        <v>280</v>
      </c>
      <c r="F36" s="312">
        <v>100</v>
      </c>
      <c r="G36" s="313" t="s">
        <v>278</v>
      </c>
      <c r="H36" s="314">
        <f t="shared" si="0"/>
        <v>31.900000000000002</v>
      </c>
      <c r="I36" s="181">
        <v>39711.29583333333</v>
      </c>
      <c r="J36" s="181">
        <v>39711.71805555555</v>
      </c>
      <c r="K36" s="315">
        <f t="shared" si="1"/>
        <v>10.133333333360497</v>
      </c>
      <c r="L36" s="14">
        <f t="shared" si="2"/>
        <v>608</v>
      </c>
      <c r="M36" s="182" t="s">
        <v>222</v>
      </c>
      <c r="N36" s="244" t="str">
        <f t="shared" si="3"/>
        <v>--</v>
      </c>
      <c r="O36" s="179" t="str">
        <f t="shared" si="4"/>
        <v>--</v>
      </c>
      <c r="P36" s="178" t="str">
        <f t="shared" si="5"/>
        <v>NO</v>
      </c>
      <c r="Q36" s="316">
        <f t="shared" si="6"/>
        <v>2</v>
      </c>
      <c r="R36" s="317">
        <f t="shared" si="7"/>
        <v>646.2940000000001</v>
      </c>
      <c r="S36" s="318" t="str">
        <f t="shared" si="8"/>
        <v>--</v>
      </c>
      <c r="T36" s="319" t="str">
        <f t="shared" si="9"/>
        <v>--</v>
      </c>
      <c r="U36" s="320" t="str">
        <f t="shared" si="10"/>
        <v>--</v>
      </c>
      <c r="V36" s="321" t="str">
        <f t="shared" si="11"/>
        <v>--</v>
      </c>
      <c r="W36" s="322" t="str">
        <f t="shared" si="12"/>
        <v>--</v>
      </c>
      <c r="X36" s="323" t="str">
        <f t="shared" si="13"/>
        <v>--</v>
      </c>
      <c r="Y36" s="324" t="str">
        <f t="shared" si="14"/>
        <v>--</v>
      </c>
      <c r="Z36" s="325" t="s">
        <v>219</v>
      </c>
      <c r="AA36" s="16">
        <f t="shared" si="15"/>
        <v>646.2940000000001</v>
      </c>
      <c r="AB36" s="17"/>
    </row>
    <row r="37" spans="1:28" s="5" customFormat="1" ht="16.5" customHeight="1">
      <c r="A37" s="88"/>
      <c r="B37" s="93"/>
      <c r="C37" s="180">
        <v>39</v>
      </c>
      <c r="D37" s="174" t="s">
        <v>346</v>
      </c>
      <c r="E37" s="327" t="s">
        <v>267</v>
      </c>
      <c r="F37" s="312">
        <v>150</v>
      </c>
      <c r="G37" s="313" t="s">
        <v>347</v>
      </c>
      <c r="H37" s="314">
        <f t="shared" si="0"/>
        <v>47.85</v>
      </c>
      <c r="I37" s="181">
        <v>39711.34305555555</v>
      </c>
      <c r="J37" s="181">
        <v>39718.774305555555</v>
      </c>
      <c r="K37" s="315">
        <f t="shared" si="1"/>
        <v>178.35000000003492</v>
      </c>
      <c r="L37" s="14">
        <f t="shared" si="2"/>
        <v>10701</v>
      </c>
      <c r="M37" s="182" t="s">
        <v>222</v>
      </c>
      <c r="N37" s="244" t="str">
        <f t="shared" si="3"/>
        <v>--</v>
      </c>
      <c r="O37" s="179" t="str">
        <f t="shared" si="4"/>
        <v>--</v>
      </c>
      <c r="P37" s="178" t="str">
        <f t="shared" si="5"/>
        <v>NO</v>
      </c>
      <c r="Q37" s="316">
        <f t="shared" si="6"/>
        <v>2</v>
      </c>
      <c r="R37" s="317">
        <f t="shared" si="7"/>
        <v>17068.095</v>
      </c>
      <c r="S37" s="318" t="str">
        <f t="shared" si="8"/>
        <v>--</v>
      </c>
      <c r="T37" s="319" t="str">
        <f t="shared" si="9"/>
        <v>--</v>
      </c>
      <c r="U37" s="320" t="str">
        <f t="shared" si="10"/>
        <v>--</v>
      </c>
      <c r="V37" s="321" t="str">
        <f t="shared" si="11"/>
        <v>--</v>
      </c>
      <c r="W37" s="322" t="str">
        <f t="shared" si="12"/>
        <v>--</v>
      </c>
      <c r="X37" s="323" t="str">
        <f t="shared" si="13"/>
        <v>--</v>
      </c>
      <c r="Y37" s="324" t="str">
        <f t="shared" si="14"/>
        <v>--</v>
      </c>
      <c r="Z37" s="325" t="s">
        <v>219</v>
      </c>
      <c r="AA37" s="16">
        <f t="shared" si="15"/>
        <v>17068.095</v>
      </c>
      <c r="AB37" s="17"/>
    </row>
    <row r="38" spans="1:28" s="5" customFormat="1" ht="16.5" customHeight="1">
      <c r="A38" s="88"/>
      <c r="B38" s="93"/>
      <c r="C38" s="297">
        <v>40</v>
      </c>
      <c r="D38" s="174" t="s">
        <v>266</v>
      </c>
      <c r="E38" s="327" t="s">
        <v>282</v>
      </c>
      <c r="F38" s="312">
        <v>800</v>
      </c>
      <c r="G38" s="313" t="s">
        <v>268</v>
      </c>
      <c r="H38" s="314">
        <f t="shared" si="0"/>
        <v>255.20000000000002</v>
      </c>
      <c r="I38" s="181">
        <v>39712.18541666667</v>
      </c>
      <c r="J38" s="181">
        <v>39712.433333333334</v>
      </c>
      <c r="K38" s="315">
        <f t="shared" si="1"/>
        <v>5.9500000000116415</v>
      </c>
      <c r="L38" s="14">
        <f t="shared" si="2"/>
        <v>357</v>
      </c>
      <c r="M38" s="182" t="s">
        <v>222</v>
      </c>
      <c r="N38" s="244" t="str">
        <f t="shared" si="3"/>
        <v>--</v>
      </c>
      <c r="O38" s="179" t="str">
        <f t="shared" si="4"/>
        <v>--</v>
      </c>
      <c r="P38" s="178" t="str">
        <f t="shared" si="5"/>
        <v>NO</v>
      </c>
      <c r="Q38" s="316">
        <f t="shared" si="6"/>
        <v>2</v>
      </c>
      <c r="R38" s="317">
        <f t="shared" si="7"/>
        <v>3036.88</v>
      </c>
      <c r="S38" s="318" t="str">
        <f t="shared" si="8"/>
        <v>--</v>
      </c>
      <c r="T38" s="319" t="str">
        <f t="shared" si="9"/>
        <v>--</v>
      </c>
      <c r="U38" s="320" t="str">
        <f t="shared" si="10"/>
        <v>--</v>
      </c>
      <c r="V38" s="321" t="str">
        <f t="shared" si="11"/>
        <v>--</v>
      </c>
      <c r="W38" s="322" t="str">
        <f t="shared" si="12"/>
        <v>--</v>
      </c>
      <c r="X38" s="323" t="str">
        <f t="shared" si="13"/>
        <v>--</v>
      </c>
      <c r="Y38" s="324" t="str">
        <f t="shared" si="14"/>
        <v>--</v>
      </c>
      <c r="Z38" s="325" t="s">
        <v>219</v>
      </c>
      <c r="AA38" s="16">
        <f t="shared" si="15"/>
        <v>3036.88</v>
      </c>
      <c r="AB38" s="17"/>
    </row>
    <row r="39" spans="1:28" s="5" customFormat="1" ht="16.5" customHeight="1">
      <c r="A39" s="88"/>
      <c r="B39" s="93"/>
      <c r="C39" s="180">
        <v>41</v>
      </c>
      <c r="D39" s="174" t="s">
        <v>281</v>
      </c>
      <c r="E39" s="327" t="s">
        <v>267</v>
      </c>
      <c r="F39" s="312">
        <v>300</v>
      </c>
      <c r="G39" s="313" t="s">
        <v>113</v>
      </c>
      <c r="H39" s="314">
        <f t="shared" si="0"/>
        <v>95.7</v>
      </c>
      <c r="I39" s="181">
        <v>39712.25902777778</v>
      </c>
      <c r="J39" s="181">
        <v>39713.7125</v>
      </c>
      <c r="K39" s="315">
        <f t="shared" si="1"/>
        <v>34.8833333333605</v>
      </c>
      <c r="L39" s="14">
        <f t="shared" si="2"/>
        <v>2093</v>
      </c>
      <c r="M39" s="182" t="s">
        <v>222</v>
      </c>
      <c r="N39" s="244" t="str">
        <f t="shared" si="3"/>
        <v>--</v>
      </c>
      <c r="O39" s="179" t="str">
        <f t="shared" si="4"/>
        <v>--</v>
      </c>
      <c r="P39" s="178" t="str">
        <f t="shared" si="5"/>
        <v>NO</v>
      </c>
      <c r="Q39" s="316">
        <f t="shared" si="6"/>
        <v>2</v>
      </c>
      <c r="R39" s="317">
        <f t="shared" si="7"/>
        <v>6676.032000000001</v>
      </c>
      <c r="S39" s="318" t="str">
        <f t="shared" si="8"/>
        <v>--</v>
      </c>
      <c r="T39" s="319" t="str">
        <f t="shared" si="9"/>
        <v>--</v>
      </c>
      <c r="U39" s="320" t="str">
        <f t="shared" si="10"/>
        <v>--</v>
      </c>
      <c r="V39" s="321" t="str">
        <f t="shared" si="11"/>
        <v>--</v>
      </c>
      <c r="W39" s="322" t="str">
        <f t="shared" si="12"/>
        <v>--</v>
      </c>
      <c r="X39" s="323" t="str">
        <f t="shared" si="13"/>
        <v>--</v>
      </c>
      <c r="Y39" s="324" t="str">
        <f t="shared" si="14"/>
        <v>--</v>
      </c>
      <c r="Z39" s="325" t="s">
        <v>219</v>
      </c>
      <c r="AA39" s="16">
        <f t="shared" si="15"/>
        <v>6676.032000000001</v>
      </c>
      <c r="AB39" s="17"/>
    </row>
    <row r="40" spans="1:28" s="5" customFormat="1" ht="16.5" customHeight="1">
      <c r="A40" s="88"/>
      <c r="B40" s="93"/>
      <c r="C40" s="297"/>
      <c r="D40" s="174"/>
      <c r="E40" s="327"/>
      <c r="F40" s="312"/>
      <c r="G40" s="313"/>
      <c r="H40" s="314">
        <f t="shared" si="0"/>
        <v>0</v>
      </c>
      <c r="I40" s="181"/>
      <c r="J40" s="181"/>
      <c r="K40" s="315">
        <f t="shared" si="1"/>
      </c>
      <c r="L40" s="14">
        <f t="shared" si="2"/>
      </c>
      <c r="M40" s="182"/>
      <c r="N40" s="244">
        <f t="shared" si="3"/>
      </c>
      <c r="O40" s="179">
        <f t="shared" si="4"/>
      </c>
      <c r="P40" s="178">
        <f t="shared" si="5"/>
      </c>
      <c r="Q40" s="316">
        <f t="shared" si="6"/>
        <v>20</v>
      </c>
      <c r="R40" s="317" t="str">
        <f t="shared" si="7"/>
        <v>--</v>
      </c>
      <c r="S40" s="318" t="str">
        <f t="shared" si="8"/>
        <v>--</v>
      </c>
      <c r="T40" s="319" t="str">
        <f t="shared" si="9"/>
        <v>--</v>
      </c>
      <c r="U40" s="320" t="str">
        <f t="shared" si="10"/>
        <v>--</v>
      </c>
      <c r="V40" s="321" t="str">
        <f t="shared" si="11"/>
        <v>--</v>
      </c>
      <c r="W40" s="322" t="str">
        <f t="shared" si="12"/>
        <v>--</v>
      </c>
      <c r="X40" s="323" t="str">
        <f t="shared" si="13"/>
        <v>--</v>
      </c>
      <c r="Y40" s="324" t="str">
        <f t="shared" si="14"/>
        <v>--</v>
      </c>
      <c r="Z40" s="325">
        <f>IF(D40="","","SI")</f>
      </c>
      <c r="AA40" s="16">
        <f t="shared" si="15"/>
      </c>
      <c r="AB40" s="17"/>
    </row>
    <row r="41" spans="1:28" s="5" customFormat="1" ht="16.5" customHeight="1" thickBot="1">
      <c r="A41" s="88"/>
      <c r="B41" s="93"/>
      <c r="C41" s="180"/>
      <c r="D41" s="328"/>
      <c r="E41" s="329"/>
      <c r="F41" s="328"/>
      <c r="G41" s="330"/>
      <c r="H41" s="130"/>
      <c r="I41" s="183"/>
      <c r="J41" s="331"/>
      <c r="K41" s="332"/>
      <c r="L41" s="333"/>
      <c r="M41" s="188"/>
      <c r="N41" s="216"/>
      <c r="O41" s="186"/>
      <c r="P41" s="188"/>
      <c r="Q41" s="334"/>
      <c r="R41" s="335"/>
      <c r="S41" s="336"/>
      <c r="T41" s="337"/>
      <c r="U41" s="338"/>
      <c r="V41" s="339"/>
      <c r="W41" s="340"/>
      <c r="X41" s="341"/>
      <c r="Y41" s="342"/>
      <c r="Z41" s="343"/>
      <c r="AA41" s="344"/>
      <c r="AB41" s="17"/>
    </row>
    <row r="42" spans="1:28" s="5" customFormat="1" ht="16.5" customHeight="1" thickBot="1" thickTop="1">
      <c r="A42" s="88"/>
      <c r="B42" s="93"/>
      <c r="C42" s="126" t="s">
        <v>23</v>
      </c>
      <c r="D42" s="127" t="s">
        <v>340</v>
      </c>
      <c r="E42" s="15"/>
      <c r="F42" s="15"/>
      <c r="G42" s="15"/>
      <c r="H42" s="15"/>
      <c r="I42" s="15"/>
      <c r="J42" s="97"/>
      <c r="K42" s="15"/>
      <c r="L42" s="15"/>
      <c r="M42" s="15"/>
      <c r="N42" s="15"/>
      <c r="O42" s="15"/>
      <c r="P42" s="15"/>
      <c r="Q42" s="15"/>
      <c r="R42" s="345">
        <f aca="true" t="shared" si="16" ref="R42:Y42">SUM(R20:R41)</f>
        <v>48301.704</v>
      </c>
      <c r="S42" s="346">
        <f t="shared" si="16"/>
        <v>0</v>
      </c>
      <c r="T42" s="347">
        <f t="shared" si="16"/>
        <v>0</v>
      </c>
      <c r="U42" s="348">
        <f t="shared" si="16"/>
        <v>22853.159999999996</v>
      </c>
      <c r="V42" s="349">
        <f t="shared" si="16"/>
        <v>0</v>
      </c>
      <c r="W42" s="350">
        <f t="shared" si="16"/>
        <v>0</v>
      </c>
      <c r="X42" s="351">
        <f t="shared" si="16"/>
        <v>0</v>
      </c>
      <c r="Y42" s="352">
        <f t="shared" si="16"/>
        <v>0</v>
      </c>
      <c r="Z42" s="88"/>
      <c r="AA42" s="353">
        <f>ROUND(SUM(AA20:AA41),2)</f>
        <v>71154.86</v>
      </c>
      <c r="AB42" s="17"/>
    </row>
    <row r="43" spans="1:28" s="5" customFormat="1" ht="16.5" customHeight="1" thickBot="1" thickTop="1">
      <c r="A43" s="88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</row>
    <row r="44" spans="1:29" ht="16.5" customHeight="1" thickTop="1">
      <c r="A44" s="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</row>
    <row r="45" spans="1:29" ht="16.5" customHeight="1">
      <c r="A45" s="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6.5" customHeight="1">
      <c r="A46" s="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</row>
    <row r="47" spans="1:29" ht="16.5" customHeight="1">
      <c r="A47" s="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</row>
    <row r="48" spans="4:29" ht="16.5" customHeight="1"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</row>
    <row r="49" spans="4:29" ht="16.5" customHeight="1"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</row>
    <row r="50" spans="4:29" ht="16.5" customHeight="1"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</row>
    <row r="51" spans="4:29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</row>
    <row r="52" spans="4:29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</row>
    <row r="53" spans="4:29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</row>
    <row r="54" spans="4:29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</row>
    <row r="55" spans="4:29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</row>
    <row r="56" spans="4:29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</row>
    <row r="57" spans="4:29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</row>
    <row r="58" spans="4:29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</row>
    <row r="59" spans="4:29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</row>
    <row r="60" spans="4:29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</row>
    <row r="61" spans="4:29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</row>
    <row r="62" spans="4:29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</row>
    <row r="63" spans="4:29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</row>
    <row r="64" spans="4:29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</row>
    <row r="65" spans="4:29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4:29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</row>
    <row r="67" spans="4:29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</row>
    <row r="68" spans="4:29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</row>
    <row r="69" spans="4:29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4:29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</row>
    <row r="71" spans="4:29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</row>
    <row r="72" spans="4:29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</row>
    <row r="73" spans="4:29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</row>
    <row r="74" spans="4:29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4:29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</row>
    <row r="76" spans="4:29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</row>
    <row r="77" spans="4:29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</row>
    <row r="78" spans="4:29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4:29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</row>
    <row r="80" spans="4:29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</row>
    <row r="81" spans="4:29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</row>
    <row r="82" spans="4:29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</row>
    <row r="83" spans="4:29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</row>
    <row r="84" spans="4:29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</row>
    <row r="85" spans="4:29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</row>
    <row r="86" spans="4:29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4:29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</row>
    <row r="88" spans="4:29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</row>
    <row r="89" spans="4:29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</row>
    <row r="90" spans="4:29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</row>
    <row r="91" spans="4:29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</row>
    <row r="92" spans="4:29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</row>
    <row r="93" spans="4:29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</row>
    <row r="94" spans="4:29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4:29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4:29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4:29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4:29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4:29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4:29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4:29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4:29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4:29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</row>
    <row r="104" spans="4:29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</row>
    <row r="105" spans="4:29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</row>
    <row r="106" spans="4:29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</row>
    <row r="107" spans="4:29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</row>
    <row r="108" spans="4:29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4:29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</row>
    <row r="110" spans="4:29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4:29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4:29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</row>
    <row r="113" spans="4:29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</row>
    <row r="114" spans="4:29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</row>
    <row r="115" spans="4:29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</row>
    <row r="116" spans="4:29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</row>
    <row r="117" spans="4:29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</row>
    <row r="118" spans="4:29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</row>
    <row r="119" spans="4:29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</row>
    <row r="120" spans="4:29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4:29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4:29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4:29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</row>
    <row r="124" spans="4:29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</row>
    <row r="125" spans="4:29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</row>
    <row r="126" spans="4:29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</row>
    <row r="127" spans="4:29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</row>
    <row r="128" spans="4:29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</row>
    <row r="129" spans="4:29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</row>
    <row r="130" spans="4:29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</row>
    <row r="131" spans="4:29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4:29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4:29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4:29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4:29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4:29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4:29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4:29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4:29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4:29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</row>
    <row r="141" spans="4:29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</row>
    <row r="142" spans="4:29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</row>
    <row r="143" spans="4:29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</row>
    <row r="144" spans="4:29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</row>
    <row r="145" spans="4:29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</row>
    <row r="146" spans="4:29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</row>
    <row r="147" spans="4:29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</row>
    <row r="148" spans="4:29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4:29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</row>
    <row r="150" spans="4:29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</row>
    <row r="151" spans="4:29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ht="16.5" customHeight="1">
      <c r="AC152" s="202"/>
    </row>
    <row r="153" ht="16.5" customHeight="1">
      <c r="AC153" s="202"/>
    </row>
    <row r="154" ht="16.5" customHeight="1">
      <c r="AC154" s="202"/>
    </row>
    <row r="155" ht="16.5" customHeight="1">
      <c r="AC155" s="202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A1">
      <selection activeCell="E27" sqref="E2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66" t="str">
        <f>+'TOT-0908'!B2</f>
        <v>ANEXO IV al Memorándum D.T.E.E. N°   366  / 2010          </v>
      </c>
      <c r="C2" s="266"/>
      <c r="D2" s="266"/>
      <c r="E2" s="19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67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67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68" t="s">
        <v>66</v>
      </c>
      <c r="E8" s="104"/>
      <c r="F8" s="104"/>
      <c r="G8" s="269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70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9" customFormat="1" ht="30" customHeight="1">
      <c r="A10" s="933"/>
      <c r="B10" s="934"/>
      <c r="C10" s="933"/>
      <c r="D10" s="935" t="s">
        <v>232</v>
      </c>
      <c r="E10" s="933"/>
      <c r="F10" s="936"/>
      <c r="G10" s="937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8"/>
    </row>
    <row r="11" spans="1:28" s="944" customFormat="1" ht="9.75" customHeight="1">
      <c r="A11" s="940"/>
      <c r="B11" s="941"/>
      <c r="C11" s="940"/>
      <c r="E11" s="942"/>
      <c r="F11" s="942"/>
      <c r="G11" s="942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3"/>
    </row>
    <row r="12" spans="1:28" s="944" customFormat="1" ht="21" customHeight="1">
      <c r="A12" s="933"/>
      <c r="B12" s="934"/>
      <c r="C12" s="933"/>
      <c r="D12" s="935" t="s">
        <v>407</v>
      </c>
      <c r="E12" s="933"/>
      <c r="F12" s="933"/>
      <c r="G12" s="933"/>
      <c r="H12" s="946"/>
      <c r="I12" s="946"/>
      <c r="J12" s="946"/>
      <c r="K12" s="946"/>
      <c r="L12" s="946"/>
      <c r="M12" s="940"/>
      <c r="N12" s="940"/>
      <c r="O12" s="940"/>
      <c r="P12" s="940"/>
      <c r="Q12" s="940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3"/>
    </row>
    <row r="13" spans="1:28" s="5" customFormat="1" ht="12.75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08"/>
      <c r="B14" s="37" t="str">
        <f>'TOT-0908'!B14</f>
        <v>Desde el 01 al 30 de septiembre de 2008</v>
      </c>
      <c r="C14" s="271"/>
      <c r="D14" s="111"/>
      <c r="E14" s="111"/>
      <c r="F14" s="111"/>
      <c r="G14" s="111"/>
      <c r="H14" s="111"/>
      <c r="I14" s="111"/>
      <c r="J14" s="111"/>
      <c r="K14" s="111"/>
      <c r="L14" s="111"/>
      <c r="M14" s="271"/>
      <c r="N14" s="271"/>
      <c r="O14" s="271"/>
      <c r="P14" s="271"/>
      <c r="Q14" s="27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272"/>
    </row>
    <row r="15" spans="1:28" s="5" customFormat="1" ht="13.5" thickBot="1">
      <c r="A15" s="88"/>
      <c r="B15" s="93"/>
      <c r="C15" s="88"/>
      <c r="D15" s="15"/>
      <c r="E15" s="15"/>
      <c r="F15" s="15"/>
      <c r="G15" s="96"/>
      <c r="H15" s="15"/>
      <c r="I15" s="15"/>
      <c r="J15" s="15"/>
      <c r="K15" s="15"/>
      <c r="L15" s="15"/>
      <c r="M15" s="88"/>
      <c r="N15" s="88"/>
      <c r="O15" s="88"/>
      <c r="P15" s="88"/>
      <c r="Q15" s="8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88"/>
      <c r="B16" s="93"/>
      <c r="C16" s="88"/>
      <c r="D16" s="273" t="s">
        <v>72</v>
      </c>
      <c r="E16" s="274"/>
      <c r="F16" s="275">
        <v>0.319</v>
      </c>
      <c r="H16" s="88"/>
      <c r="I16" s="88"/>
      <c r="J16" s="88"/>
      <c r="K16" s="88"/>
      <c r="L16" s="88"/>
      <c r="M16" s="88"/>
      <c r="N16" s="8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88"/>
      <c r="B17" s="93"/>
      <c r="C17" s="88"/>
      <c r="D17" s="109" t="s">
        <v>24</v>
      </c>
      <c r="E17" s="110"/>
      <c r="F17" s="913">
        <v>200</v>
      </c>
      <c r="G17"/>
      <c r="H17" s="15"/>
      <c r="I17" s="226"/>
      <c r="J17" s="227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7"/>
      <c r="V17" s="97"/>
      <c r="W17" s="97"/>
      <c r="X17" s="97"/>
      <c r="Y17" s="97"/>
      <c r="Z17" s="97"/>
      <c r="AA17" s="88"/>
      <c r="AB17" s="17"/>
    </row>
    <row r="18" spans="1:28" s="5" customFormat="1" ht="16.5" customHeight="1" thickBot="1" thickTop="1">
      <c r="A18" s="88"/>
      <c r="B18" s="93"/>
      <c r="C18" s="88"/>
      <c r="D18" s="15"/>
      <c r="E18" s="15"/>
      <c r="F18" s="15"/>
      <c r="G18" s="9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88"/>
      <c r="B19" s="93"/>
      <c r="C19" s="122" t="s">
        <v>12</v>
      </c>
      <c r="D19" s="118" t="s">
        <v>25</v>
      </c>
      <c r="E19" s="117" t="s">
        <v>26</v>
      </c>
      <c r="F19" s="119" t="s">
        <v>27</v>
      </c>
      <c r="G19" s="120" t="s">
        <v>13</v>
      </c>
      <c r="H19" s="128" t="s">
        <v>15</v>
      </c>
      <c r="I19" s="117" t="s">
        <v>16</v>
      </c>
      <c r="J19" s="117" t="s">
        <v>17</v>
      </c>
      <c r="K19" s="118" t="s">
        <v>28</v>
      </c>
      <c r="L19" s="118" t="s">
        <v>29</v>
      </c>
      <c r="M19" s="87" t="s">
        <v>18</v>
      </c>
      <c r="N19" s="87" t="s">
        <v>56</v>
      </c>
      <c r="O19" s="121" t="s">
        <v>30</v>
      </c>
      <c r="P19" s="117" t="s">
        <v>31</v>
      </c>
      <c r="Q19" s="276" t="s">
        <v>35</v>
      </c>
      <c r="R19" s="277" t="s">
        <v>19</v>
      </c>
      <c r="S19" s="278" t="s">
        <v>20</v>
      </c>
      <c r="T19" s="231" t="s">
        <v>73</v>
      </c>
      <c r="U19" s="233"/>
      <c r="V19" s="279" t="s">
        <v>74</v>
      </c>
      <c r="W19" s="280"/>
      <c r="X19" s="281" t="s">
        <v>21</v>
      </c>
      <c r="Y19" s="282" t="s">
        <v>69</v>
      </c>
      <c r="Z19" s="131" t="s">
        <v>70</v>
      </c>
      <c r="AA19" s="120" t="s">
        <v>22</v>
      </c>
      <c r="AB19" s="17"/>
    </row>
    <row r="20" spans="1:28" s="5" customFormat="1" ht="16.5" customHeight="1" thickTop="1">
      <c r="A20" s="88"/>
      <c r="B20" s="93"/>
      <c r="C20" s="283"/>
      <c r="D20" s="283"/>
      <c r="E20" s="283"/>
      <c r="F20" s="283"/>
      <c r="G20" s="284"/>
      <c r="H20" s="285"/>
      <c r="I20" s="283"/>
      <c r="J20" s="283"/>
      <c r="K20" s="283"/>
      <c r="L20" s="283"/>
      <c r="M20" s="283"/>
      <c r="N20" s="206"/>
      <c r="O20" s="286"/>
      <c r="P20" s="283"/>
      <c r="Q20" s="287"/>
      <c r="R20" s="288"/>
      <c r="S20" s="289"/>
      <c r="T20" s="290"/>
      <c r="U20" s="291"/>
      <c r="V20" s="292"/>
      <c r="W20" s="293"/>
      <c r="X20" s="294"/>
      <c r="Y20" s="295"/>
      <c r="Z20" s="286"/>
      <c r="AA20" s="296"/>
      <c r="AB20" s="17"/>
    </row>
    <row r="21" spans="1:28" s="5" customFormat="1" ht="16.5" customHeight="1">
      <c r="A21" s="88"/>
      <c r="B21" s="93"/>
      <c r="C21" s="297"/>
      <c r="D21" s="174"/>
      <c r="E21" s="327"/>
      <c r="F21" s="312"/>
      <c r="G21" s="313"/>
      <c r="H21" s="314"/>
      <c r="I21" s="181"/>
      <c r="J21" s="181"/>
      <c r="K21" s="315"/>
      <c r="L21" s="14"/>
      <c r="M21" s="182"/>
      <c r="N21" s="244"/>
      <c r="O21" s="179"/>
      <c r="P21" s="178"/>
      <c r="Q21" s="316"/>
      <c r="R21" s="317"/>
      <c r="S21" s="318"/>
      <c r="T21" s="319"/>
      <c r="U21" s="320"/>
      <c r="V21" s="321"/>
      <c r="W21" s="322"/>
      <c r="X21" s="323"/>
      <c r="Y21" s="324"/>
      <c r="Z21" s="325"/>
      <c r="AA21" s="16"/>
      <c r="AB21" s="17"/>
    </row>
    <row r="22" spans="1:28" s="5" customFormat="1" ht="16.5" customHeight="1">
      <c r="A22" s="88"/>
      <c r="B22" s="93"/>
      <c r="C22" s="297">
        <v>34</v>
      </c>
      <c r="D22" s="174" t="s">
        <v>276</v>
      </c>
      <c r="E22" s="327" t="s">
        <v>277</v>
      </c>
      <c r="F22" s="312">
        <v>150</v>
      </c>
      <c r="G22" s="313" t="s">
        <v>278</v>
      </c>
      <c r="H22" s="314">
        <f>F22*$F$16</f>
        <v>47.85</v>
      </c>
      <c r="I22" s="181">
        <v>39707.82430555556</v>
      </c>
      <c r="J22" s="181">
        <v>39721.99930555555</v>
      </c>
      <c r="K22" s="315">
        <f>IF(D22="","",(J22-I22)*24)</f>
        <v>340.1999999998952</v>
      </c>
      <c r="L22" s="14">
        <f>IF(D22="","",ROUND((J22-I22)*24*60,0))</f>
        <v>20412</v>
      </c>
      <c r="M22" s="182" t="s">
        <v>252</v>
      </c>
      <c r="N22" s="244" t="str">
        <f>IF(D22="","","--")</f>
        <v>--</v>
      </c>
      <c r="O22" s="179" t="str">
        <f>IF(D22="","",IF(OR(M22="P",M22="RP"),"--","NO"))</f>
        <v>NO</v>
      </c>
      <c r="P22" s="178" t="str">
        <f>IF(D22="","","NO")</f>
        <v>NO</v>
      </c>
      <c r="Q22" s="316">
        <f>$F$17*IF(OR(M22="P",M22="RP"),0.1,1)*IF(P22="SI",1,0.1)</f>
        <v>20</v>
      </c>
      <c r="R22" s="317" t="str">
        <f>IF(M22="P",H22*Q22*ROUND(L22/60,2),"--")</f>
        <v>--</v>
      </c>
      <c r="S22" s="318" t="str">
        <f>IF(M22="RP",H22*Q22*N22/100*ROUND(L22/60,2),"--")</f>
        <v>--</v>
      </c>
      <c r="T22" s="319">
        <f>IF(AND(M22="F",O22="NO"),H22*Q22,"--")</f>
        <v>957</v>
      </c>
      <c r="U22" s="320">
        <f>IF(M22="F",H22*Q22*ROUND(L22/60,2),"--")</f>
        <v>325571.39999999997</v>
      </c>
      <c r="V22" s="321" t="str">
        <f>IF(AND(M22="R",O22="NO"),H22*Q22*N22/100,"--")</f>
        <v>--</v>
      </c>
      <c r="W22" s="322" t="str">
        <f>IF(M22="R",H22*Q22*N22/100*ROUND(L22/60,2),"--")</f>
        <v>--</v>
      </c>
      <c r="X22" s="323" t="str">
        <f>IF(M22="RF",H22*Q22*ROUND(L22/60,2),"--")</f>
        <v>--</v>
      </c>
      <c r="Y22" s="324" t="str">
        <f>IF(M22="RR",H22*Q22*N22/100*ROUND(L22/60,2),"--")</f>
        <v>--</v>
      </c>
      <c r="Z22" s="325" t="s">
        <v>219</v>
      </c>
      <c r="AA22" s="16">
        <f>IF(D22="","",(SUM(R22:Y22)*IF(Z22="SI",1,2)*IF(AND(N22&lt;&gt;"--",M22="RF"),N22/100,1)))</f>
        <v>326528.39999999997</v>
      </c>
      <c r="AB22" s="17"/>
    </row>
    <row r="23" spans="1:28" s="5" customFormat="1" ht="16.5" customHeight="1">
      <c r="A23" s="88"/>
      <c r="B23" s="93"/>
      <c r="C23" s="297"/>
      <c r="D23" s="174"/>
      <c r="E23" s="311"/>
      <c r="F23" s="312"/>
      <c r="G23" s="313"/>
      <c r="H23" s="314"/>
      <c r="I23" s="181"/>
      <c r="J23" s="181"/>
      <c r="K23" s="315"/>
      <c r="L23" s="14"/>
      <c r="M23" s="182"/>
      <c r="N23" s="244"/>
      <c r="O23" s="179"/>
      <c r="P23" s="178"/>
      <c r="Q23" s="316"/>
      <c r="R23" s="317"/>
      <c r="S23" s="318"/>
      <c r="T23" s="319"/>
      <c r="U23" s="320"/>
      <c r="V23" s="321"/>
      <c r="W23" s="322"/>
      <c r="X23" s="323"/>
      <c r="Y23" s="324"/>
      <c r="Z23" s="325"/>
      <c r="AA23" s="16"/>
      <c r="AB23" s="17"/>
    </row>
    <row r="24" spans="1:28" s="5" customFormat="1" ht="16.5" customHeight="1">
      <c r="A24" s="88"/>
      <c r="B24" s="93"/>
      <c r="C24" s="180"/>
      <c r="D24" s="174"/>
      <c r="E24" s="311"/>
      <c r="F24" s="312"/>
      <c r="G24" s="313"/>
      <c r="H24" s="314"/>
      <c r="I24" s="181"/>
      <c r="J24" s="181"/>
      <c r="K24" s="315"/>
      <c r="L24" s="14"/>
      <c r="M24" s="182"/>
      <c r="N24" s="244"/>
      <c r="O24" s="178"/>
      <c r="P24" s="178"/>
      <c r="Q24" s="316"/>
      <c r="R24" s="317"/>
      <c r="S24" s="318"/>
      <c r="T24" s="319"/>
      <c r="U24" s="320"/>
      <c r="V24" s="321"/>
      <c r="W24" s="322"/>
      <c r="X24" s="323"/>
      <c r="Y24" s="324"/>
      <c r="Z24" s="325"/>
      <c r="AA24" s="16"/>
      <c r="AB24" s="17"/>
    </row>
    <row r="25" spans="1:28" s="5" customFormat="1" ht="16.5" customHeight="1">
      <c r="A25" s="88"/>
      <c r="B25" s="93"/>
      <c r="C25" s="297"/>
      <c r="D25" s="174"/>
      <c r="E25" s="311"/>
      <c r="F25" s="312"/>
      <c r="G25" s="313"/>
      <c r="H25" s="314"/>
      <c r="I25" s="181"/>
      <c r="J25" s="181"/>
      <c r="K25" s="315"/>
      <c r="L25" s="14"/>
      <c r="M25" s="182"/>
      <c r="N25" s="244"/>
      <c r="O25" s="179"/>
      <c r="P25" s="178"/>
      <c r="Q25" s="316"/>
      <c r="R25" s="317"/>
      <c r="S25" s="318"/>
      <c r="T25" s="319"/>
      <c r="U25" s="320"/>
      <c r="V25" s="321"/>
      <c r="W25" s="322"/>
      <c r="X25" s="323"/>
      <c r="Y25" s="324"/>
      <c r="Z25" s="325"/>
      <c r="AA25" s="16"/>
      <c r="AB25" s="17"/>
    </row>
    <row r="26" spans="1:28" s="5" customFormat="1" ht="16.5" customHeight="1">
      <c r="A26" s="88"/>
      <c r="B26" s="93"/>
      <c r="C26" s="180"/>
      <c r="D26" s="174"/>
      <c r="E26" s="311"/>
      <c r="F26" s="312"/>
      <c r="G26" s="313"/>
      <c r="H26" s="314"/>
      <c r="I26" s="181"/>
      <c r="J26" s="181"/>
      <c r="K26" s="315"/>
      <c r="L26" s="14"/>
      <c r="M26" s="182"/>
      <c r="N26" s="244"/>
      <c r="O26" s="179"/>
      <c r="P26" s="178"/>
      <c r="Q26" s="316"/>
      <c r="R26" s="317"/>
      <c r="S26" s="318"/>
      <c r="T26" s="319"/>
      <c r="U26" s="320"/>
      <c r="V26" s="321"/>
      <c r="W26" s="322"/>
      <c r="X26" s="323"/>
      <c r="Y26" s="324"/>
      <c r="Z26" s="325"/>
      <c r="AA26" s="16"/>
      <c r="AB26" s="17"/>
    </row>
    <row r="27" spans="1:28" s="5" customFormat="1" ht="16.5" customHeight="1">
      <c r="A27" s="88"/>
      <c r="B27" s="93"/>
      <c r="C27" s="297"/>
      <c r="D27" s="174"/>
      <c r="E27" s="311"/>
      <c r="F27" s="312"/>
      <c r="G27" s="313"/>
      <c r="H27" s="314"/>
      <c r="I27" s="181"/>
      <c r="J27" s="181"/>
      <c r="K27" s="315"/>
      <c r="L27" s="14"/>
      <c r="M27" s="182"/>
      <c r="N27" s="244"/>
      <c r="O27" s="179"/>
      <c r="P27" s="178"/>
      <c r="Q27" s="316"/>
      <c r="R27" s="317"/>
      <c r="S27" s="318"/>
      <c r="T27" s="319"/>
      <c r="U27" s="320"/>
      <c r="V27" s="321"/>
      <c r="W27" s="322"/>
      <c r="X27" s="323"/>
      <c r="Y27" s="324"/>
      <c r="Z27" s="325"/>
      <c r="AA27" s="16"/>
      <c r="AB27" s="17"/>
    </row>
    <row r="28" spans="1:29" s="5" customFormat="1" ht="16.5" customHeight="1">
      <c r="A28" s="88"/>
      <c r="B28" s="93"/>
      <c r="C28" s="180"/>
      <c r="D28" s="174"/>
      <c r="E28" s="311"/>
      <c r="F28" s="312"/>
      <c r="G28" s="313"/>
      <c r="H28" s="314"/>
      <c r="I28" s="181"/>
      <c r="J28" s="181"/>
      <c r="K28" s="315"/>
      <c r="L28" s="14"/>
      <c r="M28" s="182"/>
      <c r="N28" s="244"/>
      <c r="O28" s="179"/>
      <c r="P28" s="178"/>
      <c r="Q28" s="316"/>
      <c r="R28" s="317"/>
      <c r="S28" s="318"/>
      <c r="T28" s="319"/>
      <c r="U28" s="320"/>
      <c r="V28" s="321"/>
      <c r="W28" s="322"/>
      <c r="X28" s="323"/>
      <c r="Y28" s="324"/>
      <c r="Z28" s="325"/>
      <c r="AA28" s="16"/>
      <c r="AB28" s="17"/>
      <c r="AC28" s="15"/>
    </row>
    <row r="29" spans="1:28" s="5" customFormat="1" ht="16.5" customHeight="1">
      <c r="A29" s="88"/>
      <c r="B29" s="93"/>
      <c r="C29" s="297"/>
      <c r="D29" s="174"/>
      <c r="E29" s="311"/>
      <c r="F29" s="312"/>
      <c r="G29" s="313"/>
      <c r="H29" s="314"/>
      <c r="I29" s="181"/>
      <c r="J29" s="181"/>
      <c r="K29" s="315"/>
      <c r="L29" s="14"/>
      <c r="M29" s="182"/>
      <c r="N29" s="244"/>
      <c r="O29" s="179"/>
      <c r="P29" s="178"/>
      <c r="Q29" s="316"/>
      <c r="R29" s="317"/>
      <c r="S29" s="318"/>
      <c r="T29" s="319"/>
      <c r="U29" s="320"/>
      <c r="V29" s="321"/>
      <c r="W29" s="322"/>
      <c r="X29" s="323"/>
      <c r="Y29" s="324"/>
      <c r="Z29" s="325"/>
      <c r="AA29" s="16"/>
      <c r="AB29" s="17"/>
    </row>
    <row r="30" spans="1:28" s="5" customFormat="1" ht="16.5" customHeight="1">
      <c r="A30" s="88"/>
      <c r="B30" s="93"/>
      <c r="C30" s="180"/>
      <c r="D30" s="174"/>
      <c r="E30" s="311"/>
      <c r="F30" s="312"/>
      <c r="G30" s="313"/>
      <c r="H30" s="314"/>
      <c r="I30" s="181"/>
      <c r="J30" s="181"/>
      <c r="K30" s="315"/>
      <c r="L30" s="14"/>
      <c r="M30" s="182"/>
      <c r="N30" s="244"/>
      <c r="O30" s="179"/>
      <c r="P30" s="178"/>
      <c r="Q30" s="316"/>
      <c r="R30" s="317"/>
      <c r="S30" s="318"/>
      <c r="T30" s="319"/>
      <c r="U30" s="320"/>
      <c r="V30" s="321"/>
      <c r="W30" s="322"/>
      <c r="X30" s="323"/>
      <c r="Y30" s="324"/>
      <c r="Z30" s="325"/>
      <c r="AA30" s="16"/>
      <c r="AB30" s="17"/>
    </row>
    <row r="31" spans="1:28" s="5" customFormat="1" ht="16.5" customHeight="1">
      <c r="A31" s="88"/>
      <c r="B31" s="93"/>
      <c r="C31" s="297"/>
      <c r="D31" s="174"/>
      <c r="E31" s="311"/>
      <c r="F31" s="312"/>
      <c r="G31" s="313"/>
      <c r="H31" s="314"/>
      <c r="I31" s="181"/>
      <c r="J31" s="181"/>
      <c r="K31" s="315"/>
      <c r="L31" s="14"/>
      <c r="M31" s="182"/>
      <c r="N31" s="244"/>
      <c r="O31" s="179"/>
      <c r="P31" s="178"/>
      <c r="Q31" s="316"/>
      <c r="R31" s="317"/>
      <c r="S31" s="318"/>
      <c r="T31" s="319"/>
      <c r="U31" s="320"/>
      <c r="V31" s="321"/>
      <c r="W31" s="322"/>
      <c r="X31" s="323"/>
      <c r="Y31" s="324"/>
      <c r="Z31" s="325"/>
      <c r="AA31" s="16"/>
      <c r="AB31" s="17"/>
    </row>
    <row r="32" spans="1:28" s="5" customFormat="1" ht="16.5" customHeight="1">
      <c r="A32" s="88"/>
      <c r="B32" s="93"/>
      <c r="C32" s="180"/>
      <c r="D32" s="174"/>
      <c r="E32" s="327"/>
      <c r="F32" s="312"/>
      <c r="G32" s="313"/>
      <c r="H32" s="314"/>
      <c r="I32" s="181"/>
      <c r="J32" s="181"/>
      <c r="K32" s="315"/>
      <c r="L32" s="14"/>
      <c r="M32" s="182"/>
      <c r="N32" s="244"/>
      <c r="O32" s="178"/>
      <c r="P32" s="178"/>
      <c r="Q32" s="316"/>
      <c r="R32" s="317"/>
      <c r="S32" s="318"/>
      <c r="T32" s="319"/>
      <c r="U32" s="320"/>
      <c r="V32" s="321"/>
      <c r="W32" s="322"/>
      <c r="X32" s="323"/>
      <c r="Y32" s="324"/>
      <c r="Z32" s="325"/>
      <c r="AA32" s="16"/>
      <c r="AB32" s="17"/>
    </row>
    <row r="33" spans="1:28" s="5" customFormat="1" ht="16.5" customHeight="1">
      <c r="A33" s="88"/>
      <c r="B33" s="93"/>
      <c r="C33" s="297"/>
      <c r="D33" s="174"/>
      <c r="E33" s="327"/>
      <c r="F33" s="312"/>
      <c r="G33" s="313"/>
      <c r="H33" s="314"/>
      <c r="I33" s="181"/>
      <c r="J33" s="181"/>
      <c r="K33" s="315"/>
      <c r="L33" s="14"/>
      <c r="M33" s="182"/>
      <c r="N33" s="244"/>
      <c r="O33" s="179"/>
      <c r="P33" s="178"/>
      <c r="Q33" s="316"/>
      <c r="R33" s="317"/>
      <c r="S33" s="318"/>
      <c r="T33" s="319"/>
      <c r="U33" s="320"/>
      <c r="V33" s="321"/>
      <c r="W33" s="322"/>
      <c r="X33" s="323"/>
      <c r="Y33" s="324"/>
      <c r="Z33" s="325"/>
      <c r="AA33" s="16"/>
      <c r="AB33" s="17"/>
    </row>
    <row r="34" spans="1:28" s="5" customFormat="1" ht="16.5" customHeight="1">
      <c r="A34" s="88"/>
      <c r="B34" s="93"/>
      <c r="C34" s="180"/>
      <c r="D34" s="174"/>
      <c r="E34" s="327"/>
      <c r="F34" s="312"/>
      <c r="G34" s="313"/>
      <c r="H34" s="314"/>
      <c r="I34" s="181"/>
      <c r="J34" s="181"/>
      <c r="K34" s="315"/>
      <c r="L34" s="14"/>
      <c r="M34" s="182"/>
      <c r="N34" s="244"/>
      <c r="O34" s="179"/>
      <c r="P34" s="178"/>
      <c r="Q34" s="316"/>
      <c r="R34" s="317"/>
      <c r="S34" s="318"/>
      <c r="T34" s="319"/>
      <c r="U34" s="320"/>
      <c r="V34" s="321"/>
      <c r="W34" s="322"/>
      <c r="X34" s="323"/>
      <c r="Y34" s="324"/>
      <c r="Z34" s="325"/>
      <c r="AA34" s="16"/>
      <c r="AB34" s="17"/>
    </row>
    <row r="35" spans="1:28" s="5" customFormat="1" ht="16.5" customHeight="1">
      <c r="A35" s="88"/>
      <c r="B35" s="93"/>
      <c r="C35" s="297"/>
      <c r="D35" s="174"/>
      <c r="E35" s="327"/>
      <c r="F35" s="312"/>
      <c r="G35" s="313"/>
      <c r="H35" s="314"/>
      <c r="I35" s="181"/>
      <c r="J35" s="181"/>
      <c r="K35" s="315"/>
      <c r="L35" s="14"/>
      <c r="M35" s="182"/>
      <c r="N35" s="244"/>
      <c r="O35" s="179"/>
      <c r="P35" s="178"/>
      <c r="Q35" s="316"/>
      <c r="R35" s="317"/>
      <c r="S35" s="318"/>
      <c r="T35" s="319"/>
      <c r="U35" s="320"/>
      <c r="V35" s="321"/>
      <c r="W35" s="322"/>
      <c r="X35" s="323"/>
      <c r="Y35" s="324"/>
      <c r="Z35" s="325"/>
      <c r="AA35" s="16"/>
      <c r="AB35" s="17"/>
    </row>
    <row r="36" spans="1:28" s="5" customFormat="1" ht="16.5" customHeight="1">
      <c r="A36" s="88"/>
      <c r="B36" s="93"/>
      <c r="C36" s="180"/>
      <c r="D36" s="174"/>
      <c r="E36" s="327"/>
      <c r="F36" s="312"/>
      <c r="G36" s="313"/>
      <c r="H36" s="314"/>
      <c r="I36" s="181"/>
      <c r="J36" s="181"/>
      <c r="K36" s="315"/>
      <c r="L36" s="14"/>
      <c r="M36" s="182"/>
      <c r="N36" s="244"/>
      <c r="O36" s="179"/>
      <c r="P36" s="178"/>
      <c r="Q36" s="316"/>
      <c r="R36" s="317"/>
      <c r="S36" s="318"/>
      <c r="T36" s="319"/>
      <c r="U36" s="320"/>
      <c r="V36" s="321"/>
      <c r="W36" s="322"/>
      <c r="X36" s="323"/>
      <c r="Y36" s="324"/>
      <c r="Z36" s="325"/>
      <c r="AA36" s="16"/>
      <c r="AB36" s="17"/>
    </row>
    <row r="37" spans="1:28" s="5" customFormat="1" ht="16.5" customHeight="1">
      <c r="A37" s="88"/>
      <c r="B37" s="93"/>
      <c r="C37" s="297"/>
      <c r="D37" s="174"/>
      <c r="E37" s="327"/>
      <c r="F37" s="312"/>
      <c r="G37" s="313"/>
      <c r="H37" s="314"/>
      <c r="I37" s="181"/>
      <c r="J37" s="181"/>
      <c r="K37" s="315"/>
      <c r="L37" s="14"/>
      <c r="M37" s="182"/>
      <c r="N37" s="244"/>
      <c r="O37" s="179"/>
      <c r="P37" s="178"/>
      <c r="Q37" s="316"/>
      <c r="R37" s="317"/>
      <c r="S37" s="318"/>
      <c r="T37" s="319"/>
      <c r="U37" s="320"/>
      <c r="V37" s="321"/>
      <c r="W37" s="322"/>
      <c r="X37" s="323"/>
      <c r="Y37" s="324"/>
      <c r="Z37" s="325"/>
      <c r="AA37" s="16"/>
      <c r="AB37" s="17"/>
    </row>
    <row r="38" spans="1:28" s="5" customFormat="1" ht="16.5" customHeight="1">
      <c r="A38" s="88"/>
      <c r="B38" s="93"/>
      <c r="C38" s="180"/>
      <c r="D38" s="174"/>
      <c r="E38" s="327"/>
      <c r="F38" s="312"/>
      <c r="G38" s="313"/>
      <c r="H38" s="314"/>
      <c r="I38" s="181"/>
      <c r="J38" s="181"/>
      <c r="K38" s="315"/>
      <c r="L38" s="14"/>
      <c r="M38" s="182"/>
      <c r="N38" s="244"/>
      <c r="O38" s="179"/>
      <c r="P38" s="178"/>
      <c r="Q38" s="316"/>
      <c r="R38" s="317"/>
      <c r="S38" s="318"/>
      <c r="T38" s="319"/>
      <c r="U38" s="320"/>
      <c r="V38" s="321"/>
      <c r="W38" s="322"/>
      <c r="X38" s="323"/>
      <c r="Y38" s="324"/>
      <c r="Z38" s="325"/>
      <c r="AA38" s="16"/>
      <c r="AB38" s="17"/>
    </row>
    <row r="39" spans="1:28" s="5" customFormat="1" ht="16.5" customHeight="1">
      <c r="A39" s="88"/>
      <c r="B39" s="93"/>
      <c r="C39" s="297"/>
      <c r="D39" s="174"/>
      <c r="E39" s="327"/>
      <c r="F39" s="312"/>
      <c r="G39" s="313"/>
      <c r="H39" s="314"/>
      <c r="I39" s="181"/>
      <c r="J39" s="181"/>
      <c r="K39" s="315"/>
      <c r="L39" s="14"/>
      <c r="M39" s="182"/>
      <c r="N39" s="244"/>
      <c r="O39" s="179"/>
      <c r="P39" s="178"/>
      <c r="Q39" s="316"/>
      <c r="R39" s="317"/>
      <c r="S39" s="318"/>
      <c r="T39" s="319"/>
      <c r="U39" s="320"/>
      <c r="V39" s="321"/>
      <c r="W39" s="322"/>
      <c r="X39" s="323"/>
      <c r="Y39" s="324"/>
      <c r="Z39" s="325"/>
      <c r="AA39" s="16"/>
      <c r="AB39" s="17"/>
    </row>
    <row r="40" spans="1:28" s="5" customFormat="1" ht="16.5" customHeight="1">
      <c r="A40" s="88"/>
      <c r="B40" s="93"/>
      <c r="C40" s="180"/>
      <c r="D40" s="174"/>
      <c r="E40" s="327"/>
      <c r="F40" s="312"/>
      <c r="G40" s="313"/>
      <c r="H40" s="314"/>
      <c r="I40" s="181"/>
      <c r="J40" s="181"/>
      <c r="K40" s="315"/>
      <c r="L40" s="14"/>
      <c r="M40" s="182"/>
      <c r="N40" s="244"/>
      <c r="O40" s="179"/>
      <c r="P40" s="178"/>
      <c r="Q40" s="316"/>
      <c r="R40" s="317"/>
      <c r="S40" s="318"/>
      <c r="T40" s="319"/>
      <c r="U40" s="320"/>
      <c r="V40" s="321"/>
      <c r="W40" s="322"/>
      <c r="X40" s="323"/>
      <c r="Y40" s="324"/>
      <c r="Z40" s="325"/>
      <c r="AA40" s="16"/>
      <c r="AB40" s="17"/>
    </row>
    <row r="41" spans="1:28" s="5" customFormat="1" ht="16.5" customHeight="1">
      <c r="A41" s="88"/>
      <c r="B41" s="93"/>
      <c r="C41" s="297"/>
      <c r="D41" s="174"/>
      <c r="E41" s="327"/>
      <c r="F41" s="312"/>
      <c r="G41" s="313"/>
      <c r="H41" s="314">
        <f>F41*$F$16</f>
        <v>0</v>
      </c>
      <c r="I41" s="181"/>
      <c r="J41" s="181"/>
      <c r="K41" s="315">
        <f>IF(D41="","",(J41-I41)*24)</f>
      </c>
      <c r="L41" s="14">
        <f>IF(D41="","",ROUND((J41-I41)*24*60,0))</f>
      </c>
      <c r="M41" s="182"/>
      <c r="N41" s="244">
        <f>IF(D41="","","--")</f>
      </c>
      <c r="O41" s="179">
        <f>IF(D41="","",IF(OR(M41="P",M41="RP"),"--","NO"))</f>
      </c>
      <c r="P41" s="178">
        <f>IF(D41="","","NO")</f>
      </c>
      <c r="Q41" s="316">
        <f>$F$17*IF(OR(M41="P",M41="RP"),0.1,1)*IF(P41="SI",1,0.1)</f>
        <v>20</v>
      </c>
      <c r="R41" s="317" t="str">
        <f>IF(M41="P",H41*Q41*ROUND(L41/60,2),"--")</f>
        <v>--</v>
      </c>
      <c r="S41" s="318" t="str">
        <f>IF(M41="RP",H41*Q41*N41/100*ROUND(L41/60,2),"--")</f>
        <v>--</v>
      </c>
      <c r="T41" s="319" t="str">
        <f>IF(AND(M41="F",O41="NO"),H41*Q41,"--")</f>
        <v>--</v>
      </c>
      <c r="U41" s="320" t="str">
        <f>IF(M41="F",H41*Q41*ROUND(L41/60,2),"--")</f>
        <v>--</v>
      </c>
      <c r="V41" s="321" t="str">
        <f>IF(AND(M41="R",O41="NO"),H41*Q41*N41/100,"--")</f>
        <v>--</v>
      </c>
      <c r="W41" s="322" t="str">
        <f>IF(M41="R",H41*Q41*N41/100*ROUND(L41/60,2),"--")</f>
        <v>--</v>
      </c>
      <c r="X41" s="323" t="str">
        <f>IF(M41="RF",H41*Q41*ROUND(L41/60,2),"--")</f>
        <v>--</v>
      </c>
      <c r="Y41" s="324" t="str">
        <f>IF(M41="RR",H41*Q41*N41/100*ROUND(L41/60,2),"--")</f>
        <v>--</v>
      </c>
      <c r="Z41" s="325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88"/>
      <c r="B42" s="93"/>
      <c r="C42" s="180"/>
      <c r="D42" s="328"/>
      <c r="E42" s="329"/>
      <c r="F42" s="328"/>
      <c r="G42" s="330"/>
      <c r="H42" s="130"/>
      <c r="I42" s="183"/>
      <c r="J42" s="331"/>
      <c r="K42" s="332"/>
      <c r="L42" s="333"/>
      <c r="M42" s="188"/>
      <c r="N42" s="216"/>
      <c r="O42" s="186"/>
      <c r="P42" s="188"/>
      <c r="Q42" s="334"/>
      <c r="R42" s="335"/>
      <c r="S42" s="336"/>
      <c r="T42" s="337"/>
      <c r="U42" s="338"/>
      <c r="V42" s="339"/>
      <c r="W42" s="340"/>
      <c r="X42" s="341"/>
      <c r="Y42" s="342"/>
      <c r="Z42" s="343"/>
      <c r="AA42" s="344"/>
      <c r="AB42" s="17"/>
    </row>
    <row r="43" spans="1:28" s="5" customFormat="1" ht="16.5" customHeight="1" thickBot="1" thickTop="1">
      <c r="A43" s="88"/>
      <c r="B43" s="93"/>
      <c r="C43" s="126" t="s">
        <v>23</v>
      </c>
      <c r="D43" s="127" t="s">
        <v>340</v>
      </c>
      <c r="E43" s="15"/>
      <c r="F43" s="15"/>
      <c r="G43" s="15"/>
      <c r="H43" s="15"/>
      <c r="I43" s="15"/>
      <c r="J43" s="97"/>
      <c r="K43" s="15"/>
      <c r="L43" s="15"/>
      <c r="M43" s="15"/>
      <c r="N43" s="15"/>
      <c r="O43" s="15"/>
      <c r="P43" s="15"/>
      <c r="Q43" s="15"/>
      <c r="R43" s="345">
        <f aca="true" t="shared" si="0" ref="R43:Y43">SUM(R20:R42)</f>
        <v>0</v>
      </c>
      <c r="S43" s="346">
        <f t="shared" si="0"/>
        <v>0</v>
      </c>
      <c r="T43" s="347">
        <f t="shared" si="0"/>
        <v>957</v>
      </c>
      <c r="U43" s="348">
        <f t="shared" si="0"/>
        <v>325571.39999999997</v>
      </c>
      <c r="V43" s="349">
        <f t="shared" si="0"/>
        <v>0</v>
      </c>
      <c r="W43" s="350">
        <f t="shared" si="0"/>
        <v>0</v>
      </c>
      <c r="X43" s="351">
        <f t="shared" si="0"/>
        <v>0</v>
      </c>
      <c r="Y43" s="352">
        <f t="shared" si="0"/>
        <v>0</v>
      </c>
      <c r="Z43" s="88"/>
      <c r="AA43" s="353">
        <f>ROUND(SUM(AA20:AA42),2)</f>
        <v>326528.4</v>
      </c>
      <c r="AB43" s="17"/>
    </row>
    <row r="44" spans="1:28" s="5" customFormat="1" ht="16.5" customHeight="1" thickBot="1" thickTop="1">
      <c r="A44" s="88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</row>
    <row r="45" spans="1:29" ht="16.5" customHeight="1" thickTop="1">
      <c r="A45" s="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6.5" customHeight="1">
      <c r="A46" s="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</row>
    <row r="47" spans="1:29" ht="16.5" customHeight="1">
      <c r="A47" s="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</row>
    <row r="48" spans="1:29" ht="16.5" customHeight="1">
      <c r="A48" s="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</row>
    <row r="49" spans="4:29" ht="16.5" customHeight="1"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</row>
    <row r="50" spans="4:29" ht="16.5" customHeight="1"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</row>
    <row r="51" spans="4:29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</row>
    <row r="52" spans="4:29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</row>
    <row r="53" spans="4:29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</row>
    <row r="54" spans="4:29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</row>
    <row r="55" spans="4:29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</row>
    <row r="56" spans="4:29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</row>
    <row r="57" spans="4:29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</row>
    <row r="58" spans="4:29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</row>
    <row r="59" spans="4:29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</row>
    <row r="60" spans="4:29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</row>
    <row r="61" spans="4:29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</row>
    <row r="62" spans="4:29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</row>
    <row r="63" spans="4:29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</row>
    <row r="64" spans="4:29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</row>
    <row r="65" spans="4:29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4:29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</row>
    <row r="67" spans="4:29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</row>
    <row r="68" spans="4:29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</row>
    <row r="69" spans="4:29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4:29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</row>
    <row r="71" spans="4:29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</row>
    <row r="72" spans="4:29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</row>
    <row r="73" spans="4:29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</row>
    <row r="74" spans="4:29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4:29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</row>
    <row r="76" spans="4:29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</row>
    <row r="77" spans="4:29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</row>
    <row r="78" spans="4:29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4:29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</row>
    <row r="80" spans="4:29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</row>
    <row r="81" spans="4:29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</row>
    <row r="82" spans="4:29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</row>
    <row r="83" spans="4:29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</row>
    <row r="84" spans="4:29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</row>
    <row r="85" spans="4:29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</row>
    <row r="86" spans="4:29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4:29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</row>
    <row r="88" spans="4:29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</row>
    <row r="89" spans="4:29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</row>
    <row r="90" spans="4:29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</row>
    <row r="91" spans="4:29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</row>
    <row r="92" spans="4:29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</row>
    <row r="93" spans="4:29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</row>
    <row r="94" spans="4:29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4:29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4:29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4:29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4:29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4:29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4:29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4:29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4:29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4:29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</row>
    <row r="104" spans="4:29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</row>
    <row r="105" spans="4:29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</row>
    <row r="106" spans="4:29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</row>
    <row r="107" spans="4:29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</row>
    <row r="108" spans="4:29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4:29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</row>
    <row r="110" spans="4:29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4:29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4:29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</row>
    <row r="113" spans="4:29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</row>
    <row r="114" spans="4:29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</row>
    <row r="115" spans="4:29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</row>
    <row r="116" spans="4:29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</row>
    <row r="117" spans="4:29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</row>
    <row r="118" spans="4:29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</row>
    <row r="119" spans="4:29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</row>
    <row r="120" spans="4:29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4:29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4:29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4:29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</row>
    <row r="124" spans="4:29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</row>
    <row r="125" spans="4:29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</row>
    <row r="126" spans="4:29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</row>
    <row r="127" spans="4:29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</row>
    <row r="128" spans="4:29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</row>
    <row r="129" spans="4:29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</row>
    <row r="130" spans="4:29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</row>
    <row r="131" spans="4:29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4:29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4:29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4:29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4:29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4:29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4:29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4:29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4:29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4:29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</row>
    <row r="141" spans="4:29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</row>
    <row r="142" spans="4:29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</row>
    <row r="143" spans="4:29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</row>
    <row r="144" spans="4:29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</row>
    <row r="145" spans="4:29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</row>
    <row r="146" spans="4:29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</row>
    <row r="147" spans="4:29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</row>
    <row r="148" spans="4:29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4:29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</row>
    <row r="150" spans="4:29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</row>
    <row r="151" spans="4:29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spans="4:29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</row>
    <row r="153" ht="16.5" customHeight="1">
      <c r="AC153" s="202"/>
    </row>
    <row r="154" ht="16.5" customHeight="1">
      <c r="AC154" s="202"/>
    </row>
    <row r="155" ht="16.5" customHeight="1">
      <c r="AC155" s="202"/>
    </row>
    <row r="156" ht="16.5" customHeight="1">
      <c r="AC156" s="202"/>
    </row>
    <row r="157" ht="16.5" customHeight="1"/>
    <row r="158" ht="16.5" customHeight="1"/>
    <row r="159" ht="16.5" customHeight="1"/>
  </sheetData>
  <printOptions/>
  <pageMargins left="0.75" right="0.75" top="1" bottom="1" header="0" footer="0"/>
  <pageSetup fitToHeight="1" fitToWidth="1" horizontalDpi="600" verticalDpi="600" orientation="landscape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156"/>
  <sheetViews>
    <sheetView zoomScale="75" zoomScaleNormal="75" workbookViewId="0" topLeftCell="B1">
      <selection activeCell="F17" sqref="F1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66" t="str">
        <f>+'TOT-0908'!B2</f>
        <v>ANEXO IV al Memorándum D.T.E.E. N°   366  / 2010          </v>
      </c>
      <c r="C2" s="266"/>
      <c r="D2" s="266"/>
      <c r="E2" s="19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67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67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68" t="s">
        <v>66</v>
      </c>
      <c r="E8" s="104"/>
      <c r="F8" s="104"/>
      <c r="G8" s="269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70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9" customFormat="1" ht="30" customHeight="1">
      <c r="A10" s="933"/>
      <c r="B10" s="934"/>
      <c r="C10" s="933"/>
      <c r="D10" s="935" t="s">
        <v>232</v>
      </c>
      <c r="E10" s="933"/>
      <c r="F10" s="936"/>
      <c r="G10" s="937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8"/>
    </row>
    <row r="11" spans="1:28" s="944" customFormat="1" ht="9.75" customHeight="1">
      <c r="A11" s="940"/>
      <c r="B11" s="941"/>
      <c r="C11" s="940"/>
      <c r="E11" s="942"/>
      <c r="F11" s="942"/>
      <c r="G11" s="942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3"/>
    </row>
    <row r="12" spans="1:28" s="944" customFormat="1" ht="21" customHeight="1">
      <c r="A12" s="933"/>
      <c r="B12" s="934"/>
      <c r="C12" s="933"/>
      <c r="D12" s="945" t="s">
        <v>233</v>
      </c>
      <c r="E12" s="933"/>
      <c r="F12" s="933"/>
      <c r="G12" s="933"/>
      <c r="H12" s="946"/>
      <c r="I12" s="946"/>
      <c r="J12" s="946"/>
      <c r="K12" s="946"/>
      <c r="L12" s="946"/>
      <c r="M12" s="940"/>
      <c r="N12" s="940"/>
      <c r="O12" s="940"/>
      <c r="P12" s="940"/>
      <c r="Q12" s="940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3"/>
    </row>
    <row r="13" spans="1:28" s="5" customFormat="1" ht="12.75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08"/>
      <c r="B14" s="37" t="str">
        <f>'TOT-0908'!B14</f>
        <v>Desde el 01 al 30 de septiembre de 2008</v>
      </c>
      <c r="C14" s="271"/>
      <c r="D14" s="111"/>
      <c r="E14" s="111"/>
      <c r="F14" s="111"/>
      <c r="G14" s="111"/>
      <c r="H14" s="111"/>
      <c r="I14" s="111"/>
      <c r="J14" s="111"/>
      <c r="K14" s="111"/>
      <c r="L14" s="111"/>
      <c r="M14" s="271"/>
      <c r="N14" s="271"/>
      <c r="O14" s="271"/>
      <c r="P14" s="271"/>
      <c r="Q14" s="27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272"/>
    </row>
    <row r="15" spans="1:28" s="5" customFormat="1" ht="13.5" thickBot="1">
      <c r="A15" s="88"/>
      <c r="B15" s="93"/>
      <c r="C15" s="88"/>
      <c r="D15" s="15"/>
      <c r="E15" s="15"/>
      <c r="F15" s="15"/>
      <c r="G15" s="96"/>
      <c r="H15" s="15"/>
      <c r="I15" s="15"/>
      <c r="J15" s="15"/>
      <c r="K15" s="15"/>
      <c r="L15" s="15"/>
      <c r="M15" s="88"/>
      <c r="N15" s="88"/>
      <c r="O15" s="88"/>
      <c r="P15" s="88"/>
      <c r="Q15" s="8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88"/>
      <c r="B16" s="93"/>
      <c r="C16" s="88"/>
      <c r="D16" s="273" t="s">
        <v>72</v>
      </c>
      <c r="E16" s="274"/>
      <c r="F16" s="275">
        <v>0.319</v>
      </c>
      <c r="H16" s="88"/>
      <c r="I16" s="88"/>
      <c r="J16" s="88"/>
      <c r="K16" s="88"/>
      <c r="L16" s="88"/>
      <c r="M16" s="88"/>
      <c r="N16" s="8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88"/>
      <c r="B17" s="93"/>
      <c r="C17" s="88"/>
      <c r="D17" s="109" t="s">
        <v>24</v>
      </c>
      <c r="E17" s="110"/>
      <c r="F17" s="913">
        <v>200</v>
      </c>
      <c r="G17"/>
      <c r="H17" s="15"/>
      <c r="I17" s="226"/>
      <c r="J17" s="227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7"/>
      <c r="V17" s="97"/>
      <c r="W17" s="97"/>
      <c r="X17" s="97"/>
      <c r="Y17" s="97"/>
      <c r="Z17" s="97"/>
      <c r="AA17" s="88"/>
      <c r="AB17" s="17"/>
    </row>
    <row r="18" spans="1:28" s="5" customFormat="1" ht="16.5" customHeight="1" thickBot="1" thickTop="1">
      <c r="A18" s="88"/>
      <c r="B18" s="93"/>
      <c r="C18" s="88"/>
      <c r="D18" s="15"/>
      <c r="E18" s="15"/>
      <c r="F18" s="15"/>
      <c r="G18" s="9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88"/>
      <c r="B19" s="93"/>
      <c r="C19" s="122" t="s">
        <v>12</v>
      </c>
      <c r="D19" s="118" t="s">
        <v>25</v>
      </c>
      <c r="E19" s="117" t="s">
        <v>26</v>
      </c>
      <c r="F19" s="119" t="s">
        <v>27</v>
      </c>
      <c r="G19" s="120" t="s">
        <v>13</v>
      </c>
      <c r="H19" s="128" t="s">
        <v>15</v>
      </c>
      <c r="I19" s="117" t="s">
        <v>16</v>
      </c>
      <c r="J19" s="117" t="s">
        <v>17</v>
      </c>
      <c r="K19" s="118" t="s">
        <v>28</v>
      </c>
      <c r="L19" s="118" t="s">
        <v>29</v>
      </c>
      <c r="M19" s="87" t="s">
        <v>18</v>
      </c>
      <c r="N19" s="87" t="s">
        <v>56</v>
      </c>
      <c r="O19" s="121" t="s">
        <v>30</v>
      </c>
      <c r="P19" s="117" t="s">
        <v>31</v>
      </c>
      <c r="Q19" s="276" t="s">
        <v>35</v>
      </c>
      <c r="R19" s="277" t="s">
        <v>19</v>
      </c>
      <c r="S19" s="278" t="s">
        <v>20</v>
      </c>
      <c r="T19" s="231" t="s">
        <v>73</v>
      </c>
      <c r="U19" s="233"/>
      <c r="V19" s="279" t="s">
        <v>74</v>
      </c>
      <c r="W19" s="280"/>
      <c r="X19" s="281" t="s">
        <v>21</v>
      </c>
      <c r="Y19" s="282" t="s">
        <v>69</v>
      </c>
      <c r="Z19" s="131" t="s">
        <v>70</v>
      </c>
      <c r="AA19" s="120" t="s">
        <v>22</v>
      </c>
      <c r="AB19" s="17"/>
    </row>
    <row r="20" spans="1:28" s="5" customFormat="1" ht="16.5" customHeight="1" thickTop="1">
      <c r="A20" s="88"/>
      <c r="B20" s="93"/>
      <c r="C20" s="283"/>
      <c r="D20" s="283"/>
      <c r="E20" s="283"/>
      <c r="F20" s="283"/>
      <c r="G20" s="284"/>
      <c r="H20" s="285"/>
      <c r="I20" s="283"/>
      <c r="J20" s="283"/>
      <c r="K20" s="283"/>
      <c r="L20" s="283"/>
      <c r="M20" s="283"/>
      <c r="N20" s="206"/>
      <c r="O20" s="286"/>
      <c r="P20" s="283"/>
      <c r="Q20" s="287"/>
      <c r="R20" s="288"/>
      <c r="S20" s="289"/>
      <c r="T20" s="290"/>
      <c r="U20" s="291"/>
      <c r="V20" s="292"/>
      <c r="W20" s="293"/>
      <c r="X20" s="294"/>
      <c r="Y20" s="295"/>
      <c r="Z20" s="286"/>
      <c r="AA20" s="296">
        <f>'TR-09 (1)'!AA42</f>
        <v>71154.86</v>
      </c>
      <c r="AB20" s="17"/>
    </row>
    <row r="21" spans="1:28" s="5" customFormat="1" ht="16.5" customHeight="1">
      <c r="A21" s="88"/>
      <c r="B21" s="93"/>
      <c r="C21" s="297"/>
      <c r="D21" s="297"/>
      <c r="E21" s="297"/>
      <c r="F21" s="297"/>
      <c r="G21" s="298"/>
      <c r="H21" s="299"/>
      <c r="I21" s="297"/>
      <c r="J21" s="297"/>
      <c r="K21" s="297"/>
      <c r="L21" s="297"/>
      <c r="M21" s="297"/>
      <c r="N21" s="208"/>
      <c r="O21" s="300"/>
      <c r="P21" s="297"/>
      <c r="Q21" s="301"/>
      <c r="R21" s="302"/>
      <c r="S21" s="303"/>
      <c r="T21" s="304"/>
      <c r="U21" s="305"/>
      <c r="V21" s="306"/>
      <c r="W21" s="307"/>
      <c r="X21" s="308"/>
      <c r="Y21" s="309"/>
      <c r="Z21" s="300"/>
      <c r="AA21" s="310"/>
      <c r="AB21" s="17"/>
    </row>
    <row r="22" spans="1:28" s="5" customFormat="1" ht="16.5" customHeight="1">
      <c r="A22" s="88"/>
      <c r="B22" s="93"/>
      <c r="C22" s="180">
        <v>42</v>
      </c>
      <c r="D22" s="174" t="s">
        <v>279</v>
      </c>
      <c r="E22" s="311" t="s">
        <v>280</v>
      </c>
      <c r="F22" s="312">
        <v>100</v>
      </c>
      <c r="G22" s="313" t="s">
        <v>113</v>
      </c>
      <c r="H22" s="314">
        <f aca="true" t="shared" si="0" ref="H22:H41">F22*$F$16</f>
        <v>31.900000000000002</v>
      </c>
      <c r="I22" s="181">
        <v>39712.339583333334</v>
      </c>
      <c r="J22" s="181">
        <v>39712.69375</v>
      </c>
      <c r="K22" s="315">
        <f aca="true" t="shared" si="1" ref="K22:K41">IF(D22="","",(J22-I22)*24)</f>
        <v>8.499999999941792</v>
      </c>
      <c r="L22" s="14">
        <f aca="true" t="shared" si="2" ref="L22:L41">IF(D22="","",ROUND((J22-I22)*24*60,0))</f>
        <v>510</v>
      </c>
      <c r="M22" s="182" t="s">
        <v>222</v>
      </c>
      <c r="N22" s="244" t="str">
        <f aca="true" t="shared" si="3" ref="N22:N41">IF(D22="","","--")</f>
        <v>--</v>
      </c>
      <c r="O22" s="179" t="str">
        <f aca="true" t="shared" si="4" ref="O22:O41">IF(D22="","",IF(OR(M22="P",M22="RP"),"--","NO"))</f>
        <v>--</v>
      </c>
      <c r="P22" s="178" t="str">
        <f aca="true" t="shared" si="5" ref="P22:P41">IF(D22="","","NO")</f>
        <v>NO</v>
      </c>
      <c r="Q22" s="316">
        <f aca="true" t="shared" si="6" ref="Q22:Q41">$F$17*IF(OR(M22="P",M22="RP"),0.1,1)*IF(P22="SI",1,0.1)</f>
        <v>2</v>
      </c>
      <c r="R22" s="317">
        <f aca="true" t="shared" si="7" ref="R22:R41">IF(M22="P",H22*Q22*ROUND(L22/60,2),"--")</f>
        <v>542.3000000000001</v>
      </c>
      <c r="S22" s="318" t="str">
        <f aca="true" t="shared" si="8" ref="S22:S41">IF(M22="RP",H22*Q22*N22/100*ROUND(L22/60,2),"--")</f>
        <v>--</v>
      </c>
      <c r="T22" s="319" t="str">
        <f aca="true" t="shared" si="9" ref="T22:T41">IF(AND(M22="F",O22="NO"),H22*Q22,"--")</f>
        <v>--</v>
      </c>
      <c r="U22" s="320" t="str">
        <f aca="true" t="shared" si="10" ref="U22:U41">IF(M22="F",H22*Q22*ROUND(L22/60,2),"--")</f>
        <v>--</v>
      </c>
      <c r="V22" s="321" t="str">
        <f aca="true" t="shared" si="11" ref="V22:V41">IF(AND(M22="R",O22="NO"),H22*Q22*N22/100,"--")</f>
        <v>--</v>
      </c>
      <c r="W22" s="322" t="str">
        <f aca="true" t="shared" si="12" ref="W22:W41">IF(M22="R",H22*Q22*N22/100*ROUND(L22/60,2),"--")</f>
        <v>--</v>
      </c>
      <c r="X22" s="323" t="str">
        <f aca="true" t="shared" si="13" ref="X22:X41">IF(M22="RF",H22*Q22*ROUND(L22/60,2),"--")</f>
        <v>--</v>
      </c>
      <c r="Y22" s="324" t="str">
        <f aca="true" t="shared" si="14" ref="Y22:Y41">IF(M22="RR",H22*Q22*N22/100*ROUND(L22/60,2),"--")</f>
        <v>--</v>
      </c>
      <c r="Z22" s="325" t="s">
        <v>219</v>
      </c>
      <c r="AA22" s="16">
        <f aca="true" t="shared" si="15" ref="AA22:AA41">IF(D22="","",(SUM(R22:Y22)*IF(Z22="SI",1,2)*IF(AND(N22&lt;&gt;"--",M22="RF"),N22/100,1)))</f>
        <v>542.3000000000001</v>
      </c>
      <c r="AB22" s="17"/>
    </row>
    <row r="23" spans="1:28" s="5" customFormat="1" ht="16.5" customHeight="1">
      <c r="A23" s="88"/>
      <c r="B23" s="93"/>
      <c r="C23" s="297">
        <v>43</v>
      </c>
      <c r="D23" s="174" t="s">
        <v>281</v>
      </c>
      <c r="E23" s="311" t="s">
        <v>267</v>
      </c>
      <c r="F23" s="312">
        <v>300</v>
      </c>
      <c r="G23" s="313" t="s">
        <v>113</v>
      </c>
      <c r="H23" s="314">
        <f t="shared" si="0"/>
        <v>95.7</v>
      </c>
      <c r="I23" s="181">
        <v>39714.28402777778</v>
      </c>
      <c r="J23" s="181">
        <v>39714.7375</v>
      </c>
      <c r="K23" s="315">
        <f t="shared" si="1"/>
        <v>10.883333333360497</v>
      </c>
      <c r="L23" s="14">
        <f t="shared" si="2"/>
        <v>653</v>
      </c>
      <c r="M23" s="182" t="s">
        <v>222</v>
      </c>
      <c r="N23" s="244" t="str">
        <f t="shared" si="3"/>
        <v>--</v>
      </c>
      <c r="O23" s="179" t="str">
        <f t="shared" si="4"/>
        <v>--</v>
      </c>
      <c r="P23" s="178" t="str">
        <f t="shared" si="5"/>
        <v>NO</v>
      </c>
      <c r="Q23" s="316">
        <f t="shared" si="6"/>
        <v>2</v>
      </c>
      <c r="R23" s="317">
        <f t="shared" si="7"/>
        <v>2082.4320000000002</v>
      </c>
      <c r="S23" s="318" t="str">
        <f t="shared" si="8"/>
        <v>--</v>
      </c>
      <c r="T23" s="319" t="str">
        <f t="shared" si="9"/>
        <v>--</v>
      </c>
      <c r="U23" s="320" t="str">
        <f t="shared" si="10"/>
        <v>--</v>
      </c>
      <c r="V23" s="321" t="str">
        <f t="shared" si="11"/>
        <v>--</v>
      </c>
      <c r="W23" s="322" t="str">
        <f t="shared" si="12"/>
        <v>--</v>
      </c>
      <c r="X23" s="323" t="str">
        <f t="shared" si="13"/>
        <v>--</v>
      </c>
      <c r="Y23" s="324" t="str">
        <f t="shared" si="14"/>
        <v>--</v>
      </c>
      <c r="Z23" s="325" t="s">
        <v>219</v>
      </c>
      <c r="AA23" s="16">
        <f t="shared" si="15"/>
        <v>2082.4320000000002</v>
      </c>
      <c r="AB23" s="17"/>
    </row>
    <row r="24" spans="1:28" s="5" customFormat="1" ht="16.5" customHeight="1">
      <c r="A24" s="88"/>
      <c r="B24" s="93"/>
      <c r="C24" s="180">
        <v>44</v>
      </c>
      <c r="D24" s="174" t="s">
        <v>272</v>
      </c>
      <c r="E24" s="311" t="s">
        <v>283</v>
      </c>
      <c r="F24" s="312">
        <v>300</v>
      </c>
      <c r="G24" s="313" t="s">
        <v>278</v>
      </c>
      <c r="H24" s="314">
        <f t="shared" si="0"/>
        <v>95.7</v>
      </c>
      <c r="I24" s="181">
        <v>39715.441666666666</v>
      </c>
      <c r="J24" s="181">
        <v>39715.62708333333</v>
      </c>
      <c r="K24" s="315">
        <f t="shared" si="1"/>
        <v>4.4500000000116415</v>
      </c>
      <c r="L24" s="14">
        <f t="shared" si="2"/>
        <v>267</v>
      </c>
      <c r="M24" s="182" t="s">
        <v>222</v>
      </c>
      <c r="N24" s="244" t="str">
        <f t="shared" si="3"/>
        <v>--</v>
      </c>
      <c r="O24" s="179" t="str">
        <f t="shared" si="4"/>
        <v>--</v>
      </c>
      <c r="P24" s="178" t="str">
        <f t="shared" si="5"/>
        <v>NO</v>
      </c>
      <c r="Q24" s="316">
        <f t="shared" si="6"/>
        <v>2</v>
      </c>
      <c r="R24" s="317">
        <f t="shared" si="7"/>
        <v>851.73</v>
      </c>
      <c r="S24" s="318" t="str">
        <f t="shared" si="8"/>
        <v>--</v>
      </c>
      <c r="T24" s="319" t="str">
        <f t="shared" si="9"/>
        <v>--</v>
      </c>
      <c r="U24" s="320" t="str">
        <f t="shared" si="10"/>
        <v>--</v>
      </c>
      <c r="V24" s="321" t="str">
        <f t="shared" si="11"/>
        <v>--</v>
      </c>
      <c r="W24" s="322" t="str">
        <f t="shared" si="12"/>
        <v>--</v>
      </c>
      <c r="X24" s="323" t="str">
        <f t="shared" si="13"/>
        <v>--</v>
      </c>
      <c r="Y24" s="324" t="str">
        <f t="shared" si="14"/>
        <v>--</v>
      </c>
      <c r="Z24" s="325" t="s">
        <v>219</v>
      </c>
      <c r="AA24" s="16">
        <f t="shared" si="15"/>
        <v>851.73</v>
      </c>
      <c r="AB24" s="17"/>
    </row>
    <row r="25" spans="1:28" s="5" customFormat="1" ht="16.5" customHeight="1">
      <c r="A25" s="88"/>
      <c r="B25" s="93"/>
      <c r="C25" s="297">
        <v>45</v>
      </c>
      <c r="D25" s="174" t="s">
        <v>266</v>
      </c>
      <c r="E25" s="311" t="s">
        <v>282</v>
      </c>
      <c r="F25" s="312">
        <v>800</v>
      </c>
      <c r="G25" s="313" t="s">
        <v>268</v>
      </c>
      <c r="H25" s="314">
        <f t="shared" si="0"/>
        <v>255.20000000000002</v>
      </c>
      <c r="I25" s="181">
        <v>39718.30902777778</v>
      </c>
      <c r="J25" s="181">
        <v>39719.75486111111</v>
      </c>
      <c r="K25" s="315">
        <f t="shared" si="1"/>
        <v>34.699999999953434</v>
      </c>
      <c r="L25" s="14">
        <f t="shared" si="2"/>
        <v>2082</v>
      </c>
      <c r="M25" s="182" t="s">
        <v>222</v>
      </c>
      <c r="N25" s="244" t="str">
        <f t="shared" si="3"/>
        <v>--</v>
      </c>
      <c r="O25" s="179" t="str">
        <f t="shared" si="4"/>
        <v>--</v>
      </c>
      <c r="P25" s="178" t="str">
        <f t="shared" si="5"/>
        <v>NO</v>
      </c>
      <c r="Q25" s="316">
        <f t="shared" si="6"/>
        <v>2</v>
      </c>
      <c r="R25" s="317">
        <f t="shared" si="7"/>
        <v>17710.88</v>
      </c>
      <c r="S25" s="318" t="str">
        <f t="shared" si="8"/>
        <v>--</v>
      </c>
      <c r="T25" s="319" t="str">
        <f t="shared" si="9"/>
        <v>--</v>
      </c>
      <c r="U25" s="320" t="str">
        <f t="shared" si="10"/>
        <v>--</v>
      </c>
      <c r="V25" s="321" t="str">
        <f t="shared" si="11"/>
        <v>--</v>
      </c>
      <c r="W25" s="322" t="str">
        <f t="shared" si="12"/>
        <v>--</v>
      </c>
      <c r="X25" s="323" t="str">
        <f t="shared" si="13"/>
        <v>--</v>
      </c>
      <c r="Y25" s="324" t="str">
        <f t="shared" si="14"/>
        <v>--</v>
      </c>
      <c r="Z25" s="325" t="s">
        <v>219</v>
      </c>
      <c r="AA25" s="16">
        <f t="shared" si="15"/>
        <v>17710.88</v>
      </c>
      <c r="AB25" s="17"/>
    </row>
    <row r="26" spans="1:28" s="5" customFormat="1" ht="16.5" customHeight="1">
      <c r="A26" s="88"/>
      <c r="B26" s="93"/>
      <c r="C26" s="180">
        <v>46</v>
      </c>
      <c r="D26" s="174" t="s">
        <v>284</v>
      </c>
      <c r="E26" s="311" t="s">
        <v>267</v>
      </c>
      <c r="F26" s="312">
        <v>150</v>
      </c>
      <c r="G26" s="313" t="s">
        <v>113</v>
      </c>
      <c r="H26" s="314">
        <f t="shared" si="0"/>
        <v>47.85</v>
      </c>
      <c r="I26" s="181">
        <v>39718.325</v>
      </c>
      <c r="J26" s="181">
        <v>39718.71875</v>
      </c>
      <c r="K26" s="315">
        <f t="shared" si="1"/>
        <v>9.45000000006985</v>
      </c>
      <c r="L26" s="14">
        <f t="shared" si="2"/>
        <v>567</v>
      </c>
      <c r="M26" s="182" t="s">
        <v>222</v>
      </c>
      <c r="N26" s="244" t="str">
        <f t="shared" si="3"/>
        <v>--</v>
      </c>
      <c r="O26" s="179" t="str">
        <f t="shared" si="4"/>
        <v>--</v>
      </c>
      <c r="P26" s="178" t="str">
        <f t="shared" si="5"/>
        <v>NO</v>
      </c>
      <c r="Q26" s="316">
        <f t="shared" si="6"/>
        <v>2</v>
      </c>
      <c r="R26" s="317">
        <f t="shared" si="7"/>
        <v>904.365</v>
      </c>
      <c r="S26" s="318" t="str">
        <f t="shared" si="8"/>
        <v>--</v>
      </c>
      <c r="T26" s="319" t="str">
        <f t="shared" si="9"/>
        <v>--</v>
      </c>
      <c r="U26" s="320" t="str">
        <f t="shared" si="10"/>
        <v>--</v>
      </c>
      <c r="V26" s="321" t="str">
        <f t="shared" si="11"/>
        <v>--</v>
      </c>
      <c r="W26" s="322" t="str">
        <f t="shared" si="12"/>
        <v>--</v>
      </c>
      <c r="X26" s="323" t="str">
        <f t="shared" si="13"/>
        <v>--</v>
      </c>
      <c r="Y26" s="324" t="str">
        <f t="shared" si="14"/>
        <v>--</v>
      </c>
      <c r="Z26" s="325" t="s">
        <v>219</v>
      </c>
      <c r="AA26" s="16">
        <f t="shared" si="15"/>
        <v>904.365</v>
      </c>
      <c r="AB26" s="17"/>
    </row>
    <row r="27" spans="1:28" s="5" customFormat="1" ht="16.5" customHeight="1">
      <c r="A27" s="88"/>
      <c r="B27" s="93"/>
      <c r="C27" s="297">
        <v>47</v>
      </c>
      <c r="D27" s="174" t="s">
        <v>284</v>
      </c>
      <c r="E27" s="311" t="s">
        <v>267</v>
      </c>
      <c r="F27" s="312">
        <v>150</v>
      </c>
      <c r="G27" s="313" t="s">
        <v>113</v>
      </c>
      <c r="H27" s="314">
        <f t="shared" si="0"/>
        <v>47.85</v>
      </c>
      <c r="I27" s="181">
        <v>39719.01527777778</v>
      </c>
      <c r="J27" s="181">
        <v>39720.611805555556</v>
      </c>
      <c r="K27" s="315">
        <f t="shared" si="1"/>
        <v>38.31666666670935</v>
      </c>
      <c r="L27" s="14">
        <f t="shared" si="2"/>
        <v>2299</v>
      </c>
      <c r="M27" s="182" t="s">
        <v>222</v>
      </c>
      <c r="N27" s="244" t="str">
        <f t="shared" si="3"/>
        <v>--</v>
      </c>
      <c r="O27" s="179" t="str">
        <f t="shared" si="4"/>
        <v>--</v>
      </c>
      <c r="P27" s="178" t="str">
        <f t="shared" si="5"/>
        <v>NO</v>
      </c>
      <c r="Q27" s="316">
        <f t="shared" si="6"/>
        <v>2</v>
      </c>
      <c r="R27" s="317">
        <f t="shared" si="7"/>
        <v>3667.224</v>
      </c>
      <c r="S27" s="318" t="str">
        <f t="shared" si="8"/>
        <v>--</v>
      </c>
      <c r="T27" s="319" t="str">
        <f t="shared" si="9"/>
        <v>--</v>
      </c>
      <c r="U27" s="320" t="str">
        <f t="shared" si="10"/>
        <v>--</v>
      </c>
      <c r="V27" s="321" t="str">
        <f t="shared" si="11"/>
        <v>--</v>
      </c>
      <c r="W27" s="322" t="str">
        <f t="shared" si="12"/>
        <v>--</v>
      </c>
      <c r="X27" s="323" t="str">
        <f t="shared" si="13"/>
        <v>--</v>
      </c>
      <c r="Y27" s="324" t="str">
        <f t="shared" si="14"/>
        <v>--</v>
      </c>
      <c r="Z27" s="325" t="s">
        <v>219</v>
      </c>
      <c r="AA27" s="16">
        <f t="shared" si="15"/>
        <v>3667.224</v>
      </c>
      <c r="AB27" s="17"/>
    </row>
    <row r="28" spans="1:29" s="5" customFormat="1" ht="16.5" customHeight="1">
      <c r="A28" s="88"/>
      <c r="B28" s="93"/>
      <c r="C28" s="180"/>
      <c r="D28" s="174"/>
      <c r="E28" s="311"/>
      <c r="F28" s="312"/>
      <c r="G28" s="313"/>
      <c r="H28" s="314">
        <f t="shared" si="0"/>
        <v>0</v>
      </c>
      <c r="I28" s="181"/>
      <c r="J28" s="181"/>
      <c r="K28" s="315">
        <f t="shared" si="1"/>
      </c>
      <c r="L28" s="14">
        <f t="shared" si="2"/>
      </c>
      <c r="M28" s="182"/>
      <c r="N28" s="244">
        <f t="shared" si="3"/>
      </c>
      <c r="O28" s="179">
        <f t="shared" si="4"/>
      </c>
      <c r="P28" s="178">
        <f t="shared" si="5"/>
      </c>
      <c r="Q28" s="316">
        <f t="shared" si="6"/>
        <v>20</v>
      </c>
      <c r="R28" s="317" t="str">
        <f t="shared" si="7"/>
        <v>--</v>
      </c>
      <c r="S28" s="318" t="str">
        <f t="shared" si="8"/>
        <v>--</v>
      </c>
      <c r="T28" s="319" t="str">
        <f t="shared" si="9"/>
        <v>--</v>
      </c>
      <c r="U28" s="320" t="str">
        <f t="shared" si="10"/>
        <v>--</v>
      </c>
      <c r="V28" s="321" t="str">
        <f t="shared" si="11"/>
        <v>--</v>
      </c>
      <c r="W28" s="322" t="str">
        <f t="shared" si="12"/>
        <v>--</v>
      </c>
      <c r="X28" s="323" t="str">
        <f t="shared" si="13"/>
        <v>--</v>
      </c>
      <c r="Y28" s="324" t="str">
        <f t="shared" si="14"/>
        <v>--</v>
      </c>
      <c r="Z28" s="325">
        <f aca="true" t="shared" si="16" ref="Z28:Z41">IF(D28="","","SI")</f>
      </c>
      <c r="AA28" s="16">
        <f t="shared" si="15"/>
      </c>
      <c r="AB28" s="17"/>
      <c r="AC28" s="15"/>
    </row>
    <row r="29" spans="1:28" s="5" customFormat="1" ht="16.5" customHeight="1">
      <c r="A29" s="88"/>
      <c r="B29" s="93"/>
      <c r="C29" s="297"/>
      <c r="D29" s="174"/>
      <c r="E29" s="311"/>
      <c r="F29" s="312"/>
      <c r="G29" s="313"/>
      <c r="H29" s="314">
        <f t="shared" si="0"/>
        <v>0</v>
      </c>
      <c r="I29" s="181"/>
      <c r="J29" s="181"/>
      <c r="K29" s="315">
        <f t="shared" si="1"/>
      </c>
      <c r="L29" s="14">
        <f t="shared" si="2"/>
      </c>
      <c r="M29" s="182"/>
      <c r="N29" s="244">
        <f t="shared" si="3"/>
      </c>
      <c r="O29" s="179">
        <f t="shared" si="4"/>
      </c>
      <c r="P29" s="178">
        <f t="shared" si="5"/>
      </c>
      <c r="Q29" s="316">
        <f t="shared" si="6"/>
        <v>20</v>
      </c>
      <c r="R29" s="317" t="str">
        <f t="shared" si="7"/>
        <v>--</v>
      </c>
      <c r="S29" s="318" t="str">
        <f t="shared" si="8"/>
        <v>--</v>
      </c>
      <c r="T29" s="319" t="str">
        <f t="shared" si="9"/>
        <v>--</v>
      </c>
      <c r="U29" s="320" t="str">
        <f t="shared" si="10"/>
        <v>--</v>
      </c>
      <c r="V29" s="321" t="str">
        <f t="shared" si="11"/>
        <v>--</v>
      </c>
      <c r="W29" s="322" t="str">
        <f t="shared" si="12"/>
        <v>--</v>
      </c>
      <c r="X29" s="323" t="str">
        <f t="shared" si="13"/>
        <v>--</v>
      </c>
      <c r="Y29" s="324" t="str">
        <f t="shared" si="14"/>
        <v>--</v>
      </c>
      <c r="Z29" s="325">
        <f t="shared" si="16"/>
      </c>
      <c r="AA29" s="16">
        <f t="shared" si="15"/>
      </c>
      <c r="AB29" s="17"/>
    </row>
    <row r="30" spans="1:28" s="5" customFormat="1" ht="16.5" customHeight="1">
      <c r="A30" s="88"/>
      <c r="B30" s="93"/>
      <c r="C30" s="180"/>
      <c r="D30" s="174"/>
      <c r="E30" s="311"/>
      <c r="F30" s="312"/>
      <c r="G30" s="313"/>
      <c r="H30" s="314">
        <f t="shared" si="0"/>
        <v>0</v>
      </c>
      <c r="I30" s="181"/>
      <c r="J30" s="181"/>
      <c r="K30" s="315">
        <f t="shared" si="1"/>
      </c>
      <c r="L30" s="14">
        <f t="shared" si="2"/>
      </c>
      <c r="M30" s="182"/>
      <c r="N30" s="244">
        <f t="shared" si="3"/>
      </c>
      <c r="O30" s="179">
        <f t="shared" si="4"/>
      </c>
      <c r="P30" s="178">
        <f t="shared" si="5"/>
      </c>
      <c r="Q30" s="316">
        <f t="shared" si="6"/>
        <v>20</v>
      </c>
      <c r="R30" s="317" t="str">
        <f t="shared" si="7"/>
        <v>--</v>
      </c>
      <c r="S30" s="318" t="str">
        <f t="shared" si="8"/>
        <v>--</v>
      </c>
      <c r="T30" s="319" t="str">
        <f t="shared" si="9"/>
        <v>--</v>
      </c>
      <c r="U30" s="320" t="str">
        <f t="shared" si="10"/>
        <v>--</v>
      </c>
      <c r="V30" s="321" t="str">
        <f t="shared" si="11"/>
        <v>--</v>
      </c>
      <c r="W30" s="322" t="str">
        <f t="shared" si="12"/>
        <v>--</v>
      </c>
      <c r="X30" s="323" t="str">
        <f t="shared" si="13"/>
        <v>--</v>
      </c>
      <c r="Y30" s="324" t="str">
        <f t="shared" si="14"/>
        <v>--</v>
      </c>
      <c r="Z30" s="325">
        <f t="shared" si="16"/>
      </c>
      <c r="AA30" s="16">
        <f t="shared" si="15"/>
      </c>
      <c r="AB30" s="17"/>
    </row>
    <row r="31" spans="1:28" s="5" customFormat="1" ht="16.5" customHeight="1">
      <c r="A31" s="88"/>
      <c r="B31" s="93"/>
      <c r="C31" s="297"/>
      <c r="D31" s="174"/>
      <c r="E31" s="311"/>
      <c r="F31" s="312"/>
      <c r="G31" s="313"/>
      <c r="H31" s="314">
        <f t="shared" si="0"/>
        <v>0</v>
      </c>
      <c r="I31" s="181"/>
      <c r="J31" s="181"/>
      <c r="K31" s="315">
        <f t="shared" si="1"/>
      </c>
      <c r="L31" s="14">
        <f t="shared" si="2"/>
      </c>
      <c r="M31" s="182"/>
      <c r="N31" s="244">
        <f t="shared" si="3"/>
      </c>
      <c r="O31" s="179">
        <f t="shared" si="4"/>
      </c>
      <c r="P31" s="178">
        <f t="shared" si="5"/>
      </c>
      <c r="Q31" s="316">
        <f t="shared" si="6"/>
        <v>20</v>
      </c>
      <c r="R31" s="317" t="str">
        <f t="shared" si="7"/>
        <v>--</v>
      </c>
      <c r="S31" s="318" t="str">
        <f t="shared" si="8"/>
        <v>--</v>
      </c>
      <c r="T31" s="319" t="str">
        <f t="shared" si="9"/>
        <v>--</v>
      </c>
      <c r="U31" s="320" t="str">
        <f t="shared" si="10"/>
        <v>--</v>
      </c>
      <c r="V31" s="321" t="str">
        <f t="shared" si="11"/>
        <v>--</v>
      </c>
      <c r="W31" s="322" t="str">
        <f t="shared" si="12"/>
        <v>--</v>
      </c>
      <c r="X31" s="323" t="str">
        <f t="shared" si="13"/>
        <v>--</v>
      </c>
      <c r="Y31" s="324" t="str">
        <f t="shared" si="14"/>
        <v>--</v>
      </c>
      <c r="Z31" s="325">
        <f t="shared" si="16"/>
      </c>
      <c r="AA31" s="16">
        <f t="shared" si="15"/>
      </c>
      <c r="AB31" s="17"/>
    </row>
    <row r="32" spans="1:28" s="5" customFormat="1" ht="16.5" customHeight="1">
      <c r="A32" s="88"/>
      <c r="B32" s="93"/>
      <c r="C32" s="180"/>
      <c r="D32" s="174"/>
      <c r="E32" s="327"/>
      <c r="F32" s="312"/>
      <c r="G32" s="313"/>
      <c r="H32" s="314">
        <f t="shared" si="0"/>
        <v>0</v>
      </c>
      <c r="I32" s="181"/>
      <c r="J32" s="181"/>
      <c r="K32" s="315">
        <f t="shared" si="1"/>
      </c>
      <c r="L32" s="14">
        <f t="shared" si="2"/>
      </c>
      <c r="M32" s="182"/>
      <c r="N32" s="244">
        <f t="shared" si="3"/>
      </c>
      <c r="O32" s="179">
        <f t="shared" si="4"/>
      </c>
      <c r="P32" s="178">
        <f t="shared" si="5"/>
      </c>
      <c r="Q32" s="316">
        <f t="shared" si="6"/>
        <v>20</v>
      </c>
      <c r="R32" s="317" t="str">
        <f t="shared" si="7"/>
        <v>--</v>
      </c>
      <c r="S32" s="318" t="str">
        <f t="shared" si="8"/>
        <v>--</v>
      </c>
      <c r="T32" s="319" t="str">
        <f t="shared" si="9"/>
        <v>--</v>
      </c>
      <c r="U32" s="320" t="str">
        <f t="shared" si="10"/>
        <v>--</v>
      </c>
      <c r="V32" s="321" t="str">
        <f t="shared" si="11"/>
        <v>--</v>
      </c>
      <c r="W32" s="322" t="str">
        <f t="shared" si="12"/>
        <v>--</v>
      </c>
      <c r="X32" s="323" t="str">
        <f t="shared" si="13"/>
        <v>--</v>
      </c>
      <c r="Y32" s="324" t="str">
        <f t="shared" si="14"/>
        <v>--</v>
      </c>
      <c r="Z32" s="325">
        <f t="shared" si="16"/>
      </c>
      <c r="AA32" s="16">
        <f t="shared" si="15"/>
      </c>
      <c r="AB32" s="17"/>
    </row>
    <row r="33" spans="1:28" s="5" customFormat="1" ht="16.5" customHeight="1">
      <c r="A33" s="88"/>
      <c r="B33" s="93"/>
      <c r="C33" s="297"/>
      <c r="D33" s="174"/>
      <c r="E33" s="327"/>
      <c r="F33" s="312"/>
      <c r="G33" s="313"/>
      <c r="H33" s="314">
        <f t="shared" si="0"/>
        <v>0</v>
      </c>
      <c r="I33" s="181"/>
      <c r="J33" s="181"/>
      <c r="K33" s="315">
        <f t="shared" si="1"/>
      </c>
      <c r="L33" s="14">
        <f t="shared" si="2"/>
      </c>
      <c r="M33" s="182"/>
      <c r="N33" s="244">
        <f t="shared" si="3"/>
      </c>
      <c r="O33" s="179">
        <f t="shared" si="4"/>
      </c>
      <c r="P33" s="178">
        <f t="shared" si="5"/>
      </c>
      <c r="Q33" s="316">
        <f t="shared" si="6"/>
        <v>20</v>
      </c>
      <c r="R33" s="317" t="str">
        <f t="shared" si="7"/>
        <v>--</v>
      </c>
      <c r="S33" s="318" t="str">
        <f t="shared" si="8"/>
        <v>--</v>
      </c>
      <c r="T33" s="319" t="str">
        <f t="shared" si="9"/>
        <v>--</v>
      </c>
      <c r="U33" s="320" t="str">
        <f t="shared" si="10"/>
        <v>--</v>
      </c>
      <c r="V33" s="321" t="str">
        <f t="shared" si="11"/>
        <v>--</v>
      </c>
      <c r="W33" s="322" t="str">
        <f t="shared" si="12"/>
        <v>--</v>
      </c>
      <c r="X33" s="323" t="str">
        <f t="shared" si="13"/>
        <v>--</v>
      </c>
      <c r="Y33" s="324" t="str">
        <f t="shared" si="14"/>
        <v>--</v>
      </c>
      <c r="Z33" s="325">
        <f t="shared" si="16"/>
      </c>
      <c r="AA33" s="16">
        <f t="shared" si="15"/>
      </c>
      <c r="AB33" s="17"/>
    </row>
    <row r="34" spans="1:28" s="5" customFormat="1" ht="16.5" customHeight="1">
      <c r="A34" s="88"/>
      <c r="B34" s="93"/>
      <c r="C34" s="180"/>
      <c r="D34" s="174"/>
      <c r="E34" s="327"/>
      <c r="F34" s="312"/>
      <c r="G34" s="313"/>
      <c r="H34" s="314">
        <f t="shared" si="0"/>
        <v>0</v>
      </c>
      <c r="I34" s="181"/>
      <c r="J34" s="181"/>
      <c r="K34" s="315">
        <f t="shared" si="1"/>
      </c>
      <c r="L34" s="14">
        <f t="shared" si="2"/>
      </c>
      <c r="M34" s="182"/>
      <c r="N34" s="244">
        <f t="shared" si="3"/>
      </c>
      <c r="O34" s="179">
        <f t="shared" si="4"/>
      </c>
      <c r="P34" s="178">
        <f t="shared" si="5"/>
      </c>
      <c r="Q34" s="316">
        <f t="shared" si="6"/>
        <v>20</v>
      </c>
      <c r="R34" s="317" t="str">
        <f t="shared" si="7"/>
        <v>--</v>
      </c>
      <c r="S34" s="318" t="str">
        <f t="shared" si="8"/>
        <v>--</v>
      </c>
      <c r="T34" s="319" t="str">
        <f t="shared" si="9"/>
        <v>--</v>
      </c>
      <c r="U34" s="320" t="str">
        <f t="shared" si="10"/>
        <v>--</v>
      </c>
      <c r="V34" s="321" t="str">
        <f t="shared" si="11"/>
        <v>--</v>
      </c>
      <c r="W34" s="322" t="str">
        <f t="shared" si="12"/>
        <v>--</v>
      </c>
      <c r="X34" s="323" t="str">
        <f t="shared" si="13"/>
        <v>--</v>
      </c>
      <c r="Y34" s="324" t="str">
        <f t="shared" si="14"/>
        <v>--</v>
      </c>
      <c r="Z34" s="325">
        <f t="shared" si="16"/>
      </c>
      <c r="AA34" s="16">
        <f t="shared" si="15"/>
      </c>
      <c r="AB34" s="17"/>
    </row>
    <row r="35" spans="1:28" s="5" customFormat="1" ht="16.5" customHeight="1">
      <c r="A35" s="88"/>
      <c r="B35" s="93"/>
      <c r="C35" s="297"/>
      <c r="D35" s="174"/>
      <c r="E35" s="327"/>
      <c r="F35" s="312"/>
      <c r="G35" s="313"/>
      <c r="H35" s="314">
        <f t="shared" si="0"/>
        <v>0</v>
      </c>
      <c r="I35" s="181"/>
      <c r="J35" s="181"/>
      <c r="K35" s="315">
        <f t="shared" si="1"/>
      </c>
      <c r="L35" s="14">
        <f t="shared" si="2"/>
      </c>
      <c r="M35" s="182"/>
      <c r="N35" s="244">
        <f t="shared" si="3"/>
      </c>
      <c r="O35" s="179">
        <f t="shared" si="4"/>
      </c>
      <c r="P35" s="178">
        <f t="shared" si="5"/>
      </c>
      <c r="Q35" s="316">
        <f t="shared" si="6"/>
        <v>20</v>
      </c>
      <c r="R35" s="317" t="str">
        <f t="shared" si="7"/>
        <v>--</v>
      </c>
      <c r="S35" s="318" t="str">
        <f t="shared" si="8"/>
        <v>--</v>
      </c>
      <c r="T35" s="319" t="str">
        <f t="shared" si="9"/>
        <v>--</v>
      </c>
      <c r="U35" s="320" t="str">
        <f t="shared" si="10"/>
        <v>--</v>
      </c>
      <c r="V35" s="321" t="str">
        <f t="shared" si="11"/>
        <v>--</v>
      </c>
      <c r="W35" s="322" t="str">
        <f t="shared" si="12"/>
        <v>--</v>
      </c>
      <c r="X35" s="323" t="str">
        <f t="shared" si="13"/>
        <v>--</v>
      </c>
      <c r="Y35" s="324" t="str">
        <f t="shared" si="14"/>
        <v>--</v>
      </c>
      <c r="Z35" s="325">
        <f t="shared" si="16"/>
      </c>
      <c r="AA35" s="16">
        <f t="shared" si="15"/>
      </c>
      <c r="AB35" s="17"/>
    </row>
    <row r="36" spans="1:28" s="5" customFormat="1" ht="16.5" customHeight="1">
      <c r="A36" s="88"/>
      <c r="B36" s="93"/>
      <c r="C36" s="180"/>
      <c r="D36" s="174"/>
      <c r="E36" s="327"/>
      <c r="F36" s="312"/>
      <c r="G36" s="313"/>
      <c r="H36" s="314">
        <f t="shared" si="0"/>
        <v>0</v>
      </c>
      <c r="I36" s="181"/>
      <c r="J36" s="181"/>
      <c r="K36" s="315">
        <f t="shared" si="1"/>
      </c>
      <c r="L36" s="14">
        <f t="shared" si="2"/>
      </c>
      <c r="M36" s="182"/>
      <c r="N36" s="244">
        <f t="shared" si="3"/>
      </c>
      <c r="O36" s="179">
        <f t="shared" si="4"/>
      </c>
      <c r="P36" s="178">
        <f t="shared" si="5"/>
      </c>
      <c r="Q36" s="316">
        <f t="shared" si="6"/>
        <v>20</v>
      </c>
      <c r="R36" s="317" t="str">
        <f t="shared" si="7"/>
        <v>--</v>
      </c>
      <c r="S36" s="318" t="str">
        <f t="shared" si="8"/>
        <v>--</v>
      </c>
      <c r="T36" s="319" t="str">
        <f t="shared" si="9"/>
        <v>--</v>
      </c>
      <c r="U36" s="320" t="str">
        <f t="shared" si="10"/>
        <v>--</v>
      </c>
      <c r="V36" s="321" t="str">
        <f t="shared" si="11"/>
        <v>--</v>
      </c>
      <c r="W36" s="322" t="str">
        <f t="shared" si="12"/>
        <v>--</v>
      </c>
      <c r="X36" s="323" t="str">
        <f t="shared" si="13"/>
        <v>--</v>
      </c>
      <c r="Y36" s="324" t="str">
        <f t="shared" si="14"/>
        <v>--</v>
      </c>
      <c r="Z36" s="325">
        <f t="shared" si="16"/>
      </c>
      <c r="AA36" s="16">
        <f t="shared" si="15"/>
      </c>
      <c r="AB36" s="17"/>
    </row>
    <row r="37" spans="1:28" s="5" customFormat="1" ht="16.5" customHeight="1">
      <c r="A37" s="88"/>
      <c r="B37" s="93"/>
      <c r="C37" s="297"/>
      <c r="D37" s="174"/>
      <c r="E37" s="327"/>
      <c r="F37" s="312"/>
      <c r="G37" s="313"/>
      <c r="H37" s="314">
        <f t="shared" si="0"/>
        <v>0</v>
      </c>
      <c r="I37" s="181"/>
      <c r="J37" s="181"/>
      <c r="K37" s="315">
        <f t="shared" si="1"/>
      </c>
      <c r="L37" s="14">
        <f t="shared" si="2"/>
      </c>
      <c r="M37" s="182"/>
      <c r="N37" s="244">
        <f t="shared" si="3"/>
      </c>
      <c r="O37" s="179">
        <f t="shared" si="4"/>
      </c>
      <c r="P37" s="178">
        <f t="shared" si="5"/>
      </c>
      <c r="Q37" s="316">
        <f t="shared" si="6"/>
        <v>20</v>
      </c>
      <c r="R37" s="317" t="str">
        <f t="shared" si="7"/>
        <v>--</v>
      </c>
      <c r="S37" s="318" t="str">
        <f t="shared" si="8"/>
        <v>--</v>
      </c>
      <c r="T37" s="319" t="str">
        <f t="shared" si="9"/>
        <v>--</v>
      </c>
      <c r="U37" s="320" t="str">
        <f t="shared" si="10"/>
        <v>--</v>
      </c>
      <c r="V37" s="321" t="str">
        <f t="shared" si="11"/>
        <v>--</v>
      </c>
      <c r="W37" s="322" t="str">
        <f t="shared" si="12"/>
        <v>--</v>
      </c>
      <c r="X37" s="323" t="str">
        <f t="shared" si="13"/>
        <v>--</v>
      </c>
      <c r="Y37" s="324" t="str">
        <f t="shared" si="14"/>
        <v>--</v>
      </c>
      <c r="Z37" s="325">
        <f t="shared" si="16"/>
      </c>
      <c r="AA37" s="16">
        <f t="shared" si="15"/>
      </c>
      <c r="AB37" s="17"/>
    </row>
    <row r="38" spans="1:28" s="5" customFormat="1" ht="16.5" customHeight="1">
      <c r="A38" s="88"/>
      <c r="B38" s="93"/>
      <c r="C38" s="180"/>
      <c r="D38" s="174"/>
      <c r="E38" s="327"/>
      <c r="F38" s="312"/>
      <c r="G38" s="313"/>
      <c r="H38" s="314">
        <f t="shared" si="0"/>
        <v>0</v>
      </c>
      <c r="I38" s="181"/>
      <c r="J38" s="181"/>
      <c r="K38" s="315">
        <f t="shared" si="1"/>
      </c>
      <c r="L38" s="14">
        <f t="shared" si="2"/>
      </c>
      <c r="M38" s="182"/>
      <c r="N38" s="244">
        <f t="shared" si="3"/>
      </c>
      <c r="O38" s="179">
        <f t="shared" si="4"/>
      </c>
      <c r="P38" s="178">
        <f t="shared" si="5"/>
      </c>
      <c r="Q38" s="316">
        <f t="shared" si="6"/>
        <v>20</v>
      </c>
      <c r="R38" s="317" t="str">
        <f t="shared" si="7"/>
        <v>--</v>
      </c>
      <c r="S38" s="318" t="str">
        <f t="shared" si="8"/>
        <v>--</v>
      </c>
      <c r="T38" s="319" t="str">
        <f t="shared" si="9"/>
        <v>--</v>
      </c>
      <c r="U38" s="320" t="str">
        <f t="shared" si="10"/>
        <v>--</v>
      </c>
      <c r="V38" s="321" t="str">
        <f t="shared" si="11"/>
        <v>--</v>
      </c>
      <c r="W38" s="322" t="str">
        <f t="shared" si="12"/>
        <v>--</v>
      </c>
      <c r="X38" s="323" t="str">
        <f t="shared" si="13"/>
        <v>--</v>
      </c>
      <c r="Y38" s="324" t="str">
        <f t="shared" si="14"/>
        <v>--</v>
      </c>
      <c r="Z38" s="325">
        <f t="shared" si="16"/>
      </c>
      <c r="AA38" s="16">
        <f t="shared" si="15"/>
      </c>
      <c r="AB38" s="17"/>
    </row>
    <row r="39" spans="1:28" s="5" customFormat="1" ht="16.5" customHeight="1">
      <c r="A39" s="88"/>
      <c r="B39" s="93"/>
      <c r="C39" s="297"/>
      <c r="D39" s="174"/>
      <c r="E39" s="327"/>
      <c r="F39" s="312"/>
      <c r="G39" s="313"/>
      <c r="H39" s="314">
        <f t="shared" si="0"/>
        <v>0</v>
      </c>
      <c r="I39" s="181"/>
      <c r="J39" s="181"/>
      <c r="K39" s="315">
        <f t="shared" si="1"/>
      </c>
      <c r="L39" s="14">
        <f t="shared" si="2"/>
      </c>
      <c r="M39" s="182"/>
      <c r="N39" s="244">
        <f t="shared" si="3"/>
      </c>
      <c r="O39" s="179">
        <f t="shared" si="4"/>
      </c>
      <c r="P39" s="178">
        <f t="shared" si="5"/>
      </c>
      <c r="Q39" s="316">
        <f t="shared" si="6"/>
        <v>20</v>
      </c>
      <c r="R39" s="317" t="str">
        <f t="shared" si="7"/>
        <v>--</v>
      </c>
      <c r="S39" s="318" t="str">
        <f t="shared" si="8"/>
        <v>--</v>
      </c>
      <c r="T39" s="319" t="str">
        <f t="shared" si="9"/>
        <v>--</v>
      </c>
      <c r="U39" s="320" t="str">
        <f t="shared" si="10"/>
        <v>--</v>
      </c>
      <c r="V39" s="321" t="str">
        <f t="shared" si="11"/>
        <v>--</v>
      </c>
      <c r="W39" s="322" t="str">
        <f t="shared" si="12"/>
        <v>--</v>
      </c>
      <c r="X39" s="323" t="str">
        <f t="shared" si="13"/>
        <v>--</v>
      </c>
      <c r="Y39" s="324" t="str">
        <f t="shared" si="14"/>
        <v>--</v>
      </c>
      <c r="Z39" s="325">
        <f t="shared" si="16"/>
      </c>
      <c r="AA39" s="16">
        <f t="shared" si="15"/>
      </c>
      <c r="AB39" s="17"/>
    </row>
    <row r="40" spans="1:28" s="5" customFormat="1" ht="16.5" customHeight="1">
      <c r="A40" s="88"/>
      <c r="B40" s="93"/>
      <c r="C40" s="180"/>
      <c r="D40" s="174"/>
      <c r="E40" s="327"/>
      <c r="F40" s="312"/>
      <c r="G40" s="313"/>
      <c r="H40" s="314">
        <f t="shared" si="0"/>
        <v>0</v>
      </c>
      <c r="I40" s="181"/>
      <c r="J40" s="181"/>
      <c r="K40" s="315">
        <f t="shared" si="1"/>
      </c>
      <c r="L40" s="14">
        <f t="shared" si="2"/>
      </c>
      <c r="M40" s="182"/>
      <c r="N40" s="244">
        <f t="shared" si="3"/>
      </c>
      <c r="O40" s="179">
        <f t="shared" si="4"/>
      </c>
      <c r="P40" s="178">
        <f t="shared" si="5"/>
      </c>
      <c r="Q40" s="316">
        <f t="shared" si="6"/>
        <v>20</v>
      </c>
      <c r="R40" s="317" t="str">
        <f t="shared" si="7"/>
        <v>--</v>
      </c>
      <c r="S40" s="318" t="str">
        <f t="shared" si="8"/>
        <v>--</v>
      </c>
      <c r="T40" s="319" t="str">
        <f t="shared" si="9"/>
        <v>--</v>
      </c>
      <c r="U40" s="320" t="str">
        <f t="shared" si="10"/>
        <v>--</v>
      </c>
      <c r="V40" s="321" t="str">
        <f t="shared" si="11"/>
        <v>--</v>
      </c>
      <c r="W40" s="322" t="str">
        <f t="shared" si="12"/>
        <v>--</v>
      </c>
      <c r="X40" s="323" t="str">
        <f t="shared" si="13"/>
        <v>--</v>
      </c>
      <c r="Y40" s="324" t="str">
        <f t="shared" si="14"/>
        <v>--</v>
      </c>
      <c r="Z40" s="325">
        <f t="shared" si="16"/>
      </c>
      <c r="AA40" s="16">
        <f t="shared" si="15"/>
      </c>
      <c r="AB40" s="17"/>
    </row>
    <row r="41" spans="1:28" s="5" customFormat="1" ht="16.5" customHeight="1">
      <c r="A41" s="88"/>
      <c r="B41" s="93"/>
      <c r="C41" s="297"/>
      <c r="D41" s="174"/>
      <c r="E41" s="327"/>
      <c r="F41" s="312"/>
      <c r="G41" s="313"/>
      <c r="H41" s="314">
        <f t="shared" si="0"/>
        <v>0</v>
      </c>
      <c r="I41" s="181"/>
      <c r="J41" s="181"/>
      <c r="K41" s="315">
        <f t="shared" si="1"/>
      </c>
      <c r="L41" s="14">
        <f t="shared" si="2"/>
      </c>
      <c r="M41" s="182"/>
      <c r="N41" s="244">
        <f t="shared" si="3"/>
      </c>
      <c r="O41" s="179">
        <f t="shared" si="4"/>
      </c>
      <c r="P41" s="178">
        <f t="shared" si="5"/>
      </c>
      <c r="Q41" s="316">
        <f t="shared" si="6"/>
        <v>20</v>
      </c>
      <c r="R41" s="317" t="str">
        <f t="shared" si="7"/>
        <v>--</v>
      </c>
      <c r="S41" s="318" t="str">
        <f t="shared" si="8"/>
        <v>--</v>
      </c>
      <c r="T41" s="319" t="str">
        <f t="shared" si="9"/>
        <v>--</v>
      </c>
      <c r="U41" s="320" t="str">
        <f t="shared" si="10"/>
        <v>--</v>
      </c>
      <c r="V41" s="321" t="str">
        <f t="shared" si="11"/>
        <v>--</v>
      </c>
      <c r="W41" s="322" t="str">
        <f t="shared" si="12"/>
        <v>--</v>
      </c>
      <c r="X41" s="323" t="str">
        <f t="shared" si="13"/>
        <v>--</v>
      </c>
      <c r="Y41" s="324" t="str">
        <f t="shared" si="14"/>
        <v>--</v>
      </c>
      <c r="Z41" s="325">
        <f t="shared" si="16"/>
      </c>
      <c r="AA41" s="16">
        <f t="shared" si="15"/>
      </c>
      <c r="AB41" s="17"/>
    </row>
    <row r="42" spans="1:28" s="5" customFormat="1" ht="16.5" customHeight="1" thickBot="1">
      <c r="A42" s="88"/>
      <c r="B42" s="93"/>
      <c r="C42" s="180"/>
      <c r="D42" s="328"/>
      <c r="E42" s="329"/>
      <c r="F42" s="328"/>
      <c r="G42" s="330"/>
      <c r="H42" s="130"/>
      <c r="I42" s="183"/>
      <c r="J42" s="331"/>
      <c r="K42" s="332"/>
      <c r="L42" s="333"/>
      <c r="M42" s="188"/>
      <c r="N42" s="216"/>
      <c r="O42" s="186"/>
      <c r="P42" s="188"/>
      <c r="Q42" s="334"/>
      <c r="R42" s="335"/>
      <c r="S42" s="336"/>
      <c r="T42" s="337"/>
      <c r="U42" s="338"/>
      <c r="V42" s="339"/>
      <c r="W42" s="340"/>
      <c r="X42" s="341"/>
      <c r="Y42" s="342"/>
      <c r="Z42" s="343"/>
      <c r="AA42" s="344"/>
      <c r="AB42" s="17"/>
    </row>
    <row r="43" spans="1:28" s="5" customFormat="1" ht="16.5" customHeight="1" thickBot="1" thickTop="1">
      <c r="A43" s="88"/>
      <c r="B43" s="93"/>
      <c r="C43" s="126" t="s">
        <v>23</v>
      </c>
      <c r="D43" s="127" t="s">
        <v>342</v>
      </c>
      <c r="E43" s="15"/>
      <c r="F43" s="15"/>
      <c r="G43" s="15"/>
      <c r="H43" s="15"/>
      <c r="I43" s="15"/>
      <c r="J43" s="97"/>
      <c r="K43" s="15"/>
      <c r="L43" s="15"/>
      <c r="M43" s="15"/>
      <c r="N43" s="15"/>
      <c r="O43" s="15"/>
      <c r="P43" s="15"/>
      <c r="Q43" s="15"/>
      <c r="R43" s="345">
        <f aca="true" t="shared" si="17" ref="R43:Y43">SUM(R20:R42)</f>
        <v>25758.931000000004</v>
      </c>
      <c r="S43" s="346">
        <f t="shared" si="17"/>
        <v>0</v>
      </c>
      <c r="T43" s="347">
        <f t="shared" si="17"/>
        <v>0</v>
      </c>
      <c r="U43" s="348">
        <f t="shared" si="17"/>
        <v>0</v>
      </c>
      <c r="V43" s="349">
        <f t="shared" si="17"/>
        <v>0</v>
      </c>
      <c r="W43" s="350">
        <f t="shared" si="17"/>
        <v>0</v>
      </c>
      <c r="X43" s="351">
        <f t="shared" si="17"/>
        <v>0</v>
      </c>
      <c r="Y43" s="352">
        <f t="shared" si="17"/>
        <v>0</v>
      </c>
      <c r="Z43" s="88"/>
      <c r="AA43" s="353">
        <f>ROUND(SUM(AA20:AA42),2)</f>
        <v>96913.79</v>
      </c>
      <c r="AB43" s="17"/>
    </row>
    <row r="44" spans="1:28" s="5" customFormat="1" ht="16.5" customHeight="1" thickBot="1" thickTop="1">
      <c r="A44" s="88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</row>
    <row r="45" spans="1:29" ht="16.5" customHeight="1" thickTop="1">
      <c r="A45" s="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6.5" customHeight="1">
      <c r="A46" s="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</row>
    <row r="47" spans="1:29" ht="16.5" customHeight="1">
      <c r="A47" s="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</row>
    <row r="48" spans="1:29" ht="16.5" customHeight="1">
      <c r="A48" s="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</row>
    <row r="49" spans="4:29" ht="16.5" customHeight="1"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</row>
    <row r="50" spans="4:29" ht="16.5" customHeight="1"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</row>
    <row r="51" spans="4:29" ht="16.5" customHeight="1"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</row>
    <row r="52" spans="4:29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</row>
    <row r="53" spans="4:29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</row>
    <row r="54" spans="4:29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</row>
    <row r="55" spans="4:29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</row>
    <row r="56" spans="4:29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</row>
    <row r="57" spans="4:29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</row>
    <row r="58" spans="4:29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</row>
    <row r="59" spans="4:29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</row>
    <row r="60" spans="4:29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</row>
    <row r="61" spans="4:29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</row>
    <row r="62" spans="4:29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</row>
    <row r="63" spans="4:29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</row>
    <row r="64" spans="4:29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</row>
    <row r="65" spans="4:29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4:29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</row>
    <row r="67" spans="4:29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</row>
    <row r="68" spans="4:29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</row>
    <row r="69" spans="4:29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4:29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</row>
    <row r="71" spans="4:29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</row>
    <row r="72" spans="4:29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</row>
    <row r="73" spans="4:29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</row>
    <row r="74" spans="4:29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4:29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</row>
    <row r="76" spans="4:29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</row>
    <row r="77" spans="4:29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</row>
    <row r="78" spans="4:29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4:29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</row>
    <row r="80" spans="4:29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</row>
    <row r="81" spans="4:29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</row>
    <row r="82" spans="4:29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</row>
    <row r="83" spans="4:29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</row>
    <row r="84" spans="4:29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</row>
    <row r="85" spans="4:29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</row>
    <row r="86" spans="4:29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4:29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</row>
    <row r="88" spans="4:29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</row>
    <row r="89" spans="4:29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</row>
    <row r="90" spans="4:29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</row>
    <row r="91" spans="4:29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</row>
    <row r="92" spans="4:29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</row>
    <row r="93" spans="4:29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</row>
    <row r="94" spans="4:29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4:29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4:29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4:29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4:29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4:29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4:29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4:29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4:29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4:29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</row>
    <row r="104" spans="4:29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</row>
    <row r="105" spans="4:29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</row>
    <row r="106" spans="4:29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</row>
    <row r="107" spans="4:29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</row>
    <row r="108" spans="4:29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4:29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</row>
    <row r="110" spans="4:29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4:29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4:29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</row>
    <row r="113" spans="4:29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</row>
    <row r="114" spans="4:29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</row>
    <row r="115" spans="4:29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</row>
    <row r="116" spans="4:29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</row>
    <row r="117" spans="4:29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</row>
    <row r="118" spans="4:29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</row>
    <row r="119" spans="4:29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</row>
    <row r="120" spans="4:29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4:29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4:29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4:29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</row>
    <row r="124" spans="4:29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</row>
    <row r="125" spans="4:29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</row>
    <row r="126" spans="4:29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</row>
    <row r="127" spans="4:29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</row>
    <row r="128" spans="4:29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</row>
    <row r="129" spans="4:29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</row>
    <row r="130" spans="4:29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</row>
    <row r="131" spans="4:29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4:29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4:29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4:29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4:29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4:29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4:29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4:29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4:29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4:29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</row>
    <row r="141" spans="4:29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</row>
    <row r="142" spans="4:29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</row>
    <row r="143" spans="4:29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</row>
    <row r="144" spans="4:29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</row>
    <row r="145" spans="4:29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</row>
    <row r="146" spans="4:29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</row>
    <row r="147" spans="4:29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</row>
    <row r="148" spans="4:29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</row>
    <row r="149" spans="4:29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</row>
    <row r="150" spans="4:29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</row>
    <row r="151" spans="4:29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spans="4:29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</row>
    <row r="153" ht="16.5" customHeight="1">
      <c r="AC153" s="202"/>
    </row>
    <row r="154" ht="16.5" customHeight="1">
      <c r="AC154" s="202"/>
    </row>
    <row r="155" ht="16.5" customHeight="1">
      <c r="AC155" s="202"/>
    </row>
    <row r="156" ht="16.5" customHeight="1">
      <c r="AC156" s="202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9"/>
  <sheetViews>
    <sheetView zoomScale="75" zoomScaleNormal="75" workbookViewId="0" topLeftCell="A1">
      <selection activeCell="C42" sqref="C4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+'TOT-0908'!B2</f>
        <v>ANEXO IV al Memorándum D.T.E.E. N°   366 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2" t="s">
        <v>231</v>
      </c>
      <c r="E10" s="374"/>
      <c r="F10" s="104"/>
      <c r="G10" s="107"/>
      <c r="I10" s="107"/>
      <c r="J10" s="107"/>
      <c r="K10" s="107"/>
      <c r="L10" s="107"/>
      <c r="M10" s="107"/>
      <c r="N10" s="107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5"/>
      <c r="E11" s="375"/>
      <c r="F11" s="88"/>
      <c r="G11" s="95"/>
      <c r="H11" s="52"/>
      <c r="I11" s="95"/>
      <c r="J11" s="95"/>
      <c r="K11" s="95"/>
      <c r="L11" s="95"/>
      <c r="M11" s="95"/>
      <c r="N11" s="95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2" t="s">
        <v>75</v>
      </c>
      <c r="E12" s="374"/>
      <c r="F12" s="104"/>
      <c r="G12" s="107"/>
      <c r="I12" s="107"/>
      <c r="J12" s="107"/>
      <c r="K12" s="107"/>
      <c r="L12" s="107"/>
      <c r="M12" s="107"/>
      <c r="N12" s="107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5"/>
      <c r="E13" s="375"/>
      <c r="F13" s="88"/>
      <c r="G13" s="95"/>
      <c r="H13" s="52"/>
      <c r="I13" s="95"/>
      <c r="J13" s="95"/>
      <c r="K13" s="95"/>
      <c r="L13" s="95"/>
      <c r="M13" s="95"/>
      <c r="N13" s="95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'TOT-0908'!B14</f>
        <v>Desde el 01 al 30 de septiembre de 2008</v>
      </c>
      <c r="C14" s="40"/>
      <c r="D14" s="40"/>
      <c r="E14" s="40"/>
      <c r="F14" s="40"/>
      <c r="G14" s="376"/>
      <c r="H14" s="376"/>
      <c r="I14" s="376"/>
      <c r="J14" s="376"/>
      <c r="K14" s="376"/>
      <c r="L14" s="376"/>
      <c r="M14" s="376"/>
      <c r="N14" s="376"/>
      <c r="O14" s="40"/>
      <c r="P14" s="40"/>
      <c r="Q14" s="40"/>
      <c r="R14" s="40"/>
      <c r="S14" s="40"/>
      <c r="T14" s="40"/>
      <c r="U14" s="377"/>
    </row>
    <row r="15" spans="2:21" s="5" customFormat="1" ht="14.25" thickBot="1">
      <c r="B15" s="378"/>
      <c r="C15" s="379"/>
      <c r="D15" s="379"/>
      <c r="E15" s="379"/>
      <c r="F15" s="379"/>
      <c r="G15" s="380"/>
      <c r="H15" s="380"/>
      <c r="I15" s="380"/>
      <c r="J15" s="380"/>
      <c r="K15" s="380"/>
      <c r="L15" s="380"/>
      <c r="M15" s="380"/>
      <c r="N15" s="380"/>
      <c r="O15" s="379"/>
      <c r="P15" s="379"/>
      <c r="Q15" s="379"/>
      <c r="R15" s="379"/>
      <c r="S15" s="379"/>
      <c r="T15" s="379"/>
      <c r="U15" s="381"/>
    </row>
    <row r="16" spans="2:21" s="5" customFormat="1" ht="15" thickBot="1" thickTop="1">
      <c r="B16" s="50"/>
      <c r="C16" s="4"/>
      <c r="D16" s="382"/>
      <c r="E16" s="382"/>
      <c r="F16" s="116" t="s">
        <v>76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77</v>
      </c>
      <c r="E17" s="384">
        <v>63.904</v>
      </c>
      <c r="F17" s="385">
        <v>200</v>
      </c>
      <c r="T17" s="114"/>
      <c r="U17" s="6"/>
    </row>
    <row r="18" spans="2:21" s="5" customFormat="1" ht="16.5" customHeight="1" thickBot="1" thickTop="1">
      <c r="B18" s="50"/>
      <c r="C18" s="4"/>
      <c r="D18" s="386" t="s">
        <v>78</v>
      </c>
      <c r="E18" s="387">
        <v>57.511</v>
      </c>
      <c r="F18" s="38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8" t="s">
        <v>79</v>
      </c>
      <c r="E19" s="387">
        <v>51.126</v>
      </c>
      <c r="F19" s="385">
        <v>40</v>
      </c>
      <c r="I19" s="226"/>
      <c r="J19" s="227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9"/>
      <c r="D20" s="390"/>
      <c r="E20" s="390"/>
      <c r="F20" s="391"/>
      <c r="G20" s="392"/>
      <c r="H20" s="392"/>
      <c r="I20" s="392"/>
      <c r="J20" s="392"/>
      <c r="K20" s="392"/>
      <c r="L20" s="392"/>
      <c r="M20" s="392"/>
      <c r="N20" s="393"/>
      <c r="O20" s="394"/>
      <c r="P20" s="395"/>
      <c r="Q20" s="395"/>
      <c r="R20" s="395"/>
      <c r="S20" s="396"/>
      <c r="T20" s="397"/>
      <c r="U20" s="6"/>
    </row>
    <row r="21" spans="2:21" s="5" customFormat="1" ht="33.75" customHeight="1" thickBot="1" thickTop="1">
      <c r="B21" s="50"/>
      <c r="C21" s="84" t="s">
        <v>12</v>
      </c>
      <c r="D21" s="86" t="s">
        <v>25</v>
      </c>
      <c r="E21" s="398" t="s">
        <v>26</v>
      </c>
      <c r="F21" s="399" t="s">
        <v>13</v>
      </c>
      <c r="G21" s="128" t="s">
        <v>15</v>
      </c>
      <c r="H21" s="85" t="s">
        <v>16</v>
      </c>
      <c r="I21" s="398" t="s">
        <v>17</v>
      </c>
      <c r="J21" s="400" t="s">
        <v>34</v>
      </c>
      <c r="K21" s="400" t="s">
        <v>29</v>
      </c>
      <c r="L21" s="87" t="s">
        <v>18</v>
      </c>
      <c r="M21" s="204" t="s">
        <v>30</v>
      </c>
      <c r="N21" s="134" t="s">
        <v>35</v>
      </c>
      <c r="O21" s="401" t="s">
        <v>67</v>
      </c>
      <c r="P21" s="205" t="s">
        <v>33</v>
      </c>
      <c r="Q21" s="402"/>
      <c r="R21" s="133" t="s">
        <v>21</v>
      </c>
      <c r="S21" s="131" t="s">
        <v>70</v>
      </c>
      <c r="T21" s="120" t="s">
        <v>22</v>
      </c>
      <c r="U21" s="6"/>
    </row>
    <row r="22" spans="2:21" s="5" customFormat="1" ht="16.5" customHeight="1" thickTop="1">
      <c r="B22" s="50"/>
      <c r="C22" s="7"/>
      <c r="D22" s="403"/>
      <c r="E22" s="403"/>
      <c r="F22" s="403"/>
      <c r="G22" s="241"/>
      <c r="H22" s="403"/>
      <c r="I22" s="403"/>
      <c r="J22" s="403"/>
      <c r="K22" s="403"/>
      <c r="L22" s="403"/>
      <c r="M22" s="403"/>
      <c r="N22" s="404"/>
      <c r="O22" s="405"/>
      <c r="P22" s="406"/>
      <c r="Q22" s="407"/>
      <c r="R22" s="408"/>
      <c r="S22" s="403"/>
      <c r="T22" s="409"/>
      <c r="U22" s="6"/>
    </row>
    <row r="23" spans="2:21" s="5" customFormat="1" ht="16.5" customHeight="1">
      <c r="B23" s="50"/>
      <c r="C23" s="297"/>
      <c r="D23" s="410"/>
      <c r="E23" s="410"/>
      <c r="F23" s="410"/>
      <c r="G23" s="411"/>
      <c r="H23" s="410"/>
      <c r="I23" s="410"/>
      <c r="J23" s="410"/>
      <c r="K23" s="410"/>
      <c r="L23" s="410"/>
      <c r="M23" s="410"/>
      <c r="N23" s="412"/>
      <c r="O23" s="413"/>
      <c r="P23" s="215"/>
      <c r="Q23" s="414"/>
      <c r="R23" s="415"/>
      <c r="S23" s="410"/>
      <c r="T23" s="416"/>
      <c r="U23" s="6"/>
    </row>
    <row r="24" spans="2:21" s="5" customFormat="1" ht="16.5" customHeight="1">
      <c r="B24" s="50"/>
      <c r="C24" s="180">
        <v>48</v>
      </c>
      <c r="D24" s="417" t="s">
        <v>281</v>
      </c>
      <c r="E24" s="417" t="s">
        <v>285</v>
      </c>
      <c r="F24" s="418">
        <v>132</v>
      </c>
      <c r="G24" s="129">
        <f aca="true" t="shared" si="0" ref="G24:G43">IF(F24=500,$E$17,IF(F24=220,$E$18,$E$19))</f>
        <v>51.126</v>
      </c>
      <c r="H24" s="419">
        <v>39693.291666666664</v>
      </c>
      <c r="I24" s="176">
        <v>39693.57013888889</v>
      </c>
      <c r="J24" s="420">
        <f aca="true" t="shared" si="1" ref="J24:J43">IF(D24="","",(I24-H24)*24)</f>
        <v>6.683333333465271</v>
      </c>
      <c r="K24" s="421">
        <f aca="true" t="shared" si="2" ref="K24:K43">IF(D24="","",ROUND((I24-H24)*24*60,0))</f>
        <v>401</v>
      </c>
      <c r="L24" s="243" t="s">
        <v>222</v>
      </c>
      <c r="M24" s="178" t="str">
        <f aca="true" t="shared" si="3" ref="M24:M43">IF(D24="","",IF(L24="P","--","NO"))</f>
        <v>--</v>
      </c>
      <c r="N24" s="422">
        <f aca="true" t="shared" si="4" ref="N24:N43">IF(F24=500,$F$17,IF(F24=220,$F$18,$F$19))</f>
        <v>40</v>
      </c>
      <c r="O24" s="423">
        <f aca="true" t="shared" si="5" ref="O24:O43">IF(L24="P",G24*N24*ROUND(K24/60,2)*0.1,"--")</f>
        <v>1366.08672</v>
      </c>
      <c r="P24" s="424" t="str">
        <f aca="true" t="shared" si="6" ref="P24:P43">IF(AND(L24="F",M24="NO"),G24*N24,"--")</f>
        <v>--</v>
      </c>
      <c r="Q24" s="425" t="str">
        <f aca="true" t="shared" si="7" ref="Q24:Q43">IF(L24="F",G24*N24*ROUND(K24/60,2),"--")</f>
        <v>--</v>
      </c>
      <c r="R24" s="185" t="str">
        <f aca="true" t="shared" si="8" ref="R24:R43">IF(L24="RF",G24*N24*ROUND(K24/60,2),"--")</f>
        <v>--</v>
      </c>
      <c r="S24" s="178" t="str">
        <f aca="true" t="shared" si="9" ref="S24:S43">IF(D24="","","SI")</f>
        <v>SI</v>
      </c>
      <c r="T24" s="426">
        <f aca="true" t="shared" si="10" ref="T24:T43">IF(D24="","",SUM(O24:R24)*IF(S24="SI",1,2))</f>
        <v>1366.08672</v>
      </c>
      <c r="U24" s="6"/>
    </row>
    <row r="25" spans="2:21" s="5" customFormat="1" ht="16.5" customHeight="1">
      <c r="B25" s="50"/>
      <c r="C25" s="297">
        <v>49</v>
      </c>
      <c r="D25" s="417" t="s">
        <v>272</v>
      </c>
      <c r="E25" s="417" t="s">
        <v>286</v>
      </c>
      <c r="F25" s="418">
        <v>132</v>
      </c>
      <c r="G25" s="129">
        <f t="shared" si="0"/>
        <v>51.126</v>
      </c>
      <c r="H25" s="419">
        <v>39693.35</v>
      </c>
      <c r="I25" s="176">
        <v>39693.69097222222</v>
      </c>
      <c r="J25" s="420">
        <f t="shared" si="1"/>
        <v>8.183333333290648</v>
      </c>
      <c r="K25" s="421">
        <f t="shared" si="2"/>
        <v>491</v>
      </c>
      <c r="L25" s="243" t="s">
        <v>222</v>
      </c>
      <c r="M25" s="178" t="str">
        <f t="shared" si="3"/>
        <v>--</v>
      </c>
      <c r="N25" s="422">
        <f t="shared" si="4"/>
        <v>40</v>
      </c>
      <c r="O25" s="423">
        <f t="shared" si="5"/>
        <v>1672.8427199999999</v>
      </c>
      <c r="P25" s="424" t="str">
        <f t="shared" si="6"/>
        <v>--</v>
      </c>
      <c r="Q25" s="425" t="str">
        <f t="shared" si="7"/>
        <v>--</v>
      </c>
      <c r="R25" s="185" t="str">
        <f t="shared" si="8"/>
        <v>--</v>
      </c>
      <c r="S25" s="178" t="str">
        <f t="shared" si="9"/>
        <v>SI</v>
      </c>
      <c r="T25" s="426">
        <f t="shared" si="10"/>
        <v>1672.8427199999999</v>
      </c>
      <c r="U25" s="6"/>
    </row>
    <row r="26" spans="2:21" s="5" customFormat="1" ht="16.5" customHeight="1">
      <c r="B26" s="50"/>
      <c r="C26" s="180">
        <v>50</v>
      </c>
      <c r="D26" s="417" t="s">
        <v>281</v>
      </c>
      <c r="E26" s="417" t="s">
        <v>287</v>
      </c>
      <c r="F26" s="418">
        <v>132</v>
      </c>
      <c r="G26" s="129">
        <f t="shared" si="0"/>
        <v>51.126</v>
      </c>
      <c r="H26" s="419">
        <v>39694.35277777778</v>
      </c>
      <c r="I26" s="176">
        <v>39694.57430555556</v>
      </c>
      <c r="J26" s="420">
        <f t="shared" si="1"/>
        <v>5.316666666709352</v>
      </c>
      <c r="K26" s="421">
        <f t="shared" si="2"/>
        <v>319</v>
      </c>
      <c r="L26" s="243" t="s">
        <v>222</v>
      </c>
      <c r="M26" s="178" t="str">
        <f t="shared" si="3"/>
        <v>--</v>
      </c>
      <c r="N26" s="422">
        <f t="shared" si="4"/>
        <v>40</v>
      </c>
      <c r="O26" s="423">
        <f t="shared" si="5"/>
        <v>1087.9612800000002</v>
      </c>
      <c r="P26" s="424" t="str">
        <f t="shared" si="6"/>
        <v>--</v>
      </c>
      <c r="Q26" s="425" t="str">
        <f t="shared" si="7"/>
        <v>--</v>
      </c>
      <c r="R26" s="185" t="str">
        <f t="shared" si="8"/>
        <v>--</v>
      </c>
      <c r="S26" s="178" t="str">
        <f t="shared" si="9"/>
        <v>SI</v>
      </c>
      <c r="T26" s="426">
        <f t="shared" si="10"/>
        <v>1087.9612800000002</v>
      </c>
      <c r="U26" s="6"/>
    </row>
    <row r="27" spans="2:21" s="5" customFormat="1" ht="16.5" customHeight="1">
      <c r="B27" s="50"/>
      <c r="C27" s="297">
        <v>51</v>
      </c>
      <c r="D27" s="417" t="s">
        <v>272</v>
      </c>
      <c r="E27" s="417" t="s">
        <v>286</v>
      </c>
      <c r="F27" s="418">
        <v>132</v>
      </c>
      <c r="G27" s="129">
        <f t="shared" si="0"/>
        <v>51.126</v>
      </c>
      <c r="H27" s="419">
        <v>39694.39166666667</v>
      </c>
      <c r="I27" s="176">
        <v>39694.70138888889</v>
      </c>
      <c r="J27" s="420">
        <f t="shared" si="1"/>
        <v>7.433333333290648</v>
      </c>
      <c r="K27" s="421">
        <f t="shared" si="2"/>
        <v>446</v>
      </c>
      <c r="L27" s="243" t="s">
        <v>222</v>
      </c>
      <c r="M27" s="178" t="str">
        <f t="shared" si="3"/>
        <v>--</v>
      </c>
      <c r="N27" s="422">
        <f t="shared" si="4"/>
        <v>40</v>
      </c>
      <c r="O27" s="423">
        <f t="shared" si="5"/>
        <v>1519.46472</v>
      </c>
      <c r="P27" s="424" t="str">
        <f t="shared" si="6"/>
        <v>--</v>
      </c>
      <c r="Q27" s="425" t="str">
        <f t="shared" si="7"/>
        <v>--</v>
      </c>
      <c r="R27" s="185" t="str">
        <f t="shared" si="8"/>
        <v>--</v>
      </c>
      <c r="S27" s="178" t="str">
        <f t="shared" si="9"/>
        <v>SI</v>
      </c>
      <c r="T27" s="426">
        <f t="shared" si="10"/>
        <v>1519.46472</v>
      </c>
      <c r="U27" s="6"/>
    </row>
    <row r="28" spans="2:21" s="5" customFormat="1" ht="16.5" customHeight="1">
      <c r="B28" s="50"/>
      <c r="C28" s="180">
        <v>52</v>
      </c>
      <c r="D28" s="417" t="s">
        <v>272</v>
      </c>
      <c r="E28" s="417" t="s">
        <v>286</v>
      </c>
      <c r="F28" s="418">
        <v>132</v>
      </c>
      <c r="G28" s="129">
        <f t="shared" si="0"/>
        <v>51.126</v>
      </c>
      <c r="H28" s="419">
        <v>39695.36388888889</v>
      </c>
      <c r="I28" s="176">
        <v>39695.74930555555</v>
      </c>
      <c r="J28" s="420">
        <f t="shared" si="1"/>
        <v>9.249999999941792</v>
      </c>
      <c r="K28" s="421">
        <f t="shared" si="2"/>
        <v>555</v>
      </c>
      <c r="L28" s="243" t="s">
        <v>222</v>
      </c>
      <c r="M28" s="178" t="str">
        <f t="shared" si="3"/>
        <v>--</v>
      </c>
      <c r="N28" s="422">
        <f t="shared" si="4"/>
        <v>40</v>
      </c>
      <c r="O28" s="423">
        <f t="shared" si="5"/>
        <v>1891.662</v>
      </c>
      <c r="P28" s="424" t="str">
        <f t="shared" si="6"/>
        <v>--</v>
      </c>
      <c r="Q28" s="425" t="str">
        <f t="shared" si="7"/>
        <v>--</v>
      </c>
      <c r="R28" s="185" t="str">
        <f t="shared" si="8"/>
        <v>--</v>
      </c>
      <c r="S28" s="178" t="str">
        <f t="shared" si="9"/>
        <v>SI</v>
      </c>
      <c r="T28" s="426">
        <f t="shared" si="10"/>
        <v>1891.662</v>
      </c>
      <c r="U28" s="6"/>
    </row>
    <row r="29" spans="2:21" s="5" customFormat="1" ht="16.5" customHeight="1">
      <c r="B29" s="50"/>
      <c r="C29" s="297">
        <v>53</v>
      </c>
      <c r="D29" s="417" t="s">
        <v>281</v>
      </c>
      <c r="E29" s="417" t="s">
        <v>287</v>
      </c>
      <c r="F29" s="418">
        <v>132</v>
      </c>
      <c r="G29" s="129">
        <f t="shared" si="0"/>
        <v>51.126</v>
      </c>
      <c r="H29" s="419">
        <v>39695.368055555555</v>
      </c>
      <c r="I29" s="176">
        <v>39695.57916666667</v>
      </c>
      <c r="J29" s="420">
        <f t="shared" si="1"/>
        <v>5.06666666676756</v>
      </c>
      <c r="K29" s="421">
        <f t="shared" si="2"/>
        <v>304</v>
      </c>
      <c r="L29" s="243" t="s">
        <v>222</v>
      </c>
      <c r="M29" s="178" t="str">
        <f t="shared" si="3"/>
        <v>--</v>
      </c>
      <c r="N29" s="422">
        <f t="shared" si="4"/>
        <v>40</v>
      </c>
      <c r="O29" s="423">
        <f t="shared" si="5"/>
        <v>1036.83528</v>
      </c>
      <c r="P29" s="424" t="str">
        <f t="shared" si="6"/>
        <v>--</v>
      </c>
      <c r="Q29" s="425" t="str">
        <f t="shared" si="7"/>
        <v>--</v>
      </c>
      <c r="R29" s="185" t="str">
        <f t="shared" si="8"/>
        <v>--</v>
      </c>
      <c r="S29" s="178" t="str">
        <f t="shared" si="9"/>
        <v>SI</v>
      </c>
      <c r="T29" s="426">
        <f t="shared" si="10"/>
        <v>1036.83528</v>
      </c>
      <c r="U29" s="6"/>
    </row>
    <row r="30" spans="2:21" s="5" customFormat="1" ht="16.5" customHeight="1">
      <c r="B30" s="50"/>
      <c r="C30" s="180">
        <v>54</v>
      </c>
      <c r="D30" s="417" t="s">
        <v>272</v>
      </c>
      <c r="E30" s="417" t="s">
        <v>288</v>
      </c>
      <c r="F30" s="418">
        <v>132</v>
      </c>
      <c r="G30" s="129">
        <f t="shared" si="0"/>
        <v>51.126</v>
      </c>
      <c r="H30" s="419">
        <v>39695.75833333333</v>
      </c>
      <c r="I30" s="176">
        <v>39695.777083333334</v>
      </c>
      <c r="J30" s="420">
        <f t="shared" si="1"/>
        <v>0.4500000000698492</v>
      </c>
      <c r="K30" s="421">
        <f t="shared" si="2"/>
        <v>27</v>
      </c>
      <c r="L30" s="243" t="s">
        <v>252</v>
      </c>
      <c r="M30" s="178" t="s">
        <v>219</v>
      </c>
      <c r="N30" s="422">
        <f t="shared" si="4"/>
        <v>40</v>
      </c>
      <c r="O30" s="423" t="str">
        <f t="shared" si="5"/>
        <v>--</v>
      </c>
      <c r="P30" s="424" t="str">
        <f t="shared" si="6"/>
        <v>--</v>
      </c>
      <c r="Q30" s="425">
        <f t="shared" si="7"/>
        <v>920.268</v>
      </c>
      <c r="R30" s="185" t="str">
        <f t="shared" si="8"/>
        <v>--</v>
      </c>
      <c r="S30" s="178" t="str">
        <f t="shared" si="9"/>
        <v>SI</v>
      </c>
      <c r="T30" s="426">
        <f t="shared" si="10"/>
        <v>920.268</v>
      </c>
      <c r="U30" s="6"/>
    </row>
    <row r="31" spans="2:21" s="5" customFormat="1" ht="16.5" customHeight="1">
      <c r="B31" s="50"/>
      <c r="C31" s="297">
        <v>55</v>
      </c>
      <c r="D31" s="417" t="s">
        <v>272</v>
      </c>
      <c r="E31" s="417" t="s">
        <v>286</v>
      </c>
      <c r="F31" s="418">
        <v>132</v>
      </c>
      <c r="G31" s="129">
        <f t="shared" si="0"/>
        <v>51.126</v>
      </c>
      <c r="H31" s="419">
        <v>39696.15277777778</v>
      </c>
      <c r="I31" s="176">
        <v>39696.1875</v>
      </c>
      <c r="J31" s="420">
        <f t="shared" si="1"/>
        <v>0.8333333332557231</v>
      </c>
      <c r="K31" s="421">
        <f t="shared" si="2"/>
        <v>50</v>
      </c>
      <c r="L31" s="243" t="s">
        <v>252</v>
      </c>
      <c r="M31" s="178" t="s">
        <v>219</v>
      </c>
      <c r="N31" s="422">
        <f t="shared" si="4"/>
        <v>40</v>
      </c>
      <c r="O31" s="423" t="str">
        <f t="shared" si="5"/>
        <v>--</v>
      </c>
      <c r="P31" s="424" t="str">
        <f t="shared" si="6"/>
        <v>--</v>
      </c>
      <c r="Q31" s="425">
        <f t="shared" si="7"/>
        <v>1697.3832</v>
      </c>
      <c r="R31" s="185" t="str">
        <f t="shared" si="8"/>
        <v>--</v>
      </c>
      <c r="S31" s="178" t="str">
        <f t="shared" si="9"/>
        <v>SI</v>
      </c>
      <c r="T31" s="426">
        <f t="shared" si="10"/>
        <v>1697.3832</v>
      </c>
      <c r="U31" s="6"/>
    </row>
    <row r="32" spans="2:21" s="5" customFormat="1" ht="16.5" customHeight="1">
      <c r="B32" s="50"/>
      <c r="C32" s="180">
        <v>56</v>
      </c>
      <c r="D32" s="417" t="s">
        <v>272</v>
      </c>
      <c r="E32" s="417" t="s">
        <v>286</v>
      </c>
      <c r="F32" s="418">
        <v>132</v>
      </c>
      <c r="G32" s="129">
        <f t="shared" si="0"/>
        <v>51.126</v>
      </c>
      <c r="H32" s="419">
        <v>39696.345138888886</v>
      </c>
      <c r="I32" s="176">
        <v>39696.70625</v>
      </c>
      <c r="J32" s="420">
        <f t="shared" si="1"/>
        <v>8.666666666802485</v>
      </c>
      <c r="K32" s="421">
        <f t="shared" si="2"/>
        <v>520</v>
      </c>
      <c r="L32" s="243" t="s">
        <v>222</v>
      </c>
      <c r="M32" s="178" t="str">
        <f t="shared" si="3"/>
        <v>--</v>
      </c>
      <c r="N32" s="422">
        <f t="shared" si="4"/>
        <v>40</v>
      </c>
      <c r="O32" s="423">
        <f t="shared" si="5"/>
        <v>1773.04968</v>
      </c>
      <c r="P32" s="424" t="str">
        <f t="shared" si="6"/>
        <v>--</v>
      </c>
      <c r="Q32" s="425" t="str">
        <f t="shared" si="7"/>
        <v>--</v>
      </c>
      <c r="R32" s="185" t="str">
        <f t="shared" si="8"/>
        <v>--</v>
      </c>
      <c r="S32" s="178" t="str">
        <f t="shared" si="9"/>
        <v>SI</v>
      </c>
      <c r="T32" s="426">
        <f t="shared" si="10"/>
        <v>1773.04968</v>
      </c>
      <c r="U32" s="6"/>
    </row>
    <row r="33" spans="2:21" s="5" customFormat="1" ht="16.5" customHeight="1">
      <c r="B33" s="50"/>
      <c r="C33" s="297">
        <v>57</v>
      </c>
      <c r="D33" s="417" t="s">
        <v>272</v>
      </c>
      <c r="E33" s="417" t="s">
        <v>286</v>
      </c>
      <c r="F33" s="418">
        <v>132</v>
      </c>
      <c r="G33" s="129">
        <f t="shared" si="0"/>
        <v>51.126</v>
      </c>
      <c r="H33" s="419">
        <v>39698.086805555555</v>
      </c>
      <c r="I33" s="176">
        <v>39698.11319444444</v>
      </c>
      <c r="J33" s="420">
        <f t="shared" si="1"/>
        <v>0.6333333333022892</v>
      </c>
      <c r="K33" s="421">
        <f t="shared" si="2"/>
        <v>38</v>
      </c>
      <c r="L33" s="243" t="s">
        <v>252</v>
      </c>
      <c r="M33" s="178" t="s">
        <v>219</v>
      </c>
      <c r="N33" s="422">
        <f t="shared" si="4"/>
        <v>40</v>
      </c>
      <c r="O33" s="423" t="str">
        <f t="shared" si="5"/>
        <v>--</v>
      </c>
      <c r="P33" s="424" t="str">
        <f t="shared" si="6"/>
        <v>--</v>
      </c>
      <c r="Q33" s="425">
        <f t="shared" si="7"/>
        <v>1288.3752</v>
      </c>
      <c r="R33" s="185" t="str">
        <f t="shared" si="8"/>
        <v>--</v>
      </c>
      <c r="S33" s="178" t="str">
        <f t="shared" si="9"/>
        <v>SI</v>
      </c>
      <c r="T33" s="426">
        <f t="shared" si="10"/>
        <v>1288.3752</v>
      </c>
      <c r="U33" s="6"/>
    </row>
    <row r="34" spans="2:21" s="5" customFormat="1" ht="16.5" customHeight="1">
      <c r="B34" s="50"/>
      <c r="C34" s="180">
        <v>58</v>
      </c>
      <c r="D34" s="417" t="s">
        <v>272</v>
      </c>
      <c r="E34" s="417" t="s">
        <v>289</v>
      </c>
      <c r="F34" s="418">
        <v>132</v>
      </c>
      <c r="G34" s="129">
        <f t="shared" si="0"/>
        <v>51.126</v>
      </c>
      <c r="H34" s="419">
        <v>39698.28958333333</v>
      </c>
      <c r="I34" s="176">
        <v>39698.316666666666</v>
      </c>
      <c r="J34" s="420">
        <f t="shared" si="1"/>
        <v>0.6500000000232831</v>
      </c>
      <c r="K34" s="421">
        <f t="shared" si="2"/>
        <v>39</v>
      </c>
      <c r="L34" s="243" t="s">
        <v>252</v>
      </c>
      <c r="M34" s="178" t="s">
        <v>219</v>
      </c>
      <c r="N34" s="422">
        <f t="shared" si="4"/>
        <v>40</v>
      </c>
      <c r="O34" s="423" t="str">
        <f t="shared" si="5"/>
        <v>--</v>
      </c>
      <c r="P34" s="424" t="str">
        <f t="shared" si="6"/>
        <v>--</v>
      </c>
      <c r="Q34" s="425">
        <f t="shared" si="7"/>
        <v>1329.276</v>
      </c>
      <c r="R34" s="185" t="str">
        <f t="shared" si="8"/>
        <v>--</v>
      </c>
      <c r="S34" s="178" t="str">
        <f t="shared" si="9"/>
        <v>SI</v>
      </c>
      <c r="T34" s="426">
        <f t="shared" si="10"/>
        <v>1329.276</v>
      </c>
      <c r="U34" s="6"/>
    </row>
    <row r="35" spans="2:21" s="5" customFormat="1" ht="16.5" customHeight="1">
      <c r="B35" s="50"/>
      <c r="C35" s="297">
        <v>59</v>
      </c>
      <c r="D35" s="417" t="s">
        <v>290</v>
      </c>
      <c r="E35" s="417" t="s">
        <v>291</v>
      </c>
      <c r="F35" s="418">
        <v>500</v>
      </c>
      <c r="G35" s="129">
        <f t="shared" si="0"/>
        <v>63.904</v>
      </c>
      <c r="H35" s="419">
        <v>39698.32916666667</v>
      </c>
      <c r="I35" s="176">
        <v>39698.854166666664</v>
      </c>
      <c r="J35" s="420">
        <f t="shared" si="1"/>
        <v>12.599999999860302</v>
      </c>
      <c r="K35" s="421">
        <f t="shared" si="2"/>
        <v>756</v>
      </c>
      <c r="L35" s="243" t="s">
        <v>222</v>
      </c>
      <c r="M35" s="178" t="str">
        <f t="shared" si="3"/>
        <v>--</v>
      </c>
      <c r="N35" s="422">
        <f t="shared" si="4"/>
        <v>200</v>
      </c>
      <c r="O35" s="423">
        <f t="shared" si="5"/>
        <v>16103.808000000003</v>
      </c>
      <c r="P35" s="424" t="str">
        <f t="shared" si="6"/>
        <v>--</v>
      </c>
      <c r="Q35" s="425" t="str">
        <f t="shared" si="7"/>
        <v>--</v>
      </c>
      <c r="R35" s="185" t="str">
        <f t="shared" si="8"/>
        <v>--</v>
      </c>
      <c r="S35" s="178" t="str">
        <f t="shared" si="9"/>
        <v>SI</v>
      </c>
      <c r="T35" s="426">
        <v>0</v>
      </c>
      <c r="U35" s="6"/>
    </row>
    <row r="36" spans="2:21" s="5" customFormat="1" ht="16.5" customHeight="1">
      <c r="B36" s="50"/>
      <c r="C36" s="180">
        <v>60</v>
      </c>
      <c r="D36" s="417" t="s">
        <v>292</v>
      </c>
      <c r="E36" s="417" t="s">
        <v>293</v>
      </c>
      <c r="F36" s="418">
        <v>132</v>
      </c>
      <c r="G36" s="129">
        <f t="shared" si="0"/>
        <v>51.126</v>
      </c>
      <c r="H36" s="419">
        <v>39699.404861111114</v>
      </c>
      <c r="I36" s="176">
        <v>39699.635416666664</v>
      </c>
      <c r="J36" s="420">
        <f t="shared" si="1"/>
        <v>5.533333333209157</v>
      </c>
      <c r="K36" s="421">
        <f t="shared" si="2"/>
        <v>332</v>
      </c>
      <c r="L36" s="243" t="s">
        <v>222</v>
      </c>
      <c r="M36" s="178" t="str">
        <f t="shared" si="3"/>
        <v>--</v>
      </c>
      <c r="N36" s="422">
        <f t="shared" si="4"/>
        <v>40</v>
      </c>
      <c r="O36" s="423">
        <f t="shared" si="5"/>
        <v>1130.90712</v>
      </c>
      <c r="P36" s="424" t="str">
        <f t="shared" si="6"/>
        <v>--</v>
      </c>
      <c r="Q36" s="425" t="str">
        <f t="shared" si="7"/>
        <v>--</v>
      </c>
      <c r="R36" s="185" t="str">
        <f t="shared" si="8"/>
        <v>--</v>
      </c>
      <c r="S36" s="178" t="str">
        <f t="shared" si="9"/>
        <v>SI</v>
      </c>
      <c r="T36" s="426">
        <v>0</v>
      </c>
      <c r="U36" s="6"/>
    </row>
    <row r="37" spans="2:21" s="5" customFormat="1" ht="16.5" customHeight="1">
      <c r="B37" s="50"/>
      <c r="C37" s="297">
        <v>61</v>
      </c>
      <c r="D37" s="417" t="s">
        <v>281</v>
      </c>
      <c r="E37" s="417" t="s">
        <v>294</v>
      </c>
      <c r="F37" s="418">
        <v>132</v>
      </c>
      <c r="G37" s="129">
        <f t="shared" si="0"/>
        <v>51.126</v>
      </c>
      <c r="H37" s="419">
        <v>39700.34097222222</v>
      </c>
      <c r="I37" s="176">
        <v>39700.513194444444</v>
      </c>
      <c r="J37" s="420">
        <f t="shared" si="1"/>
        <v>4.133333333360497</v>
      </c>
      <c r="K37" s="421">
        <f t="shared" si="2"/>
        <v>248</v>
      </c>
      <c r="L37" s="243" t="s">
        <v>222</v>
      </c>
      <c r="M37" s="178" t="str">
        <f t="shared" si="3"/>
        <v>--</v>
      </c>
      <c r="N37" s="422">
        <f t="shared" si="4"/>
        <v>40</v>
      </c>
      <c r="O37" s="423">
        <f t="shared" si="5"/>
        <v>844.60152</v>
      </c>
      <c r="P37" s="424" t="str">
        <f t="shared" si="6"/>
        <v>--</v>
      </c>
      <c r="Q37" s="425" t="str">
        <f t="shared" si="7"/>
        <v>--</v>
      </c>
      <c r="R37" s="185" t="str">
        <f t="shared" si="8"/>
        <v>--</v>
      </c>
      <c r="S37" s="178" t="str">
        <f t="shared" si="9"/>
        <v>SI</v>
      </c>
      <c r="T37" s="426">
        <v>0</v>
      </c>
      <c r="U37" s="6"/>
    </row>
    <row r="38" spans="2:21" s="5" customFormat="1" ht="16.5" customHeight="1">
      <c r="B38" s="50"/>
      <c r="C38" s="180">
        <v>62</v>
      </c>
      <c r="D38" s="417" t="s">
        <v>281</v>
      </c>
      <c r="E38" s="417" t="s">
        <v>295</v>
      </c>
      <c r="F38" s="418">
        <v>132</v>
      </c>
      <c r="G38" s="129">
        <f t="shared" si="0"/>
        <v>51.126</v>
      </c>
      <c r="H38" s="419">
        <v>39700.34722222222</v>
      </c>
      <c r="I38" s="176">
        <v>39700.498611111114</v>
      </c>
      <c r="J38" s="420">
        <f t="shared" si="1"/>
        <v>3.6333333334769122</v>
      </c>
      <c r="K38" s="421">
        <f t="shared" si="2"/>
        <v>218</v>
      </c>
      <c r="L38" s="243" t="s">
        <v>222</v>
      </c>
      <c r="M38" s="178" t="str">
        <f t="shared" si="3"/>
        <v>--</v>
      </c>
      <c r="N38" s="422">
        <f t="shared" si="4"/>
        <v>40</v>
      </c>
      <c r="O38" s="423">
        <f t="shared" si="5"/>
        <v>742.34952</v>
      </c>
      <c r="P38" s="424" t="str">
        <f t="shared" si="6"/>
        <v>--</v>
      </c>
      <c r="Q38" s="425" t="str">
        <f t="shared" si="7"/>
        <v>--</v>
      </c>
      <c r="R38" s="185" t="str">
        <f t="shared" si="8"/>
        <v>--</v>
      </c>
      <c r="S38" s="178" t="str">
        <f t="shared" si="9"/>
        <v>SI</v>
      </c>
      <c r="T38" s="426">
        <v>0</v>
      </c>
      <c r="U38" s="6"/>
    </row>
    <row r="39" spans="2:21" s="5" customFormat="1" ht="16.5" customHeight="1">
      <c r="B39" s="50"/>
      <c r="C39" s="297">
        <v>63</v>
      </c>
      <c r="D39" s="417" t="s">
        <v>296</v>
      </c>
      <c r="E39" s="417" t="s">
        <v>297</v>
      </c>
      <c r="F39" s="418">
        <v>132</v>
      </c>
      <c r="G39" s="129">
        <f t="shared" si="0"/>
        <v>51.126</v>
      </c>
      <c r="H39" s="419">
        <v>39700.37430555555</v>
      </c>
      <c r="I39" s="176">
        <v>39700.623611111114</v>
      </c>
      <c r="J39" s="420">
        <f t="shared" si="1"/>
        <v>5.983333333453629</v>
      </c>
      <c r="K39" s="421">
        <f t="shared" si="2"/>
        <v>359</v>
      </c>
      <c r="L39" s="243" t="s">
        <v>222</v>
      </c>
      <c r="M39" s="178" t="str">
        <f t="shared" si="3"/>
        <v>--</v>
      </c>
      <c r="N39" s="422">
        <f t="shared" si="4"/>
        <v>40</v>
      </c>
      <c r="O39" s="423">
        <f t="shared" si="5"/>
        <v>1222.9339200000002</v>
      </c>
      <c r="P39" s="424" t="str">
        <f t="shared" si="6"/>
        <v>--</v>
      </c>
      <c r="Q39" s="425" t="str">
        <f t="shared" si="7"/>
        <v>--</v>
      </c>
      <c r="R39" s="185" t="str">
        <f t="shared" si="8"/>
        <v>--</v>
      </c>
      <c r="S39" s="178" t="str">
        <f t="shared" si="9"/>
        <v>SI</v>
      </c>
      <c r="T39" s="426">
        <v>0</v>
      </c>
      <c r="U39" s="6"/>
    </row>
    <row r="40" spans="2:21" s="5" customFormat="1" ht="16.5" customHeight="1">
      <c r="B40" s="50"/>
      <c r="C40" s="180">
        <v>64</v>
      </c>
      <c r="D40" s="417" t="s">
        <v>281</v>
      </c>
      <c r="E40" s="417" t="s">
        <v>298</v>
      </c>
      <c r="F40" s="418">
        <v>132</v>
      </c>
      <c r="G40" s="129">
        <f t="shared" si="0"/>
        <v>51.126</v>
      </c>
      <c r="H40" s="419">
        <v>39700.37777777778</v>
      </c>
      <c r="I40" s="176">
        <v>39700.51527777778</v>
      </c>
      <c r="J40" s="420">
        <f t="shared" si="1"/>
        <v>3.299999999930151</v>
      </c>
      <c r="K40" s="421">
        <f t="shared" si="2"/>
        <v>198</v>
      </c>
      <c r="L40" s="243" t="s">
        <v>222</v>
      </c>
      <c r="M40" s="178" t="str">
        <f t="shared" si="3"/>
        <v>--</v>
      </c>
      <c r="N40" s="422">
        <f t="shared" si="4"/>
        <v>40</v>
      </c>
      <c r="O40" s="423">
        <f t="shared" si="5"/>
        <v>674.8632</v>
      </c>
      <c r="P40" s="424" t="str">
        <f t="shared" si="6"/>
        <v>--</v>
      </c>
      <c r="Q40" s="425" t="str">
        <f t="shared" si="7"/>
        <v>--</v>
      </c>
      <c r="R40" s="185" t="str">
        <f t="shared" si="8"/>
        <v>--</v>
      </c>
      <c r="S40" s="178" t="str">
        <f t="shared" si="9"/>
        <v>SI</v>
      </c>
      <c r="T40" s="426">
        <v>0</v>
      </c>
      <c r="U40" s="6"/>
    </row>
    <row r="41" spans="2:21" s="5" customFormat="1" ht="16.5" customHeight="1">
      <c r="B41" s="50"/>
      <c r="C41" s="297">
        <v>65</v>
      </c>
      <c r="D41" s="417" t="s">
        <v>299</v>
      </c>
      <c r="E41" s="417" t="s">
        <v>300</v>
      </c>
      <c r="F41" s="418">
        <v>500</v>
      </c>
      <c r="G41" s="129">
        <f t="shared" si="0"/>
        <v>63.904</v>
      </c>
      <c r="H41" s="419">
        <v>39700.52777777778</v>
      </c>
      <c r="I41" s="176">
        <v>39700.944444444445</v>
      </c>
      <c r="J41" s="420">
        <f t="shared" si="1"/>
        <v>9.999999999941792</v>
      </c>
      <c r="K41" s="421">
        <f t="shared" si="2"/>
        <v>600</v>
      </c>
      <c r="L41" s="243" t="s">
        <v>222</v>
      </c>
      <c r="M41" s="178" t="str">
        <f t="shared" si="3"/>
        <v>--</v>
      </c>
      <c r="N41" s="422">
        <f t="shared" si="4"/>
        <v>200</v>
      </c>
      <c r="O41" s="423">
        <f t="shared" si="5"/>
        <v>12780.800000000003</v>
      </c>
      <c r="P41" s="424" t="str">
        <f t="shared" si="6"/>
        <v>--</v>
      </c>
      <c r="Q41" s="425" t="str">
        <f t="shared" si="7"/>
        <v>--</v>
      </c>
      <c r="R41" s="185" t="str">
        <f t="shared" si="8"/>
        <v>--</v>
      </c>
      <c r="S41" s="178" t="str">
        <f t="shared" si="9"/>
        <v>SI</v>
      </c>
      <c r="T41" s="426">
        <v>0</v>
      </c>
      <c r="U41" s="6"/>
    </row>
    <row r="42" spans="2:21" s="5" customFormat="1" ht="16.5" customHeight="1">
      <c r="B42" s="50"/>
      <c r="C42" s="180">
        <v>66</v>
      </c>
      <c r="D42" s="417" t="s">
        <v>272</v>
      </c>
      <c r="E42" s="417" t="s">
        <v>286</v>
      </c>
      <c r="F42" s="418">
        <v>132</v>
      </c>
      <c r="G42" s="129">
        <f t="shared" si="0"/>
        <v>51.126</v>
      </c>
      <c r="H42" s="419">
        <v>39700.55</v>
      </c>
      <c r="I42" s="176">
        <v>39700.70694444444</v>
      </c>
      <c r="J42" s="420">
        <f t="shared" si="1"/>
        <v>3.766666666546371</v>
      </c>
      <c r="K42" s="421">
        <f t="shared" si="2"/>
        <v>226</v>
      </c>
      <c r="L42" s="243" t="s">
        <v>222</v>
      </c>
      <c r="M42" s="178" t="str">
        <f t="shared" si="3"/>
        <v>--</v>
      </c>
      <c r="N42" s="422">
        <f t="shared" si="4"/>
        <v>40</v>
      </c>
      <c r="O42" s="423">
        <f t="shared" si="5"/>
        <v>770.98008</v>
      </c>
      <c r="P42" s="424" t="str">
        <f t="shared" si="6"/>
        <v>--</v>
      </c>
      <c r="Q42" s="425" t="str">
        <f t="shared" si="7"/>
        <v>--</v>
      </c>
      <c r="R42" s="185" t="str">
        <f t="shared" si="8"/>
        <v>--</v>
      </c>
      <c r="S42" s="178" t="str">
        <f t="shared" si="9"/>
        <v>SI</v>
      </c>
      <c r="T42" s="426">
        <f t="shared" si="10"/>
        <v>770.98008</v>
      </c>
      <c r="U42" s="6"/>
    </row>
    <row r="43" spans="2:21" s="5" customFormat="1" ht="16.5" customHeight="1">
      <c r="B43" s="50"/>
      <c r="C43" s="297"/>
      <c r="D43" s="417"/>
      <c r="E43" s="417"/>
      <c r="F43" s="418"/>
      <c r="G43" s="129">
        <f t="shared" si="0"/>
        <v>51.126</v>
      </c>
      <c r="H43" s="419"/>
      <c r="I43" s="176"/>
      <c r="J43" s="420">
        <f t="shared" si="1"/>
      </c>
      <c r="K43" s="421">
        <f t="shared" si="2"/>
      </c>
      <c r="L43" s="243"/>
      <c r="M43" s="178">
        <f t="shared" si="3"/>
      </c>
      <c r="N43" s="422">
        <f t="shared" si="4"/>
        <v>40</v>
      </c>
      <c r="O43" s="423" t="str">
        <f t="shared" si="5"/>
        <v>--</v>
      </c>
      <c r="P43" s="424" t="str">
        <f t="shared" si="6"/>
        <v>--</v>
      </c>
      <c r="Q43" s="425" t="str">
        <f t="shared" si="7"/>
        <v>--</v>
      </c>
      <c r="R43" s="185" t="str">
        <f t="shared" si="8"/>
        <v>--</v>
      </c>
      <c r="S43" s="178">
        <f t="shared" si="9"/>
      </c>
      <c r="T43" s="426">
        <f t="shared" si="10"/>
      </c>
      <c r="U43" s="6"/>
    </row>
    <row r="44" spans="2:21" s="5" customFormat="1" ht="16.5" customHeight="1" thickBot="1">
      <c r="B44" s="50"/>
      <c r="C44" s="180"/>
      <c r="D44" s="172"/>
      <c r="E44" s="172"/>
      <c r="F44" s="251"/>
      <c r="G44" s="130"/>
      <c r="H44" s="427"/>
      <c r="I44" s="427"/>
      <c r="J44" s="428"/>
      <c r="K44" s="428"/>
      <c r="L44" s="427"/>
      <c r="M44" s="177"/>
      <c r="N44" s="429"/>
      <c r="O44" s="430"/>
      <c r="P44" s="431"/>
      <c r="Q44" s="432"/>
      <c r="R44" s="187"/>
      <c r="S44" s="177"/>
      <c r="T44" s="433"/>
      <c r="U44" s="6"/>
    </row>
    <row r="45" spans="2:21" s="5" customFormat="1" ht="16.5" customHeight="1" thickBot="1" thickTop="1">
      <c r="B45" s="50"/>
      <c r="C45" s="126" t="s">
        <v>23</v>
      </c>
      <c r="D45" s="127" t="s">
        <v>340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34">
        <f>SUM(O22:O44)</f>
        <v>44619.14576000001</v>
      </c>
      <c r="P45" s="435">
        <f>SUM(P22:P44)</f>
        <v>0</v>
      </c>
      <c r="Q45" s="436">
        <f>SUM(Q22:Q44)</f>
        <v>5235.3024000000005</v>
      </c>
      <c r="R45" s="437">
        <f>SUM(R22:R44)</f>
        <v>0</v>
      </c>
      <c r="S45" s="438"/>
      <c r="T45" s="99">
        <f>ROUND(SUM(T22:T44),2)</f>
        <v>16354.18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202"/>
      <c r="V47" s="202"/>
      <c r="W47" s="202"/>
    </row>
    <row r="48" spans="21:23" ht="16.5" customHeight="1">
      <c r="U48" s="202"/>
      <c r="V48" s="202"/>
      <c r="W48" s="202"/>
    </row>
    <row r="49" spans="21:23" ht="16.5" customHeight="1">
      <c r="U49" s="202"/>
      <c r="V49" s="202"/>
      <c r="W49" s="202"/>
    </row>
    <row r="50" spans="21:23" ht="16.5" customHeight="1">
      <c r="U50" s="202"/>
      <c r="V50" s="202"/>
      <c r="W50" s="202"/>
    </row>
    <row r="51" spans="21:23" ht="16.5" customHeight="1">
      <c r="U51" s="202"/>
      <c r="V51" s="202"/>
      <c r="W51" s="202"/>
    </row>
    <row r="52" spans="4:23" ht="16.5" customHeight="1"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spans="4:23" ht="16.5" customHeight="1"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spans="4:23" ht="16.5" customHeight="1"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</row>
    <row r="55" spans="4:23" ht="16.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spans="4:23" ht="16.5" customHeight="1"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4:23" ht="16.5" customHeight="1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4:23" ht="16.5" customHeight="1"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4:23" ht="16.5" customHeight="1"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4:23" ht="16.5" customHeight="1"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4:23" ht="16.5" customHeight="1"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4:23" ht="16.5" customHeight="1"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spans="4:23" ht="16.5" customHeight="1"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spans="4:23" ht="16.5" customHeight="1"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4:23" ht="16.5" customHeight="1"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4:23" ht="16.5" customHeight="1"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spans="4:23" ht="16.5" customHeight="1"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spans="4:23" ht="16.5" customHeigh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spans="4:23" ht="16.5" customHeight="1"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4:23" ht="16.5" customHeight="1"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spans="4:23" ht="16.5" customHeight="1"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4:23" ht="16.5" customHeight="1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4:23" ht="16.5" customHeight="1"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spans="4:23" ht="16.5" customHeight="1"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spans="4:23" ht="16.5" customHeight="1"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spans="4:23" ht="16.5" customHeight="1"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spans="4:23" ht="16.5" customHeight="1"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spans="4:23" ht="16.5" customHeight="1"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spans="4:23" ht="16.5" customHeight="1"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4:23" ht="16.5" customHeight="1"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4:23" ht="16.5" customHeight="1"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4:23" ht="16.5" customHeight="1"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4:23" ht="16.5" customHeight="1"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4:23" ht="16.5" customHeight="1"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4:23" ht="16.5" customHeight="1"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4:23" ht="16.5" customHeight="1"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4:23" ht="16.5" customHeight="1"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4:23" ht="16.5" customHeight="1"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4:23" ht="16.5" customHeight="1"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4:23" ht="16.5" customHeight="1"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4:23" ht="16.5" customHeight="1"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4:23" ht="16.5" customHeight="1"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4:23" ht="16.5" customHeight="1"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4:23" ht="16.5" customHeight="1"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4:23" ht="16.5" customHeight="1"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4:23" ht="16.5" customHeight="1"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4:23" ht="16.5" customHeight="1"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4:23" ht="16.5" customHeight="1"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4:23" ht="16.5" customHeight="1"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4:23" ht="16.5" customHeight="1"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4:23" ht="16.5" customHeight="1"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4:23" ht="16.5" customHeight="1"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4:23" ht="16.5" customHeight="1"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4:23" ht="16.5" customHeight="1"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4:23" ht="16.5" customHeight="1"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4:23" ht="16.5" customHeight="1"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4:23" ht="16.5" customHeight="1"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4:23" ht="16.5" customHeight="1"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4:23" ht="16.5" customHeight="1"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4:23" ht="16.5" customHeight="1"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4:23" ht="16.5" customHeight="1"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4:23" ht="16.5" customHeight="1"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4:23" ht="16.5" customHeight="1"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4:23" ht="16.5" customHeight="1"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4:23" ht="16.5" customHeight="1"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4:23" ht="16.5" customHeight="1"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4:23" ht="16.5" customHeight="1"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4:23" ht="16.5" customHeight="1"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4:23" ht="16.5" customHeight="1"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4:23" ht="16.5" customHeight="1"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4:23" ht="16.5" customHeight="1"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4:23" ht="16.5" customHeight="1"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4:23" ht="16.5" customHeight="1"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4:23" ht="16.5" customHeight="1"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4:23" ht="16.5" customHeight="1"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4:23" ht="16.5" customHeight="1"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4:23" ht="16.5" customHeight="1"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4:23" ht="16.5" customHeight="1"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4:23" ht="16.5" customHeight="1"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4:23" ht="16.5" customHeight="1"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4:23" ht="16.5" customHeight="1"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4:23" ht="16.5" customHeight="1"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4:23" ht="16.5" customHeight="1"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4:23" ht="16.5" customHeight="1"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4:23" ht="16.5" customHeight="1"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4:23" ht="16.5" customHeight="1"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4:23" ht="16.5" customHeight="1"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4:23" ht="16.5" customHeight="1"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4:23" ht="16.5" customHeight="1"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4:23" ht="16.5" customHeight="1"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4:23" ht="16.5" customHeight="1"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4:23" ht="16.5" customHeight="1"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4:23" ht="16.5" customHeight="1"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4:23" ht="16.5" customHeight="1"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4:23" ht="16.5" customHeight="1"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4:23" ht="16.5" customHeight="1"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4:23" ht="16.5" customHeight="1"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4:23" ht="16.5" customHeight="1"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4:23" ht="16.5" customHeight="1"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4:23" ht="16.5" customHeight="1"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4:23" ht="16.5" customHeight="1"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4:23" ht="16.5" customHeight="1"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4:23" ht="16.5" customHeight="1"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4:23" ht="16.5" customHeight="1"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4:23" ht="16.5" customHeight="1"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4:23" ht="16.5" customHeight="1"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4:23" ht="16.5" customHeight="1"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spans="4:23" ht="16.5" customHeight="1"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  <row r="159" spans="4:23" ht="16.5" customHeight="1"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2010-04-05T18:28:51Z</cp:lastPrinted>
  <dcterms:created xsi:type="dcterms:W3CDTF">1998-04-21T14:04:37Z</dcterms:created>
  <dcterms:modified xsi:type="dcterms:W3CDTF">2010-08-06T14:29:55Z</dcterms:modified>
  <cp:category/>
  <cp:version/>
  <cp:contentType/>
  <cp:contentStatus/>
</cp:coreProperties>
</file>