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05" activeTab="0"/>
  </bookViews>
  <sheets>
    <sheet name="TOT-0803" sheetId="1" r:id="rId1"/>
    <sheet name="LI-0803 (SPSE)" sheetId="2" r:id="rId2"/>
    <sheet name="LI-0803 (TCUE)" sheetId="3" r:id="rId3"/>
    <sheet name="TR-0803 (EDERSA)" sheetId="4" r:id="rId4"/>
    <sheet name="SA-0803" sheetId="5" r:id="rId5"/>
    <sheet name=" SA-0803(EDERSA)" sheetId="6" r:id="rId6"/>
    <sheet name="SUP-EDERSA" sheetId="7" r:id="rId7"/>
    <sheet name="SUP-SPSE" sheetId="8" r:id="rId8"/>
    <sheet name="SUP-TRANSACUE" sheetId="9" r:id="rId9"/>
  </sheets>
  <definedNames>
    <definedName name="_xlnm.Print_Area" localSheetId="5">' SA-0803(EDERSA)'!$A$1:$U$45</definedName>
    <definedName name="_xlnm.Print_Area" localSheetId="1">'LI-0803 (SPSE)'!$A$1:$Z$43</definedName>
    <definedName name="_xlnm.Print_Area" localSheetId="2">'LI-0803 (TCUE)'!$A$1:$Z$43</definedName>
    <definedName name="_xlnm.Print_Area" localSheetId="4">'SA-0803'!$A$1:$U$46</definedName>
    <definedName name="_xlnm.Print_Area" localSheetId="6">'SUP-EDERSA'!$A$1:$P$58</definedName>
    <definedName name="_xlnm.Print_Area" localSheetId="7">'SUP-SPSE'!$A$1:$P$54</definedName>
    <definedName name="_xlnm.Print_Area" localSheetId="8">'SUP-TRANSACUE'!$A$1:$P$60</definedName>
    <definedName name="_xlnm.Print_Area" localSheetId="0">'TOT-0803'!$A$1:$L$44</definedName>
    <definedName name="_xlnm.Print_Area" localSheetId="3">'TR-0803 (EDERSA)'!$A$1:$AB$43</definedName>
    <definedName name="DD" localSheetId="5">' SA-0803(EDERSA)'!DD</definedName>
    <definedName name="DD" localSheetId="1">'LI-0803 (SPSE)'!DD</definedName>
    <definedName name="DD" localSheetId="2">'LI-0803 (TCUE)'!DD</definedName>
    <definedName name="DD" localSheetId="4">'SA-0803'!DD</definedName>
    <definedName name="DD" localSheetId="8">'SUP-TRANSACUE'!DD</definedName>
    <definedName name="DD" localSheetId="3">'TR-0803 (EDERSA)'!DD</definedName>
    <definedName name="DD">[0]!DD</definedName>
    <definedName name="DDD" localSheetId="5">' SA-0803(EDERSA)'!DDD</definedName>
    <definedName name="DDD" localSheetId="1">'LI-0803 (SPSE)'!DDD</definedName>
    <definedName name="DDD" localSheetId="2">'LI-0803 (TCUE)'!DDD</definedName>
    <definedName name="DDD" localSheetId="4">'SA-0803'!DDD</definedName>
    <definedName name="DDD" localSheetId="8">'SUP-TRANSACUE'!DDD</definedName>
    <definedName name="DDD" localSheetId="3">'TR-0803 (EDERSA)'!DDD</definedName>
    <definedName name="DDD">[0]!DDD</definedName>
    <definedName name="DISTROCUYO" localSheetId="5">' SA-0803(EDERSA)'!DISTROCUYO</definedName>
    <definedName name="DISTROCUYO" localSheetId="1">'LI-0803 (SPSE)'!DISTROCUYO</definedName>
    <definedName name="DISTROCUYO" localSheetId="2">'LI-0803 (TCUE)'!DISTROCUYO</definedName>
    <definedName name="DISTROCUYO" localSheetId="4">'SA-0803'!DISTROCUYO</definedName>
    <definedName name="DISTROCUYO" localSheetId="8">'SUP-TRANSACUE'!DISTROCUYO</definedName>
    <definedName name="DISTROCUYO" localSheetId="3">'TR-0803 (EDERSA)'!DISTROCUYO</definedName>
    <definedName name="DISTROCUYO">[0]!DISTROCUYO</definedName>
    <definedName name="INICIO" localSheetId="5">' SA-0803(EDERSA)'!INICIO</definedName>
    <definedName name="INICIO" localSheetId="1">'LI-0803 (SPSE)'!INICIO</definedName>
    <definedName name="INICIO" localSheetId="2">'LI-0803 (TCUE)'!INICIO</definedName>
    <definedName name="INICIO" localSheetId="4">'SA-0803'!INICIO</definedName>
    <definedName name="INICIO" localSheetId="8">'SUP-TRANSACUE'!INICIO</definedName>
    <definedName name="INICIO" localSheetId="3">'TR-0803 (EDERSA)'!INICIO</definedName>
    <definedName name="INICIO">[0]!INICIO</definedName>
    <definedName name="INICIOTI" localSheetId="5">' SA-0803(EDERSA)'!INICIOTI</definedName>
    <definedName name="INICIOTI" localSheetId="1">'LI-0803 (SPSE)'!INICIOTI</definedName>
    <definedName name="INICIOTI" localSheetId="2">'LI-0803 (TCUE)'!INICIOTI</definedName>
    <definedName name="INICIOTI" localSheetId="4">'SA-0803'!INICIOTI</definedName>
    <definedName name="INICIOTI" localSheetId="8">'SUP-TRANSACUE'!INICIOTI</definedName>
    <definedName name="INICIOTI" localSheetId="3">'TR-0803 (EDERSA)'!INICIOTI</definedName>
    <definedName name="INICIOTI">[0]!INICIOTI</definedName>
    <definedName name="LINEAS" localSheetId="5">' SA-0803(EDERSA)'!LINEAS</definedName>
    <definedName name="LINEAS" localSheetId="1">'LI-0803 (SPSE)'!LINEAS</definedName>
    <definedName name="LINEAS" localSheetId="2">'LI-0803 (TCUE)'!LINEAS</definedName>
    <definedName name="LINEAS" localSheetId="4">'SA-0803'!LINEAS</definedName>
    <definedName name="LINEAS" localSheetId="8">'SUP-TRANSACUE'!LINEAS</definedName>
    <definedName name="LINEAS" localSheetId="3">'TR-0803 (EDERSA)'!LINEAS</definedName>
    <definedName name="LINEAS">[0]!LINEAS</definedName>
    <definedName name="NAME_L" localSheetId="5">' SA-0803(EDERSA)'!NAME_L</definedName>
    <definedName name="NAME_L" localSheetId="1">'LI-0803 (SPSE)'!NAME_L</definedName>
    <definedName name="NAME_L" localSheetId="2">'LI-0803 (TCUE)'!NAME_L</definedName>
    <definedName name="NAME_L" localSheetId="4">'SA-0803'!NAME_L</definedName>
    <definedName name="NAME_L" localSheetId="8">'SUP-TRANSACUE'!NAME_L</definedName>
    <definedName name="NAME_L" localSheetId="3">'TR-0803 (EDERSA)'!NAME_L</definedName>
    <definedName name="NAME_L">[0]!NAME_L</definedName>
    <definedName name="NAME_L_TI" localSheetId="5">' SA-0803(EDERSA)'!NAME_L_TI</definedName>
    <definedName name="NAME_L_TI" localSheetId="1">'LI-0803 (SPSE)'!NAME_L_TI</definedName>
    <definedName name="NAME_L_TI" localSheetId="2">'LI-0803 (TCUE)'!NAME_L_TI</definedName>
    <definedName name="NAME_L_TI" localSheetId="4">'SA-0803'!NAME_L_TI</definedName>
    <definedName name="NAME_L_TI" localSheetId="8">'SUP-TRANSACUE'!NAME_L_TI</definedName>
    <definedName name="NAME_L_TI" localSheetId="3">'TR-0803 (EDERSA)'!NAME_L_TI</definedName>
    <definedName name="NAME_L_TI">[0]!NAME_L_TI</definedName>
    <definedName name="TRANSNOA" localSheetId="5">' SA-0803(EDERSA)'!TRANSNOA</definedName>
    <definedName name="TRANSNOA" localSheetId="1">'LI-0803 (SPSE)'!TRANSNOA</definedName>
    <definedName name="TRANSNOA" localSheetId="2">'LI-0803 (TCUE)'!TRANSNOA</definedName>
    <definedName name="TRANSNOA" localSheetId="4">'SA-0803'!TRANSNOA</definedName>
    <definedName name="TRANSNOA" localSheetId="8">'SUP-TRANSACUE'!TRANSNOA</definedName>
    <definedName name="TRANSNOA" localSheetId="3">'TR-0803 (EDERSA)'!TRANSNOA</definedName>
    <definedName name="TRANSNOA">[0]!TRANSNOA</definedName>
  </definedNames>
  <calcPr fullCalcOnLoad="1"/>
</workbook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<sst xmlns="http://schemas.openxmlformats.org/spreadsheetml/2006/main" count="400" uniqueCount="174">
  <si>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</si>
  <si>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</si>
  <si>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</si>
  <si>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</si>
  <si>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</si>
  <si>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</si>
  <si>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</si>
  <si>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</si>
  <si>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</si>
  <si>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BARRIO SAN MARTIN</t>
  </si>
  <si>
    <t>132/33/13,2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</si>
  <si>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</si>
  <si>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</si>
  <si>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</si>
  <si>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</si>
  <si>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</si>
  <si>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</si>
  <si>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</si>
  <si>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</si>
  <si>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 xml:space="preserve"> ALIMENT. 6 COOP.</t>
  </si>
  <si>
    <t xml:space="preserve"> ALIMENT. 7 COOP.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</si>
  <si>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</si>
  <si>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</si>
  <si>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</si>
  <si>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</si>
  <si>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</si>
  <si>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</si>
  <si>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</si>
  <si>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</si>
  <si>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</si>
  <si>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E.D.E.R.S.A.</t>
  </si>
  <si>
    <t>1.3.-</t>
  </si>
  <si>
    <t>Transportista Independiente S.P.S.E.</t>
  </si>
  <si>
    <t>2.-</t>
  </si>
  <si>
    <t>CONEXIÓN</t>
  </si>
  <si>
    <t>2.1.-</t>
  </si>
  <si>
    <t>Transformación</t>
  </si>
  <si>
    <t>2.1.2.-</t>
  </si>
  <si>
    <t>2.2.-</t>
  </si>
  <si>
    <t>Salidas</t>
  </si>
  <si>
    <t>2.2.1.-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</si>
  <si>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</si>
  <si>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</si>
  <si>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</si>
  <si>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</si>
  <si>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</si>
  <si>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</si>
  <si>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</si>
  <si>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</si>
  <si>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</si>
  <si>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</si>
  <si>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</si>
  <si>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</si>
  <si>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</si>
  <si>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</si>
  <si>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</si>
  <si>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</si>
  <si>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</si>
  <si>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</si>
  <si>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</si>
  <si>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</si>
  <si>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</si>
  <si>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</si>
  <si>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</si>
  <si>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</si>
  <si>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</si>
  <si>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</si>
  <si>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</si>
  <si>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</si>
  <si>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</si>
  <si>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</si>
  <si>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</si>
  <si>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</si>
  <si>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</si>
  <si>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</si>
  <si>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</si>
  <si>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</si>
  <si>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</si>
  <si>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</si>
  <si>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</si>
  <si>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</si>
  <si>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</si>
  <si>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</si>
  <si>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</si>
  <si>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</si>
  <si>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</si>
  <si>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</si>
  <si>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</si>
  <si>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</si>
  <si>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</si>
  <si>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</si>
  <si>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</si>
  <si>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</si>
  <si>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</si>
  <si>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</si>
  <si>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</si>
  <si>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</si>
  <si>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</si>
  <si>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</si>
  <si>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</si>
  <si>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</si>
  <si>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</si>
  <si>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</si>
  <si>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</si>
  <si>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</si>
  <si>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</si>
  <si>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</si>
  <si>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</si>
  <si>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</si>
  <si>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</si>
  <si>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</si>
  <si>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</si>
  <si>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</si>
  <si>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</si>
  <si>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</si>
  <si>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</si>
  <si>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</si>
  <si>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</si>
  <si>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</si>
  <si>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</si>
  <si>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</si>
  <si>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</si>
  <si>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</si>
  <si>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</si>
  <si>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</si>
  <si>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</si>
  <si>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</si>
  <si>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</si>
  <si>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</si>
  <si>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</si>
  <si>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</si>
  <si>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</si>
  <si>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</si>
  <si>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</si>
  <si>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</si>
  <si>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t>F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</si>
  <si>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</si>
  <si>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</si>
  <si>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</si>
  <si>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1.4.-</t>
  </si>
  <si>
    <t>Transportista Independiente TRANSACUE S.A.</t>
  </si>
  <si>
    <t>4.3.-</t>
  </si>
  <si>
    <t>4.1.- SUPERVISIÓN - Transportista Independiente E.D.E.R.S.A.</t>
  </si>
  <si>
    <t>4.2.- SUPERVISIÓN - Transportista Independiente S.P.S.E.</t>
  </si>
  <si>
    <t>4.3.- SUPERVISIÓN - Transportista Independiente TRANSACUE S.A.</t>
  </si>
  <si>
    <t>SALIDA ALIM Coop. C. RIVADAVIA</t>
  </si>
  <si>
    <t>SALIDA LIN PAMPA CASTILLO - EL TORDILLO</t>
  </si>
  <si>
    <t>1.3.- Transportista Independiente S.P.S.E.</t>
  </si>
  <si>
    <t>1.4.- Transportista Independiente TRANSACUE S.A.</t>
  </si>
  <si>
    <t>2.1.2.- Transportista Independiente E.D.E.R.S.A.</t>
  </si>
  <si>
    <t>P</t>
  </si>
  <si>
    <t>SI</t>
  </si>
  <si>
    <t xml:space="preserve">P - PROGRAMADA </t>
  </si>
  <si>
    <t>ALIMENT. 12 COOP</t>
  </si>
  <si>
    <t>CDORO. RIVADAVIA A</t>
  </si>
  <si>
    <t>P - PROGRAMADA                    F - FORZADA</t>
  </si>
  <si>
    <t>F - FORZADA</t>
  </si>
  <si>
    <t>S.A. OESTE</t>
  </si>
  <si>
    <t>LINEA VALCHETA</t>
  </si>
  <si>
    <t>2.2.2.- Transportista Independiente  E.D.E.R.S.A.</t>
  </si>
  <si>
    <t>2.2.2.-</t>
  </si>
  <si>
    <t>Valores remuneratorios según  Decreto P.E.N N° 1779/07 y Resoluciones ENRE N° 330/08 y ENRE Nº 645/08</t>
  </si>
  <si>
    <t>ESQUEL - EL COHIUE</t>
  </si>
  <si>
    <t>E.T.  PATAGONIA - DIADEMA</t>
  </si>
  <si>
    <t>Total s/Res. ENRE Nº425/2010</t>
  </si>
  <si>
    <t>DIFERENCIA</t>
  </si>
  <si>
    <t>Desde el 01 al 31 de marzo de 2008</t>
  </si>
  <si>
    <t>(DTE 03/08)</t>
  </si>
  <si>
    <t>Res. ENRE Nº425/2010</t>
  </si>
  <si>
    <t>Recurso</t>
  </si>
  <si>
    <t>1.1.-</t>
  </si>
  <si>
    <t>2.1.1.-</t>
  </si>
  <si>
    <t>TOTAL DE PENALIZACIONES</t>
  </si>
  <si>
    <t>ANEXO III al Memorándum D.T.E.E.   N°       587  /2013.-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</si>
</sst>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mmm\-yyyy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&quot;$&quot;\ #,##0.0;&quot;$&quot;\ \-#,##0.0"/>
    <numFmt numFmtId="206" formatCode="&quot;$&quot;\ #,##0.0000;&quot;$&quot;\ \-#,##0.0000"/>
    <numFmt numFmtId="207" formatCode="&quot;$&quot;\ #,##0.00000;&quot;$&quot;\ \-#,##0.00000"/>
    <numFmt numFmtId="208" formatCode="#,##0.000000_ ;\-#,##0.000000\ "/>
    <numFmt numFmtId="209" formatCode="0.000000"/>
    <numFmt numFmtId="210" formatCode="0.00000"/>
    <numFmt numFmtId="211" formatCode="0.0000"/>
    <numFmt numFmtId="212" formatCode="0.0000000"/>
  </numFmts>
  <fonts count="10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1" fillId="0" borderId="8" applyNumberFormat="0" applyFill="0" applyAlignment="0" applyProtection="0"/>
    <xf numFmtId="0" fontId="100" fillId="0" borderId="9" applyNumberFormat="0" applyFill="0" applyAlignment="0" applyProtection="0"/>
  </cellStyleXfs>
  <cellXfs count="6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29" fillId="0" borderId="0" xfId="0" applyFont="1" applyBorder="1" applyAlignment="1" applyProtection="1">
      <alignment horizontal="centerContinuous"/>
      <protection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8" fillId="0" borderId="30" xfId="0" applyFont="1" applyBorder="1" applyAlignment="1">
      <alignment horizontal="center"/>
    </xf>
    <xf numFmtId="7" fontId="8" fillId="0" borderId="31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 quotePrefix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 quotePrefix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0" fontId="30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1" fontId="7" fillId="0" borderId="0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171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171" fontId="25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0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1" xfId="0" applyFont="1" applyBorder="1" applyAlignment="1" applyProtection="1">
      <alignment horizontal="centerContinuous"/>
      <protection/>
    </xf>
    <xf numFmtId="167" fontId="0" fillId="0" borderId="31" xfId="0" applyNumberFormat="1" applyFont="1" applyBorder="1" applyAlignment="1">
      <alignment horizontal="centerContinuous"/>
    </xf>
    <xf numFmtId="4" fontId="11" fillId="0" borderId="28" xfId="0" applyNumberFormat="1" applyFont="1" applyBorder="1" applyAlignment="1">
      <alignment horizontal="right"/>
    </xf>
    <xf numFmtId="0" fontId="38" fillId="0" borderId="32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8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1" xfId="0" applyFont="1" applyFill="1" applyBorder="1" applyAlignment="1">
      <alignment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8" fontId="47" fillId="33" borderId="12" xfId="0" applyNumberFormat="1" applyFont="1" applyFill="1" applyBorder="1" applyAlignment="1" applyProtection="1">
      <alignment horizontal="center"/>
      <protection/>
    </xf>
    <xf numFmtId="168" fontId="47" fillId="33" borderId="13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171" fontId="47" fillId="33" borderId="12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2" fillId="34" borderId="28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52" fillId="35" borderId="28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/>
    </xf>
    <xf numFmtId="0" fontId="53" fillId="35" borderId="12" xfId="0" applyFont="1" applyFill="1" applyBorder="1" applyAlignment="1">
      <alignment/>
    </xf>
    <xf numFmtId="0" fontId="27" fillId="36" borderId="28" xfId="0" applyFont="1" applyFill="1" applyBorder="1" applyAlignment="1" applyProtection="1">
      <alignment horizontal="centerContinuous" vertical="center" wrapText="1"/>
      <protection/>
    </xf>
    <xf numFmtId="0" fontId="25" fillId="36" borderId="29" xfId="0" applyFont="1" applyFill="1" applyBorder="1" applyAlignment="1">
      <alignment horizontal="centerContinuous"/>
    </xf>
    <xf numFmtId="0" fontId="27" fillId="36" borderId="31" xfId="0" applyFont="1" applyFill="1" applyBorder="1" applyAlignment="1">
      <alignment horizontal="centerContinuous" vertical="center"/>
    </xf>
    <xf numFmtId="0" fontId="54" fillId="36" borderId="34" xfId="0" applyFont="1" applyFill="1" applyBorder="1" applyAlignment="1">
      <alignment horizontal="center"/>
    </xf>
    <xf numFmtId="0" fontId="54" fillId="36" borderId="35" xfId="0" applyFont="1" applyFill="1" applyBorder="1" applyAlignment="1">
      <alignment/>
    </xf>
    <xf numFmtId="0" fontId="54" fillId="36" borderId="36" xfId="0" applyFont="1" applyFill="1" applyBorder="1" applyAlignment="1">
      <alignment/>
    </xf>
    <xf numFmtId="0" fontId="54" fillId="36" borderId="37" xfId="0" applyFont="1" applyFill="1" applyBorder="1" applyAlignment="1">
      <alignment horizontal="center"/>
    </xf>
    <xf numFmtId="0" fontId="54" fillId="36" borderId="38" xfId="0" applyFont="1" applyFill="1" applyBorder="1" applyAlignment="1">
      <alignment/>
    </xf>
    <xf numFmtId="0" fontId="54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28" xfId="0" applyFont="1" applyFill="1" applyBorder="1" applyAlignment="1" applyProtection="1">
      <alignment horizontal="centerContinuous" vertical="center" wrapText="1"/>
      <protection/>
    </xf>
    <xf numFmtId="0" fontId="25" fillId="37" borderId="29" xfId="0" applyFont="1" applyFill="1" applyBorder="1" applyAlignment="1">
      <alignment horizontal="centerContinuous"/>
    </xf>
    <xf numFmtId="0" fontId="27" fillId="37" borderId="31" xfId="0" applyFont="1" applyFill="1" applyBorder="1" applyAlignment="1">
      <alignment horizontal="centerContinuous" vertical="center"/>
    </xf>
    <xf numFmtId="0" fontId="54" fillId="37" borderId="34" xfId="0" applyFont="1" applyFill="1" applyBorder="1" applyAlignment="1">
      <alignment horizontal="center"/>
    </xf>
    <xf numFmtId="0" fontId="54" fillId="37" borderId="35" xfId="0" applyFont="1" applyFill="1" applyBorder="1" applyAlignment="1">
      <alignment/>
    </xf>
    <xf numFmtId="0" fontId="54" fillId="37" borderId="36" xfId="0" applyFont="1" applyFill="1" applyBorder="1" applyAlignment="1">
      <alignment/>
    </xf>
    <xf numFmtId="0" fontId="54" fillId="37" borderId="37" xfId="0" applyFont="1" applyFill="1" applyBorder="1" applyAlignment="1">
      <alignment horizontal="center"/>
    </xf>
    <xf numFmtId="0" fontId="54" fillId="37" borderId="38" xfId="0" applyFont="1" applyFill="1" applyBorder="1" applyAlignment="1">
      <alignment/>
    </xf>
    <xf numFmtId="0" fontId="54" fillId="37" borderId="16" xfId="0" applyFont="1" applyFill="1" applyBorder="1" applyAlignment="1">
      <alignment/>
    </xf>
    <xf numFmtId="0" fontId="27" fillId="36" borderId="28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/>
    </xf>
    <xf numFmtId="0" fontId="54" fillId="38" borderId="12" xfId="0" applyFont="1" applyFill="1" applyBorder="1" applyAlignment="1">
      <alignment/>
    </xf>
    <xf numFmtId="0" fontId="52" fillId="39" borderId="28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2" fontId="51" fillId="34" borderId="28" xfId="0" applyNumberFormat="1" applyFont="1" applyFill="1" applyBorder="1" applyAlignment="1">
      <alignment horizontal="center"/>
    </xf>
    <xf numFmtId="2" fontId="51" fillId="35" borderId="28" xfId="0" applyNumberFormat="1" applyFont="1" applyFill="1" applyBorder="1" applyAlignment="1">
      <alignment horizontal="center"/>
    </xf>
    <xf numFmtId="168" fontId="55" fillId="36" borderId="28" xfId="0" applyNumberFormat="1" applyFont="1" applyFill="1" applyBorder="1" applyAlignment="1" applyProtection="1" quotePrefix="1">
      <alignment horizontal="center"/>
      <protection/>
    </xf>
    <xf numFmtId="4" fontId="55" fillId="36" borderId="28" xfId="0" applyNumberFormat="1" applyFont="1" applyFill="1" applyBorder="1" applyAlignment="1">
      <alignment horizontal="center"/>
    </xf>
    <xf numFmtId="168" fontId="55" fillId="37" borderId="28" xfId="0" applyNumberFormat="1" applyFont="1" applyFill="1" applyBorder="1" applyAlignment="1" applyProtection="1" quotePrefix="1">
      <alignment horizontal="center"/>
      <protection/>
    </xf>
    <xf numFmtId="4" fontId="55" fillId="37" borderId="28" xfId="0" applyNumberFormat="1" applyFont="1" applyFill="1" applyBorder="1" applyAlignment="1">
      <alignment horizontal="center"/>
    </xf>
    <xf numFmtId="168" fontId="55" fillId="38" borderId="28" xfId="0" applyNumberFormat="1" applyFont="1" applyFill="1" applyBorder="1" applyAlignment="1" applyProtection="1" quotePrefix="1">
      <alignment horizontal="center"/>
      <protection/>
    </xf>
    <xf numFmtId="4" fontId="51" fillId="39" borderId="28" xfId="0" applyNumberFormat="1" applyFont="1" applyFill="1" applyBorder="1" applyAlignment="1">
      <alignment horizontal="center"/>
    </xf>
    <xf numFmtId="0" fontId="52" fillId="39" borderId="28" xfId="0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51" fillId="39" borderId="12" xfId="0" applyFont="1" applyFill="1" applyBorder="1" applyAlignment="1">
      <alignment/>
    </xf>
    <xf numFmtId="4" fontId="51" fillId="39" borderId="12" xfId="0" applyNumberFormat="1" applyFont="1" applyFill="1" applyBorder="1" applyAlignment="1" applyProtection="1">
      <alignment horizontal="center"/>
      <protection/>
    </xf>
    <xf numFmtId="0" fontId="51" fillId="39" borderId="13" xfId="0" applyFont="1" applyFill="1" applyBorder="1" applyAlignment="1">
      <alignment/>
    </xf>
    <xf numFmtId="0" fontId="55" fillId="38" borderId="15" xfId="0" applyFont="1" applyFill="1" applyBorder="1" applyAlignment="1">
      <alignment/>
    </xf>
    <xf numFmtId="0" fontId="55" fillId="38" borderId="12" xfId="0" applyFont="1" applyFill="1" applyBorder="1" applyAlignment="1">
      <alignment/>
    </xf>
    <xf numFmtId="2" fontId="55" fillId="38" borderId="12" xfId="0" applyNumberFormat="1" applyFont="1" applyFill="1" applyBorder="1" applyAlignment="1">
      <alignment horizontal="center"/>
    </xf>
    <xf numFmtId="0" fontId="55" fillId="38" borderId="13" xfId="0" applyFont="1" applyFill="1" applyBorder="1" applyAlignment="1">
      <alignment/>
    </xf>
    <xf numFmtId="7" fontId="55" fillId="38" borderId="28" xfId="0" applyNumberFormat="1" applyFont="1" applyFill="1" applyBorder="1" applyAlignment="1">
      <alignment horizontal="center"/>
    </xf>
    <xf numFmtId="0" fontId="27" fillId="40" borderId="28" xfId="0" applyFont="1" applyFill="1" applyBorder="1" applyAlignment="1">
      <alignment horizontal="center" vertical="center" wrapText="1"/>
    </xf>
    <xf numFmtId="0" fontId="55" fillId="40" borderId="15" xfId="0" applyFont="1" applyFill="1" applyBorder="1" applyAlignment="1">
      <alignment/>
    </xf>
    <xf numFmtId="0" fontId="55" fillId="40" borderId="12" xfId="0" applyFont="1" applyFill="1" applyBorder="1" applyAlignment="1">
      <alignment/>
    </xf>
    <xf numFmtId="2" fontId="55" fillId="40" borderId="12" xfId="0" applyNumberFormat="1" applyFont="1" applyFill="1" applyBorder="1" applyAlignment="1">
      <alignment horizontal="center"/>
    </xf>
    <xf numFmtId="0" fontId="55" fillId="40" borderId="13" xfId="0" applyFont="1" applyFill="1" applyBorder="1" applyAlignment="1">
      <alignment/>
    </xf>
    <xf numFmtId="7" fontId="55" fillId="40" borderId="28" xfId="0" applyNumberFormat="1" applyFont="1" applyFill="1" applyBorder="1" applyAlignment="1">
      <alignment horizontal="center"/>
    </xf>
    <xf numFmtId="0" fontId="52" fillId="41" borderId="30" xfId="0" applyFont="1" applyFill="1" applyBorder="1" applyAlignment="1" applyProtection="1">
      <alignment horizontal="centerContinuous" vertical="center" wrapText="1"/>
      <protection/>
    </xf>
    <xf numFmtId="0" fontId="52" fillId="41" borderId="31" xfId="0" applyFont="1" applyFill="1" applyBorder="1" applyAlignment="1">
      <alignment horizontal="centerContinuous" vertical="center"/>
    </xf>
    <xf numFmtId="0" fontId="51" fillId="41" borderId="34" xfId="0" applyFont="1" applyFill="1" applyBorder="1" applyAlignment="1">
      <alignment horizontal="center"/>
    </xf>
    <xf numFmtId="0" fontId="51" fillId="41" borderId="36" xfId="0" applyFont="1" applyFill="1" applyBorder="1" applyAlignment="1">
      <alignment/>
    </xf>
    <xf numFmtId="0" fontId="51" fillId="41" borderId="37" xfId="0" applyFont="1" applyFill="1" applyBorder="1" applyAlignment="1">
      <alignment horizontal="center"/>
    </xf>
    <xf numFmtId="0" fontId="51" fillId="41" borderId="16" xfId="0" applyFont="1" applyFill="1" applyBorder="1" applyAlignment="1">
      <alignment/>
    </xf>
    <xf numFmtId="168" fontId="51" fillId="41" borderId="37" xfId="0" applyNumberFormat="1" applyFont="1" applyFill="1" applyBorder="1" applyAlignment="1" applyProtection="1" quotePrefix="1">
      <alignment horizontal="center"/>
      <protection/>
    </xf>
    <xf numFmtId="168" fontId="51" fillId="41" borderId="19" xfId="0" applyNumberFormat="1" applyFont="1" applyFill="1" applyBorder="1" applyAlignment="1" applyProtection="1" quotePrefix="1">
      <alignment horizontal="center"/>
      <protection/>
    </xf>
    <xf numFmtId="7" fontId="51" fillId="41" borderId="28" xfId="0" applyNumberFormat="1" applyFont="1" applyFill="1" applyBorder="1" applyAlignment="1">
      <alignment horizontal="center"/>
    </xf>
    <xf numFmtId="0" fontId="52" fillId="34" borderId="30" xfId="0" applyFont="1" applyFill="1" applyBorder="1" applyAlignment="1" applyProtection="1">
      <alignment horizontal="centerContinuous" vertical="center" wrapText="1"/>
      <protection/>
    </xf>
    <xf numFmtId="0" fontId="52" fillId="34" borderId="31" xfId="0" applyFont="1" applyFill="1" applyBorder="1" applyAlignment="1">
      <alignment horizontal="centerContinuous" vertical="center"/>
    </xf>
    <xf numFmtId="0" fontId="51" fillId="34" borderId="34" xfId="0" applyFont="1" applyFill="1" applyBorder="1" applyAlignment="1">
      <alignment horizont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 horizontal="center"/>
    </xf>
    <xf numFmtId="0" fontId="51" fillId="34" borderId="16" xfId="0" applyFont="1" applyFill="1" applyBorder="1" applyAlignment="1">
      <alignment/>
    </xf>
    <xf numFmtId="168" fontId="51" fillId="34" borderId="37" xfId="0" applyNumberFormat="1" applyFont="1" applyFill="1" applyBorder="1" applyAlignment="1" applyProtection="1" quotePrefix="1">
      <alignment horizontal="center"/>
      <protection/>
    </xf>
    <xf numFmtId="168" fontId="51" fillId="34" borderId="19" xfId="0" applyNumberFormat="1" applyFont="1" applyFill="1" applyBorder="1" applyAlignment="1" applyProtection="1" quotePrefix="1">
      <alignment horizontal="center"/>
      <protection/>
    </xf>
    <xf numFmtId="7" fontId="51" fillId="34" borderId="28" xfId="0" applyNumberFormat="1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8" fontId="49" fillId="36" borderId="12" xfId="0" applyNumberFormat="1" applyFont="1" applyFill="1" applyBorder="1" applyAlignment="1" applyProtection="1" quotePrefix="1">
      <alignment horizontal="center"/>
      <protection/>
    </xf>
    <xf numFmtId="0" fontId="49" fillId="36" borderId="13" xfId="0" applyFont="1" applyFill="1" applyBorder="1" applyAlignment="1">
      <alignment/>
    </xf>
    <xf numFmtId="7" fontId="49" fillId="36" borderId="28" xfId="0" applyNumberFormat="1" applyFont="1" applyFill="1" applyBorder="1" applyAlignment="1">
      <alignment horizontal="center"/>
    </xf>
    <xf numFmtId="0" fontId="27" fillId="37" borderId="28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/>
    </xf>
    <xf numFmtId="0" fontId="55" fillId="37" borderId="12" xfId="0" applyFont="1" applyFill="1" applyBorder="1" applyAlignment="1">
      <alignment/>
    </xf>
    <xf numFmtId="168" fontId="55" fillId="37" borderId="12" xfId="0" applyNumberFormat="1" applyFont="1" applyFill="1" applyBorder="1" applyAlignment="1" applyProtection="1" quotePrefix="1">
      <alignment horizontal="center"/>
      <protection/>
    </xf>
    <xf numFmtId="0" fontId="55" fillId="37" borderId="13" xfId="0" applyFont="1" applyFill="1" applyBorder="1" applyAlignment="1">
      <alignment/>
    </xf>
    <xf numFmtId="7" fontId="55" fillId="37" borderId="28" xfId="0" applyNumberFormat="1" applyFont="1" applyFill="1" applyBorder="1" applyAlignment="1">
      <alignment horizontal="center"/>
    </xf>
    <xf numFmtId="0" fontId="51" fillId="41" borderId="39" xfId="0" applyFont="1" applyFill="1" applyBorder="1" applyAlignment="1">
      <alignment/>
    </xf>
    <xf numFmtId="0" fontId="51" fillId="41" borderId="40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6" fillId="0" borderId="20" xfId="0" applyFont="1" applyBorder="1" applyAlignment="1">
      <alignment/>
    </xf>
    <xf numFmtId="0" fontId="52" fillId="37" borderId="28" xfId="0" applyFont="1" applyFill="1" applyBorder="1" applyAlignment="1" applyProtection="1">
      <alignment horizontal="center" vertical="center"/>
      <protection/>
    </xf>
    <xf numFmtId="164" fontId="51" fillId="37" borderId="12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1" fillId="37" borderId="15" xfId="0" applyNumberFormat="1" applyFont="1" applyFill="1" applyBorder="1" applyAlignment="1" applyProtection="1">
      <alignment horizontal="center"/>
      <protection/>
    </xf>
    <xf numFmtId="2" fontId="55" fillId="36" borderId="15" xfId="0" applyNumberFormat="1" applyFont="1" applyFill="1" applyBorder="1" applyAlignment="1">
      <alignment horizontal="center"/>
    </xf>
    <xf numFmtId="2" fontId="55" fillId="36" borderId="12" xfId="0" applyNumberFormat="1" applyFont="1" applyFill="1" applyBorder="1" applyAlignment="1">
      <alignment horizontal="center"/>
    </xf>
    <xf numFmtId="168" fontId="51" fillId="34" borderId="34" xfId="0" applyNumberFormat="1" applyFont="1" applyFill="1" applyBorder="1" applyAlignment="1" applyProtection="1" quotePrefix="1">
      <alignment horizontal="center"/>
      <protection/>
    </xf>
    <xf numFmtId="168" fontId="51" fillId="34" borderId="4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2" fillId="39" borderId="28" xfId="0" applyFont="1" applyFill="1" applyBorder="1" applyAlignment="1" applyProtection="1">
      <alignment horizontal="centerContinuous" vertical="center" wrapText="1"/>
      <protection/>
    </xf>
    <xf numFmtId="168" fontId="51" fillId="39" borderId="15" xfId="0" applyNumberFormat="1" applyFont="1" applyFill="1" applyBorder="1" applyAlignment="1" applyProtection="1" quotePrefix="1">
      <alignment horizontal="center"/>
      <protection/>
    </xf>
    <xf numFmtId="168" fontId="51" fillId="39" borderId="12" xfId="0" applyNumberFormat="1" applyFont="1" applyFill="1" applyBorder="1" applyAlignment="1" applyProtection="1" quotePrefix="1">
      <alignment horizontal="center"/>
      <protection/>
    </xf>
    <xf numFmtId="2" fontId="55" fillId="36" borderId="28" xfId="0" applyNumberFormat="1" applyFont="1" applyFill="1" applyBorder="1" applyAlignment="1">
      <alignment horizontal="center"/>
    </xf>
    <xf numFmtId="2" fontId="51" fillId="39" borderId="2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/>
    </xf>
    <xf numFmtId="172" fontId="7" fillId="0" borderId="12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Border="1" applyAlignment="1">
      <alignment horizontal="center"/>
    </xf>
    <xf numFmtId="0" fontId="56" fillId="0" borderId="21" xfId="0" applyFont="1" applyBorder="1" applyAlignment="1">
      <alignment/>
    </xf>
    <xf numFmtId="7" fontId="10" fillId="0" borderId="15" xfId="0" applyNumberFormat="1" applyFont="1" applyFill="1" applyBorder="1" applyAlignment="1">
      <alignment horizontal="center"/>
    </xf>
    <xf numFmtId="0" fontId="57" fillId="0" borderId="0" xfId="0" applyFont="1" applyAlignment="1">
      <alignment horizontal="right" vertical="top"/>
    </xf>
    <xf numFmtId="0" fontId="29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2" xfId="0" applyFont="1" applyBorder="1" applyAlignment="1" applyProtection="1">
      <alignment horizontal="left"/>
      <protection/>
    </xf>
    <xf numFmtId="171" fontId="0" fillId="0" borderId="43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>
      <alignment horizontal="centerContinuous"/>
    </xf>
    <xf numFmtId="0" fontId="10" fillId="0" borderId="45" xfId="0" applyFont="1" applyFill="1" applyBorder="1" applyAlignment="1">
      <alignment/>
    </xf>
    <xf numFmtId="0" fontId="10" fillId="0" borderId="46" xfId="0" applyFont="1" applyBorder="1" applyAlignment="1" applyProtection="1">
      <alignment horizontal="right"/>
      <protection/>
    </xf>
    <xf numFmtId="173" fontId="10" fillId="0" borderId="47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171" fontId="25" fillId="0" borderId="49" xfId="0" applyNumberFormat="1" applyFont="1" applyBorder="1" applyAlignment="1">
      <alignment horizontal="centerContinuous"/>
    </xf>
    <xf numFmtId="0" fontId="10" fillId="0" borderId="50" xfId="0" applyFont="1" applyBorder="1" applyAlignment="1">
      <alignment horizontal="centerContinuous"/>
    </xf>
    <xf numFmtId="0" fontId="10" fillId="0" borderId="51" xfId="0" applyFont="1" applyFill="1" applyBorder="1" applyAlignment="1">
      <alignment/>
    </xf>
    <xf numFmtId="168" fontId="10" fillId="0" borderId="52" xfId="0" applyNumberFormat="1" applyFont="1" applyBorder="1" applyAlignment="1" applyProtection="1">
      <alignment horizontal="right"/>
      <protection/>
    </xf>
    <xf numFmtId="171" fontId="10" fillId="0" borderId="5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171" fontId="25" fillId="0" borderId="52" xfId="0" applyNumberFormat="1" applyFont="1" applyBorder="1" applyAlignment="1">
      <alignment horizontal="centerContinuous"/>
    </xf>
    <xf numFmtId="0" fontId="10" fillId="0" borderId="5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6" xfId="0" applyNumberFormat="1" applyFont="1" applyBorder="1" applyAlignment="1">
      <alignment horizontal="center"/>
    </xf>
    <xf numFmtId="0" fontId="8" fillId="0" borderId="30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0" fontId="0" fillId="0" borderId="49" xfId="0" applyBorder="1" applyAlignment="1">
      <alignment horizontal="centerContinuous"/>
    </xf>
    <xf numFmtId="0" fontId="0" fillId="0" borderId="49" xfId="0" applyBorder="1" applyAlignment="1">
      <alignment/>
    </xf>
    <xf numFmtId="7" fontId="19" fillId="0" borderId="58" xfId="0" applyNumberFormat="1" applyFont="1" applyBorder="1" applyAlignment="1">
      <alignment horizontal="center"/>
    </xf>
    <xf numFmtId="0" fontId="10" fillId="0" borderId="59" xfId="0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2" fontId="10" fillId="0" borderId="60" xfId="0" applyNumberFormat="1" applyFont="1" applyBorder="1" applyAlignment="1" applyProtection="1">
      <alignment horizontal="center"/>
      <protection/>
    </xf>
    <xf numFmtId="168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centerContinuous"/>
      <protection/>
    </xf>
    <xf numFmtId="0" fontId="10" fillId="0" borderId="60" xfId="0" applyFont="1" applyBorder="1" applyAlignment="1" applyProtection="1">
      <alignment horizontal="right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right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0" fillId="0" borderId="57" xfId="0" applyBorder="1" applyAlignment="1">
      <alignment horizontal="centerContinuous"/>
    </xf>
    <xf numFmtId="0" fontId="10" fillId="0" borderId="49" xfId="0" applyFont="1" applyBorder="1" applyAlignment="1" applyProtection="1">
      <alignment horizontal="centerContinuous"/>
      <protection/>
    </xf>
    <xf numFmtId="0" fontId="0" fillId="0" borderId="49" xfId="0" applyBorder="1" applyAlignment="1">
      <alignment horizontal="center"/>
    </xf>
    <xf numFmtId="168" fontId="10" fillId="0" borderId="57" xfId="0" applyNumberFormat="1" applyFont="1" applyBorder="1" applyAlignment="1" applyProtection="1">
      <alignment horizontal="centerContinuous"/>
      <protection/>
    </xf>
    <xf numFmtId="2" fontId="22" fillId="0" borderId="64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60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0" fontId="10" fillId="0" borderId="66" xfId="0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2" fontId="22" fillId="0" borderId="68" xfId="0" applyNumberFormat="1" applyFont="1" applyBorder="1" applyAlignment="1">
      <alignment horizontal="centerContinuous"/>
    </xf>
    <xf numFmtId="7" fontId="10" fillId="0" borderId="62" xfId="0" applyNumberFormat="1" applyFont="1" applyBorder="1" applyAlignment="1">
      <alignment horizontal="centerContinuous"/>
    </xf>
    <xf numFmtId="168" fontId="10" fillId="0" borderId="56" xfId="0" applyNumberFormat="1" applyFont="1" applyBorder="1" applyAlignment="1" applyProtection="1" quotePrefix="1">
      <alignment horizontal="center"/>
      <protection/>
    </xf>
    <xf numFmtId="7" fontId="10" fillId="0" borderId="62" xfId="0" applyNumberFormat="1" applyFont="1" applyBorder="1" applyAlignment="1" applyProtection="1">
      <alignment horizontal="centerContinuous"/>
      <protection/>
    </xf>
    <xf numFmtId="2" fontId="22" fillId="0" borderId="38" xfId="0" applyNumberFormat="1" applyFont="1" applyBorder="1" applyAlignment="1">
      <alignment horizontal="centerContinuous"/>
    </xf>
    <xf numFmtId="7" fontId="10" fillId="0" borderId="57" xfId="0" applyNumberFormat="1" applyFont="1" applyBorder="1" applyAlignment="1" applyProtection="1">
      <alignment horizontal="centerContinuous"/>
      <protection/>
    </xf>
    <xf numFmtId="5" fontId="8" fillId="0" borderId="30" xfId="0" applyNumberFormat="1" applyFont="1" applyBorder="1" applyAlignment="1" applyProtection="1">
      <alignment horizontal="center"/>
      <protection/>
    </xf>
    <xf numFmtId="7" fontId="8" fillId="0" borderId="31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1" fillId="0" borderId="3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9" xfId="0" applyNumberFormat="1" applyFont="1" applyBorder="1" applyAlignment="1" applyProtection="1">
      <alignment horizontal="centerContinuous"/>
      <protection/>
    </xf>
    <xf numFmtId="2" fontId="10" fillId="0" borderId="64" xfId="0" applyNumberFormat="1" applyFont="1" applyBorder="1" applyAlignment="1" applyProtection="1">
      <alignment horizontal="centerContinuous"/>
      <protection/>
    </xf>
    <xf numFmtId="2" fontId="10" fillId="0" borderId="6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8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38" xfId="0" applyNumberFormat="1" applyFont="1" applyBorder="1" applyAlignment="1" applyProtection="1">
      <alignment horizontal="centerContinuous"/>
      <protection/>
    </xf>
    <xf numFmtId="0" fontId="57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173" fontId="0" fillId="0" borderId="30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2" fontId="7" fillId="0" borderId="7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 quotePrefix="1">
      <alignment horizontal="center"/>
      <protection locked="0"/>
    </xf>
    <xf numFmtId="2" fontId="51" fillId="34" borderId="12" xfId="0" applyNumberFormat="1" applyFont="1" applyFill="1" applyBorder="1" applyAlignment="1" applyProtection="1">
      <alignment horizontal="center"/>
      <protection locked="0"/>
    </xf>
    <xf numFmtId="2" fontId="51" fillId="35" borderId="12" xfId="0" applyNumberFormat="1" applyFont="1" applyFill="1" applyBorder="1" applyAlignment="1" applyProtection="1">
      <alignment horizontal="center"/>
      <protection locked="0"/>
    </xf>
    <xf numFmtId="168" fontId="55" fillId="36" borderId="37" xfId="0" applyNumberFormat="1" applyFont="1" applyFill="1" applyBorder="1" applyAlignment="1" applyProtection="1" quotePrefix="1">
      <alignment horizontal="center"/>
      <protection locked="0"/>
    </xf>
    <xf numFmtId="168" fontId="55" fillId="36" borderId="38" xfId="0" applyNumberFormat="1" applyFont="1" applyFill="1" applyBorder="1" applyAlignment="1" applyProtection="1" quotePrefix="1">
      <alignment horizontal="center"/>
      <protection locked="0"/>
    </xf>
    <xf numFmtId="4" fontId="55" fillId="36" borderId="16" xfId="0" applyNumberFormat="1" applyFont="1" applyFill="1" applyBorder="1" applyAlignment="1" applyProtection="1">
      <alignment horizontal="center"/>
      <protection locked="0"/>
    </xf>
    <xf numFmtId="168" fontId="55" fillId="37" borderId="37" xfId="0" applyNumberFormat="1" applyFont="1" applyFill="1" applyBorder="1" applyAlignment="1" applyProtection="1" quotePrefix="1">
      <alignment horizontal="center"/>
      <protection locked="0"/>
    </xf>
    <xf numFmtId="168" fontId="55" fillId="37" borderId="38" xfId="0" applyNumberFormat="1" applyFont="1" applyFill="1" applyBorder="1" applyAlignment="1" applyProtection="1" quotePrefix="1">
      <alignment horizontal="center"/>
      <protection locked="0"/>
    </xf>
    <xf numFmtId="4" fontId="55" fillId="37" borderId="16" xfId="0" applyNumberFormat="1" applyFont="1" applyFill="1" applyBorder="1" applyAlignment="1" applyProtection="1">
      <alignment horizontal="center"/>
      <protection locked="0"/>
    </xf>
    <xf numFmtId="4" fontId="55" fillId="38" borderId="12" xfId="0" applyNumberFormat="1" applyFont="1" applyFill="1" applyBorder="1" applyAlignment="1" applyProtection="1">
      <alignment horizontal="center"/>
      <protection locked="0"/>
    </xf>
    <xf numFmtId="4" fontId="51" fillId="39" borderId="12" xfId="0" applyNumberFormat="1" applyFont="1" applyFill="1" applyBorder="1" applyAlignment="1" applyProtection="1">
      <alignment horizontal="center"/>
      <protection locked="0"/>
    </xf>
    <xf numFmtId="4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1" fillId="34" borderId="13" xfId="0" applyNumberFormat="1" applyFont="1" applyFill="1" applyBorder="1" applyAlignment="1" applyProtection="1" quotePrefix="1">
      <alignment horizontal="center"/>
      <protection locked="0"/>
    </xf>
    <xf numFmtId="168" fontId="51" fillId="35" borderId="13" xfId="0" applyNumberFormat="1" applyFont="1" applyFill="1" applyBorder="1" applyAlignment="1" applyProtection="1" quotePrefix="1">
      <alignment horizontal="center"/>
      <protection locked="0"/>
    </xf>
    <xf numFmtId="168" fontId="55" fillId="36" borderId="39" xfId="0" applyNumberFormat="1" applyFont="1" applyFill="1" applyBorder="1" applyAlignment="1" applyProtection="1" quotePrefix="1">
      <alignment horizontal="center"/>
      <protection locked="0"/>
    </xf>
    <xf numFmtId="4" fontId="55" fillId="36" borderId="73" xfId="0" applyNumberFormat="1" applyFont="1" applyFill="1" applyBorder="1" applyAlignment="1" applyProtection="1">
      <alignment horizontal="center"/>
      <protection locked="0"/>
    </xf>
    <xf numFmtId="4" fontId="55" fillId="36" borderId="74" xfId="0" applyNumberFormat="1" applyFont="1" applyFill="1" applyBorder="1" applyAlignment="1" applyProtection="1">
      <alignment horizontal="center"/>
      <protection locked="0"/>
    </xf>
    <xf numFmtId="168" fontId="55" fillId="37" borderId="39" xfId="0" applyNumberFormat="1" applyFont="1" applyFill="1" applyBorder="1" applyAlignment="1" applyProtection="1" quotePrefix="1">
      <alignment horizontal="center"/>
      <protection locked="0"/>
    </xf>
    <xf numFmtId="4" fontId="55" fillId="37" borderId="73" xfId="0" applyNumberFormat="1" applyFont="1" applyFill="1" applyBorder="1" applyAlignment="1" applyProtection="1">
      <alignment horizontal="center"/>
      <protection locked="0"/>
    </xf>
    <xf numFmtId="4" fontId="55" fillId="37" borderId="74" xfId="0" applyNumberFormat="1" applyFont="1" applyFill="1" applyBorder="1" applyAlignment="1" applyProtection="1">
      <alignment horizontal="center"/>
      <protection locked="0"/>
    </xf>
    <xf numFmtId="4" fontId="55" fillId="38" borderId="13" xfId="0" applyNumberFormat="1" applyFont="1" applyFill="1" applyBorder="1" applyAlignment="1" applyProtection="1">
      <alignment horizontal="center"/>
      <protection locked="0"/>
    </xf>
    <xf numFmtId="4" fontId="51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 quotePrefix="1">
      <alignment horizontal="center"/>
      <protection locked="0"/>
    </xf>
    <xf numFmtId="168" fontId="51" fillId="34" borderId="37" xfId="0" applyNumberFormat="1" applyFont="1" applyFill="1" applyBorder="1" applyAlignment="1" applyProtection="1" quotePrefix="1">
      <alignment horizontal="center"/>
      <protection locked="0"/>
    </xf>
    <xf numFmtId="168" fontId="51" fillId="34" borderId="19" xfId="0" applyNumberFormat="1" applyFont="1" applyFill="1" applyBorder="1" applyAlignment="1" applyProtection="1" quotePrefix="1">
      <alignment horizontal="center"/>
      <protection locked="0"/>
    </xf>
    <xf numFmtId="0" fontId="51" fillId="39" borderId="13" xfId="0" applyFont="1" applyFill="1" applyBorder="1" applyAlignment="1" applyProtection="1">
      <alignment/>
      <protection locked="0"/>
    </xf>
    <xf numFmtId="0" fontId="51" fillId="34" borderId="39" xfId="0" applyFont="1" applyFill="1" applyBorder="1" applyAlignment="1" applyProtection="1">
      <alignment/>
      <protection locked="0"/>
    </xf>
    <xf numFmtId="0" fontId="51" fillId="34" borderId="4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164" fontId="51" fillId="37" borderId="12" xfId="0" applyNumberFormat="1" applyFont="1" applyFill="1" applyBorder="1" applyAlignment="1" applyProtection="1">
      <alignment horizontal="center"/>
      <protection locked="0"/>
    </xf>
    <xf numFmtId="2" fontId="55" fillId="36" borderId="12" xfId="0" applyNumberFormat="1" applyFont="1" applyFill="1" applyBorder="1" applyAlignment="1" applyProtection="1">
      <alignment horizontal="center"/>
      <protection locked="0"/>
    </xf>
    <xf numFmtId="168" fontId="51" fillId="39" borderId="12" xfId="0" applyNumberFormat="1" applyFont="1" applyFill="1" applyBorder="1" applyAlignment="1" applyProtection="1" quotePrefix="1">
      <alignment horizontal="center"/>
      <protection locked="0"/>
    </xf>
    <xf numFmtId="0" fontId="51" fillId="37" borderId="13" xfId="0" applyFont="1" applyFill="1" applyBorder="1" applyAlignment="1" applyProtection="1">
      <alignment/>
      <protection locked="0"/>
    </xf>
    <xf numFmtId="0" fontId="55" fillId="36" borderId="13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62" fillId="0" borderId="0" xfId="0" applyNumberFormat="1" applyFont="1" applyBorder="1" applyAlignment="1">
      <alignment horizontal="left"/>
    </xf>
    <xf numFmtId="168" fontId="11" fillId="0" borderId="49" xfId="0" applyNumberFormat="1" applyFont="1" applyBorder="1" applyAlignment="1" applyProtection="1">
      <alignment horizontal="center"/>
      <protection/>
    </xf>
    <xf numFmtId="168" fontId="60" fillId="0" borderId="0" xfId="0" applyNumberFormat="1" applyFont="1" applyBorder="1" applyAlignment="1" applyProtection="1" quotePrefix="1">
      <alignment horizontal="left"/>
      <protection/>
    </xf>
    <xf numFmtId="168" fontId="60" fillId="0" borderId="60" xfId="0" applyNumberFormat="1" applyFont="1" applyBorder="1" applyAlignment="1" applyProtection="1" quotePrefix="1">
      <alignment horizontal="left"/>
      <protection/>
    </xf>
    <xf numFmtId="168" fontId="60" fillId="0" borderId="56" xfId="0" applyNumberFormat="1" applyFont="1" applyBorder="1" applyAlignment="1" applyProtection="1" quotePrefix="1">
      <alignment horizontal="left"/>
      <protection/>
    </xf>
    <xf numFmtId="168" fontId="11" fillId="0" borderId="49" xfId="0" applyNumberFormat="1" applyFont="1" applyBorder="1" applyAlignment="1" applyProtection="1">
      <alignment horizontal="left"/>
      <protection/>
    </xf>
    <xf numFmtId="177" fontId="11" fillId="0" borderId="49" xfId="0" applyNumberFormat="1" applyFont="1" applyBorder="1" applyAlignment="1" applyProtection="1">
      <alignment horizontal="right"/>
      <protection/>
    </xf>
    <xf numFmtId="177" fontId="11" fillId="0" borderId="58" xfId="0" applyNumberFormat="1" applyFont="1" applyBorder="1" applyAlignment="1" applyProtection="1">
      <alignment horizontal="right"/>
      <protection/>
    </xf>
    <xf numFmtId="7" fontId="30" fillId="0" borderId="59" xfId="0" applyNumberFormat="1" applyFont="1" applyBorder="1" applyAlignment="1">
      <alignment horizontal="left"/>
    </xf>
    <xf numFmtId="0" fontId="30" fillId="0" borderId="60" xfId="0" applyFont="1" applyBorder="1" applyAlignment="1" applyProtection="1">
      <alignment horizontal="centerContinuous"/>
      <protection/>
    </xf>
    <xf numFmtId="168" fontId="30" fillId="0" borderId="60" xfId="0" applyNumberFormat="1" applyFont="1" applyBorder="1" applyAlignment="1" applyProtection="1">
      <alignment horizontal="left"/>
      <protection/>
    </xf>
    <xf numFmtId="7" fontId="30" fillId="0" borderId="66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62" xfId="0" applyNumberFormat="1" applyFont="1" applyBorder="1" applyAlignment="1">
      <alignment horizontal="left"/>
    </xf>
    <xf numFmtId="0" fontId="30" fillId="0" borderId="56" xfId="0" applyFont="1" applyBorder="1" applyAlignment="1" applyProtection="1">
      <alignment horizontal="centerContinuous"/>
      <protection/>
    </xf>
    <xf numFmtId="168" fontId="30" fillId="0" borderId="56" xfId="0" applyNumberFormat="1" applyFont="1" applyBorder="1" applyAlignment="1" applyProtection="1">
      <alignment horizontal="left"/>
      <protection/>
    </xf>
    <xf numFmtId="0" fontId="67" fillId="0" borderId="60" xfId="0" applyFont="1" applyBorder="1" applyAlignment="1" applyProtection="1">
      <alignment horizontal="centerContinuous"/>
      <protection/>
    </xf>
    <xf numFmtId="168" fontId="67" fillId="0" borderId="60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Continuous"/>
      <protection/>
    </xf>
    <xf numFmtId="168" fontId="67" fillId="0" borderId="0" xfId="0" applyNumberFormat="1" applyFont="1" applyBorder="1" applyAlignment="1" applyProtection="1">
      <alignment horizontal="center"/>
      <protection/>
    </xf>
    <xf numFmtId="7" fontId="67" fillId="0" borderId="59" xfId="0" applyNumberFormat="1" applyFont="1" applyBorder="1" applyAlignment="1">
      <alignment horizontal="left"/>
    </xf>
    <xf numFmtId="7" fontId="67" fillId="0" borderId="66" xfId="0" applyNumberFormat="1" applyFont="1" applyBorder="1" applyAlignment="1">
      <alignment horizontal="left"/>
    </xf>
    <xf numFmtId="168" fontId="10" fillId="0" borderId="64" xfId="0" applyNumberFormat="1" applyFont="1" applyBorder="1" applyAlignment="1" applyProtection="1">
      <alignment horizontal="center"/>
      <protection/>
    </xf>
    <xf numFmtId="168" fontId="10" fillId="0" borderId="59" xfId="0" applyNumberFormat="1" applyFont="1" applyBorder="1" applyAlignment="1" applyProtection="1">
      <alignment horizontal="center"/>
      <protection/>
    </xf>
    <xf numFmtId="7" fontId="10" fillId="0" borderId="65" xfId="0" applyNumberFormat="1" applyFont="1" applyBorder="1" applyAlignment="1" applyProtection="1">
      <alignment horizontal="center"/>
      <protection/>
    </xf>
    <xf numFmtId="168" fontId="10" fillId="0" borderId="62" xfId="0" applyNumberFormat="1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7" fontId="0" fillId="0" borderId="64" xfId="0" applyNumberFormat="1" applyBorder="1" applyAlignment="1">
      <alignment horizontal="center"/>
    </xf>
    <xf numFmtId="177" fontId="11" fillId="0" borderId="49" xfId="0" applyNumberFormat="1" applyFon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/>
    </xf>
    <xf numFmtId="168" fontId="10" fillId="0" borderId="15" xfId="0" applyNumberFormat="1" applyFont="1" applyFill="1" applyBorder="1" applyAlignment="1">
      <alignment horizontal="center"/>
    </xf>
    <xf numFmtId="0" fontId="13" fillId="42" borderId="18" xfId="0" applyFont="1" applyFill="1" applyBorder="1" applyAlignment="1" applyProtection="1">
      <alignment horizontal="center"/>
      <protection/>
    </xf>
    <xf numFmtId="172" fontId="9" fillId="42" borderId="18" xfId="0" applyNumberFormat="1" applyFont="1" applyFill="1" applyBorder="1" applyAlignment="1" applyProtection="1">
      <alignment horizontal="center"/>
      <protection/>
    </xf>
    <xf numFmtId="0" fontId="7" fillId="42" borderId="18" xfId="0" applyFont="1" applyFill="1" applyBorder="1" applyAlignment="1" applyProtection="1">
      <alignment horizontal="center"/>
      <protection/>
    </xf>
    <xf numFmtId="0" fontId="7" fillId="42" borderId="18" xfId="0" applyFont="1" applyFill="1" applyBorder="1" applyAlignment="1">
      <alignment horizontal="center"/>
    </xf>
    <xf numFmtId="172" fontId="7" fillId="42" borderId="18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172" fontId="9" fillId="0" borderId="12" xfId="0" applyNumberFormat="1" applyFont="1" applyFill="1" applyBorder="1" applyAlignment="1" applyProtection="1">
      <alignment horizontal="center"/>
      <protection locked="0"/>
    </xf>
    <xf numFmtId="5" fontId="8" fillId="0" borderId="0" xfId="0" applyNumberFormat="1" applyFont="1" applyBorder="1" applyAlignment="1" applyProtection="1">
      <alignment horizontal="center"/>
      <protection/>
    </xf>
    <xf numFmtId="7" fontId="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57150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572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57150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572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76200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572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76200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572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77177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77177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PageLayoutView="0" workbookViewId="0" topLeftCell="A2">
      <selection activeCell="B2" sqref="B2:K2"/>
    </sheetView>
  </sheetViews>
  <sheetFormatPr defaultColWidth="11.421875" defaultRowHeight="12.75"/>
  <cols>
    <col min="1" max="1" width="25.7109375" style="10" customWidth="1"/>
    <col min="2" max="2" width="3.57421875" style="10" customWidth="1"/>
    <col min="3" max="3" width="9.8515625" style="10" customWidth="1"/>
    <col min="4" max="4" width="8.421875" style="10" customWidth="1"/>
    <col min="5" max="5" width="10.57421875" style="10" customWidth="1"/>
    <col min="6" max="6" width="37.8515625" style="10" customWidth="1"/>
    <col min="7" max="7" width="29.421875" style="10" customWidth="1"/>
    <col min="8" max="8" width="11.00390625" style="10" customWidth="1"/>
    <col min="9" max="9" width="29.8515625" style="597" bestFit="1" customWidth="1"/>
    <col min="10" max="10" width="15.00390625" style="597" bestFit="1" customWidth="1"/>
    <col min="11" max="11" width="7.8515625" style="10" customWidth="1"/>
    <col min="12" max="12" width="15.7109375" style="10" customWidth="1"/>
    <col min="13" max="14" width="11.421875" style="10" customWidth="1"/>
    <col min="15" max="15" width="14.140625" style="10" customWidth="1"/>
    <col min="16" max="16" width="11.421875" style="10" customWidth="1"/>
    <col min="17" max="17" width="14.7109375" style="10" customWidth="1"/>
    <col min="18" max="18" width="11.421875" style="10" customWidth="1"/>
    <col min="19" max="19" width="12.00390625" style="10" customWidth="1"/>
    <col min="20" max="16384" width="11.421875" style="10" customWidth="1"/>
  </cols>
  <sheetData>
    <row r="1" spans="2:12" s="105" customFormat="1" ht="26.25">
      <c r="B1" s="106"/>
      <c r="I1" s="596"/>
      <c r="J1" s="596"/>
      <c r="L1" s="399"/>
    </row>
    <row r="2" spans="2:11" s="105" customFormat="1" ht="26.25">
      <c r="B2" s="611" t="s">
        <v>173</v>
      </c>
      <c r="C2" s="611"/>
      <c r="D2" s="611"/>
      <c r="E2" s="611"/>
      <c r="F2" s="611"/>
      <c r="G2" s="611"/>
      <c r="H2" s="611"/>
      <c r="I2" s="611"/>
      <c r="J2" s="611"/>
      <c r="K2" s="611"/>
    </row>
    <row r="3" spans="3:20" ht="12.75">
      <c r="C3"/>
      <c r="D3" s="38"/>
      <c r="E3" s="38"/>
      <c r="F3" s="38"/>
      <c r="G3" s="38"/>
      <c r="H3" s="38"/>
      <c r="K3" s="38"/>
      <c r="Q3" s="8"/>
      <c r="R3" s="8"/>
      <c r="S3" s="8"/>
      <c r="T3" s="8"/>
    </row>
    <row r="4" spans="1:20" s="108" customFormat="1" ht="11.25">
      <c r="A4" s="125" t="s">
        <v>25</v>
      </c>
      <c r="B4" s="126"/>
      <c r="D4" s="127"/>
      <c r="E4" s="127"/>
      <c r="F4" s="127"/>
      <c r="G4" s="127"/>
      <c r="H4" s="127"/>
      <c r="I4" s="598"/>
      <c r="J4" s="598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0" s="108" customFormat="1" ht="11.25">
      <c r="A5" s="125" t="s">
        <v>26</v>
      </c>
      <c r="B5" s="126"/>
      <c r="D5" s="127"/>
      <c r="E5" s="127"/>
      <c r="F5" s="127"/>
      <c r="G5" s="127"/>
      <c r="H5" s="127"/>
      <c r="I5" s="598"/>
      <c r="J5" s="598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2:20" s="105" customFormat="1" ht="26.25">
      <c r="B6" s="128"/>
      <c r="D6" s="129"/>
      <c r="E6" s="129"/>
      <c r="F6" s="129"/>
      <c r="G6" s="129"/>
      <c r="H6" s="129"/>
      <c r="I6" s="599"/>
      <c r="J6" s="59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2:20" s="110" customFormat="1" ht="21" customHeight="1">
      <c r="B7" s="610" t="s">
        <v>0</v>
      </c>
      <c r="C7" s="610"/>
      <c r="D7" s="610"/>
      <c r="E7" s="610"/>
      <c r="F7" s="610"/>
      <c r="G7" s="610"/>
      <c r="H7" s="610"/>
      <c r="I7" s="610"/>
      <c r="J7" s="610"/>
      <c r="K7" s="610"/>
      <c r="L7" s="43"/>
      <c r="M7" s="43"/>
      <c r="N7" s="43"/>
      <c r="O7" s="43"/>
      <c r="P7" s="43"/>
      <c r="Q7" s="43"/>
      <c r="R7" s="43"/>
      <c r="S7" s="43"/>
      <c r="T7" s="43"/>
    </row>
    <row r="8" spans="10:20" ht="12.75">
      <c r="J8" s="35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s="110" customFormat="1" ht="21" customHeight="1">
      <c r="B9" s="610" t="s">
        <v>1</v>
      </c>
      <c r="C9" s="610"/>
      <c r="D9" s="610"/>
      <c r="E9" s="610"/>
      <c r="F9" s="610"/>
      <c r="G9" s="610"/>
      <c r="H9" s="610"/>
      <c r="I9" s="610"/>
      <c r="J9" s="610"/>
      <c r="K9" s="610"/>
      <c r="L9" s="43"/>
      <c r="M9" s="43"/>
      <c r="N9" s="43"/>
      <c r="O9" s="43"/>
      <c r="P9" s="43"/>
      <c r="Q9" s="43"/>
      <c r="R9" s="43"/>
      <c r="S9" s="43"/>
      <c r="T9" s="43"/>
    </row>
    <row r="10" spans="4:20" ht="12.75">
      <c r="D10" s="130"/>
      <c r="E10" s="130"/>
      <c r="J10" s="35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s="110" customFormat="1" ht="20.25">
      <c r="B11" s="610" t="s">
        <v>172</v>
      </c>
      <c r="C11" s="610"/>
      <c r="D11" s="610"/>
      <c r="E11" s="610"/>
      <c r="F11" s="610"/>
      <c r="G11" s="610"/>
      <c r="H11" s="610"/>
      <c r="I11" s="610"/>
      <c r="J11" s="610"/>
      <c r="K11" s="610"/>
      <c r="L11" s="43"/>
      <c r="M11" s="43"/>
      <c r="N11" s="43"/>
      <c r="O11" s="43"/>
      <c r="P11" s="43"/>
      <c r="Q11" s="43"/>
      <c r="R11" s="43"/>
      <c r="S11" s="43"/>
      <c r="T11" s="43"/>
    </row>
    <row r="12" spans="4:20" s="131" customFormat="1" ht="16.5" thickBot="1">
      <c r="D12" s="7"/>
      <c r="E12" s="7"/>
      <c r="I12" s="600"/>
      <c r="J12" s="601"/>
      <c r="K12" s="132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s="131" customFormat="1" ht="16.5" thickTop="1">
      <c r="B13" s="379">
        <v>1</v>
      </c>
      <c r="C13" s="397"/>
      <c r="D13" s="133"/>
      <c r="E13" s="133"/>
      <c r="F13" s="133"/>
      <c r="G13" s="133"/>
      <c r="H13" s="133"/>
      <c r="I13" s="602"/>
      <c r="J13" s="602"/>
      <c r="K13" s="134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s="117" customFormat="1" ht="19.5">
      <c r="B14" s="612" t="s">
        <v>166</v>
      </c>
      <c r="C14" s="613"/>
      <c r="D14" s="613"/>
      <c r="E14" s="613"/>
      <c r="F14" s="613"/>
      <c r="G14" s="613"/>
      <c r="H14" s="613"/>
      <c r="I14" s="613"/>
      <c r="J14" s="613"/>
      <c r="K14" s="614"/>
      <c r="L14" s="44"/>
      <c r="M14" s="44"/>
      <c r="N14" s="44"/>
      <c r="O14" s="44"/>
      <c r="P14" s="44"/>
      <c r="Q14" s="44"/>
      <c r="R14" s="44"/>
      <c r="S14" s="44"/>
      <c r="T14" s="44"/>
    </row>
    <row r="15" spans="2:20" s="117" customFormat="1" ht="19.5">
      <c r="B15" s="136"/>
      <c r="C15" s="137"/>
      <c r="D15" s="137"/>
      <c r="E15" s="44"/>
      <c r="F15" s="138"/>
      <c r="G15" s="138"/>
      <c r="H15" s="138"/>
      <c r="I15" s="603"/>
      <c r="J15" s="604"/>
      <c r="K15" s="139"/>
      <c r="L15" s="44"/>
      <c r="M15" s="44"/>
      <c r="N15" s="44"/>
      <c r="O15" s="44"/>
      <c r="P15" s="44"/>
      <c r="Q15" s="44"/>
      <c r="R15" s="44"/>
      <c r="S15" s="44"/>
      <c r="T15" s="44"/>
    </row>
    <row r="16" spans="2:19" s="117" customFormat="1" ht="19.5">
      <c r="B16" s="227">
        <f>IF(B13=2,"Sanciones duplicadas por tasa de falla &gt; 4 Sal. x año/100km.","")</f>
      </c>
      <c r="C16" s="230"/>
      <c r="D16" s="230"/>
      <c r="E16" s="113"/>
      <c r="F16" s="135"/>
      <c r="G16" s="135"/>
      <c r="H16" s="113"/>
      <c r="I16" s="604"/>
      <c r="J16" s="605"/>
      <c r="K16" s="116"/>
      <c r="L16" s="44"/>
      <c r="M16" s="44"/>
      <c r="N16" s="44"/>
      <c r="O16" s="44"/>
      <c r="P16" s="44"/>
      <c r="Q16" s="44"/>
      <c r="R16" s="44"/>
      <c r="S16" s="44"/>
    </row>
    <row r="17" spans="2:19" s="117" customFormat="1" ht="19.5">
      <c r="B17" s="136"/>
      <c r="C17" s="137"/>
      <c r="D17" s="137"/>
      <c r="E17" s="44"/>
      <c r="F17" s="138"/>
      <c r="G17" s="138"/>
      <c r="H17" s="44"/>
      <c r="I17" s="553" t="s">
        <v>168</v>
      </c>
      <c r="J17" s="553" t="s">
        <v>169</v>
      </c>
      <c r="K17" s="139"/>
      <c r="L17" s="44"/>
      <c r="M17" s="44"/>
      <c r="N17" s="44"/>
      <c r="O17" s="44"/>
      <c r="P17" s="44"/>
      <c r="Q17" s="44"/>
      <c r="R17" s="44"/>
      <c r="S17" s="44"/>
    </row>
    <row r="18" spans="2:20" s="117" customFormat="1" ht="19.5">
      <c r="B18" s="136"/>
      <c r="C18" s="140" t="s">
        <v>27</v>
      </c>
      <c r="D18" s="141" t="s">
        <v>28</v>
      </c>
      <c r="E18" s="44"/>
      <c r="F18" s="138"/>
      <c r="G18" s="138"/>
      <c r="H18" s="138"/>
      <c r="I18" s="603"/>
      <c r="J18" s="229"/>
      <c r="K18" s="139"/>
      <c r="L18" s="44"/>
      <c r="M18" s="44"/>
      <c r="N18" s="44"/>
      <c r="O18" s="44"/>
      <c r="P18" s="44"/>
      <c r="Q18" s="44"/>
      <c r="R18" s="44"/>
      <c r="S18" s="44"/>
      <c r="T18" s="44"/>
    </row>
    <row r="19" spans="2:20" s="117" customFormat="1" ht="19.5">
      <c r="B19" s="136"/>
      <c r="C19" s="140"/>
      <c r="D19" s="140" t="s">
        <v>170</v>
      </c>
      <c r="E19" s="141" t="s">
        <v>29</v>
      </c>
      <c r="F19" s="138"/>
      <c r="G19" s="138"/>
      <c r="H19" s="138"/>
      <c r="I19" s="229">
        <v>625.1</v>
      </c>
      <c r="J19" s="229">
        <v>625.1</v>
      </c>
      <c r="K19" s="139"/>
      <c r="L19" s="44"/>
      <c r="M19" s="44"/>
      <c r="N19" s="44"/>
      <c r="O19" s="44"/>
      <c r="P19" s="44"/>
      <c r="Q19" s="44"/>
      <c r="R19" s="44"/>
      <c r="S19" s="44"/>
      <c r="T19" s="44"/>
    </row>
    <row r="20" spans="2:20" s="117" customFormat="1" ht="19.5">
      <c r="B20" s="136"/>
      <c r="C20" s="140"/>
      <c r="D20" s="140" t="s">
        <v>31</v>
      </c>
      <c r="E20" s="141" t="s">
        <v>32</v>
      </c>
      <c r="F20" s="138"/>
      <c r="G20" s="138"/>
      <c r="H20" s="138"/>
      <c r="I20" s="229">
        <v>27301.3</v>
      </c>
      <c r="J20" s="229">
        <f>'LI-0803 (SPSE)'!Y41</f>
        <v>36046.99</v>
      </c>
      <c r="K20" s="139"/>
      <c r="L20" s="44"/>
      <c r="M20" s="44"/>
      <c r="N20" s="44"/>
      <c r="O20" s="44"/>
      <c r="P20" s="44"/>
      <c r="Q20" s="44"/>
      <c r="R20" s="44"/>
      <c r="S20" s="44"/>
      <c r="T20" s="44"/>
    </row>
    <row r="21" spans="2:20" s="117" customFormat="1" ht="19.5">
      <c r="B21" s="136"/>
      <c r="C21" s="140"/>
      <c r="D21" s="140" t="s">
        <v>139</v>
      </c>
      <c r="E21" s="141" t="s">
        <v>140</v>
      </c>
      <c r="F21" s="138"/>
      <c r="G21" s="138"/>
      <c r="H21" s="138"/>
      <c r="I21" s="229">
        <v>1517.43</v>
      </c>
      <c r="J21" s="229">
        <f>'LI-0803 (TCUE)'!Y41</f>
        <v>2003.52</v>
      </c>
      <c r="K21" s="139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3.5">
      <c r="B22" s="42"/>
      <c r="C22" s="142"/>
      <c r="D22" s="143"/>
      <c r="E22" s="8"/>
      <c r="F22" s="144"/>
      <c r="G22" s="144"/>
      <c r="H22" s="144"/>
      <c r="I22" s="606"/>
      <c r="J22" s="606"/>
      <c r="K22" s="11"/>
      <c r="L22" s="8"/>
      <c r="M22" s="8"/>
      <c r="N22" s="8"/>
      <c r="O22" s="8"/>
      <c r="P22" s="8"/>
      <c r="Q22" s="8"/>
      <c r="R22" s="8"/>
      <c r="S22" s="8"/>
      <c r="T22" s="8"/>
    </row>
    <row r="23" spans="2:20" s="117" customFormat="1" ht="19.5">
      <c r="B23" s="136"/>
      <c r="C23" s="140" t="s">
        <v>33</v>
      </c>
      <c r="D23" s="141" t="s">
        <v>34</v>
      </c>
      <c r="E23" s="44"/>
      <c r="F23" s="138"/>
      <c r="G23" s="138"/>
      <c r="H23" s="138"/>
      <c r="I23" s="229"/>
      <c r="J23" s="229"/>
      <c r="K23" s="139"/>
      <c r="L23" s="44"/>
      <c r="M23" s="44"/>
      <c r="N23" s="44"/>
      <c r="O23" s="44"/>
      <c r="P23" s="44"/>
      <c r="Q23" s="44"/>
      <c r="R23" s="44"/>
      <c r="S23" s="44"/>
      <c r="T23" s="44"/>
    </row>
    <row r="24" spans="2:20" ht="8.25" customHeight="1">
      <c r="B24" s="42"/>
      <c r="C24" s="142"/>
      <c r="D24" s="142"/>
      <c r="E24" s="8"/>
      <c r="F24" s="144"/>
      <c r="G24" s="144"/>
      <c r="H24" s="144"/>
      <c r="I24" s="35"/>
      <c r="J24" s="35"/>
      <c r="K24" s="11"/>
      <c r="L24" s="8"/>
      <c r="M24" s="8"/>
      <c r="N24" s="8"/>
      <c r="O24" s="8"/>
      <c r="P24" s="8"/>
      <c r="Q24" s="8"/>
      <c r="R24" s="8"/>
      <c r="S24" s="8"/>
      <c r="T24" s="8"/>
    </row>
    <row r="25" spans="2:20" s="117" customFormat="1" ht="19.5">
      <c r="B25" s="136"/>
      <c r="C25" s="140"/>
      <c r="D25" s="140" t="s">
        <v>35</v>
      </c>
      <c r="E25" s="9" t="s">
        <v>36</v>
      </c>
      <c r="F25" s="138"/>
      <c r="G25" s="138"/>
      <c r="H25" s="138"/>
      <c r="I25" s="229"/>
      <c r="J25" s="229"/>
      <c r="K25" s="139"/>
      <c r="L25" s="44"/>
      <c r="M25" s="44"/>
      <c r="N25" s="44"/>
      <c r="O25" s="44"/>
      <c r="P25" s="44"/>
      <c r="Q25" s="44"/>
      <c r="R25" s="44"/>
      <c r="S25" s="44"/>
      <c r="T25" s="44"/>
    </row>
    <row r="26" spans="2:20" s="117" customFormat="1" ht="19.5">
      <c r="B26" s="136"/>
      <c r="C26" s="140"/>
      <c r="D26" s="140"/>
      <c r="E26" s="140" t="s">
        <v>171</v>
      </c>
      <c r="F26" s="141" t="s">
        <v>29</v>
      </c>
      <c r="G26" s="138"/>
      <c r="H26" s="138"/>
      <c r="I26" s="229">
        <v>8.31</v>
      </c>
      <c r="J26" s="229">
        <v>8.31</v>
      </c>
      <c r="K26" s="139"/>
      <c r="L26" s="44"/>
      <c r="M26" s="44"/>
      <c r="N26" s="44"/>
      <c r="O26" s="44"/>
      <c r="P26" s="44"/>
      <c r="Q26" s="44"/>
      <c r="R26" s="44"/>
      <c r="S26" s="44"/>
      <c r="T26" s="44"/>
    </row>
    <row r="27" spans="2:20" s="117" customFormat="1" ht="19.5">
      <c r="B27" s="136"/>
      <c r="C27" s="140"/>
      <c r="D27" s="140"/>
      <c r="E27" s="140" t="s">
        <v>37</v>
      </c>
      <c r="F27" s="141" t="s">
        <v>30</v>
      </c>
      <c r="G27" s="138"/>
      <c r="H27" s="138"/>
      <c r="I27" s="229">
        <v>210.53</v>
      </c>
      <c r="J27" s="229">
        <f>'TR-0803 (EDERSA)'!AA41</f>
        <v>277.85</v>
      </c>
      <c r="K27" s="139"/>
      <c r="L27" s="44"/>
      <c r="M27" s="44"/>
      <c r="N27" s="44"/>
      <c r="O27" s="44"/>
      <c r="P27" s="44"/>
      <c r="Q27" s="44"/>
      <c r="R27" s="44"/>
      <c r="S27" s="44"/>
      <c r="T27" s="44"/>
    </row>
    <row r="28" spans="2:20" ht="13.5">
      <c r="B28" s="42"/>
      <c r="C28" s="142"/>
      <c r="D28" s="142"/>
      <c r="E28" s="8"/>
      <c r="F28" s="144"/>
      <c r="G28" s="144"/>
      <c r="H28" s="144"/>
      <c r="I28" s="35"/>
      <c r="J28" s="35"/>
      <c r="K28" s="11"/>
      <c r="L28" s="8"/>
      <c r="M28" s="8"/>
      <c r="N28" s="8"/>
      <c r="O28" s="8"/>
      <c r="P28" s="8"/>
      <c r="Q28" s="8"/>
      <c r="R28" s="8"/>
      <c r="S28" s="8"/>
      <c r="T28" s="8"/>
    </row>
    <row r="29" spans="2:20" s="117" customFormat="1" ht="19.5">
      <c r="B29" s="136"/>
      <c r="C29" s="140"/>
      <c r="D29" s="140" t="s">
        <v>38</v>
      </c>
      <c r="E29" s="9" t="s">
        <v>39</v>
      </c>
      <c r="F29" s="138"/>
      <c r="G29" s="138"/>
      <c r="H29" s="138"/>
      <c r="I29" s="229"/>
      <c r="J29" s="229"/>
      <c r="K29" s="139"/>
      <c r="L29" s="44"/>
      <c r="M29" s="44"/>
      <c r="N29" s="44"/>
      <c r="O29" s="44"/>
      <c r="P29" s="44"/>
      <c r="Q29" s="44"/>
      <c r="R29" s="44"/>
      <c r="S29" s="44"/>
      <c r="T29" s="44"/>
    </row>
    <row r="30" spans="2:20" s="117" customFormat="1" ht="19.5">
      <c r="B30" s="136"/>
      <c r="C30" s="140"/>
      <c r="D30" s="140"/>
      <c r="E30" s="140" t="s">
        <v>40</v>
      </c>
      <c r="F30" s="141" t="s">
        <v>29</v>
      </c>
      <c r="G30" s="138"/>
      <c r="H30" s="138"/>
      <c r="I30" s="229">
        <v>1317.15</v>
      </c>
      <c r="J30" s="229">
        <f>'SA-0803'!T44</f>
        <v>26.65</v>
      </c>
      <c r="K30" s="139"/>
      <c r="L30" s="44"/>
      <c r="M30" s="44"/>
      <c r="N30" s="44"/>
      <c r="O30" s="44"/>
      <c r="P30" s="44"/>
      <c r="Q30" s="44"/>
      <c r="R30" s="44"/>
      <c r="S30" s="44"/>
      <c r="T30" s="44"/>
    </row>
    <row r="31" spans="2:20" s="117" customFormat="1" ht="19.5">
      <c r="B31" s="136"/>
      <c r="C31" s="140"/>
      <c r="D31" s="140"/>
      <c r="E31" s="140" t="s">
        <v>160</v>
      </c>
      <c r="F31" s="141" t="s">
        <v>30</v>
      </c>
      <c r="G31" s="138"/>
      <c r="H31" s="138"/>
      <c r="I31" s="229">
        <v>0</v>
      </c>
      <c r="J31" s="229">
        <f>' SA-0803(EDERSA)'!T43</f>
        <v>1290.495</v>
      </c>
      <c r="K31" s="139"/>
      <c r="L31" s="44"/>
      <c r="M31" s="44"/>
      <c r="N31" s="44"/>
      <c r="O31" s="44"/>
      <c r="P31" s="44"/>
      <c r="Q31" s="44"/>
      <c r="R31" s="44"/>
      <c r="S31" s="44"/>
      <c r="T31" s="44"/>
    </row>
    <row r="32" spans="2:20" ht="13.5">
      <c r="B32" s="42"/>
      <c r="C32" s="142"/>
      <c r="D32" s="143"/>
      <c r="E32" s="8"/>
      <c r="F32" s="144"/>
      <c r="G32" s="144"/>
      <c r="H32" s="144"/>
      <c r="I32" s="606"/>
      <c r="J32" s="606"/>
      <c r="K32" s="11"/>
      <c r="L32" s="8"/>
      <c r="M32" s="8"/>
      <c r="N32" s="8"/>
      <c r="O32" s="8"/>
      <c r="P32" s="8"/>
      <c r="Q32" s="8"/>
      <c r="R32" s="8"/>
      <c r="S32" s="8"/>
      <c r="T32" s="8"/>
    </row>
    <row r="33" spans="2:20" s="117" customFormat="1" ht="19.5">
      <c r="B33" s="136"/>
      <c r="C33" s="140" t="s">
        <v>41</v>
      </c>
      <c r="D33" s="9" t="s">
        <v>42</v>
      </c>
      <c r="E33" s="138"/>
      <c r="F33"/>
      <c r="G33" s="138"/>
      <c r="H33" s="138"/>
      <c r="I33" s="606"/>
      <c r="J33" s="229"/>
      <c r="K33" s="139"/>
      <c r="L33" s="44"/>
      <c r="M33" s="44"/>
      <c r="N33" s="44"/>
      <c r="O33" s="44"/>
      <c r="P33" s="44"/>
      <c r="Q33" s="44"/>
      <c r="R33" s="44"/>
      <c r="S33" s="44"/>
      <c r="T33" s="44"/>
    </row>
    <row r="34" spans="2:20" s="117" customFormat="1" ht="19.5">
      <c r="B34" s="136"/>
      <c r="C34" s="140"/>
      <c r="D34" s="140" t="s">
        <v>43</v>
      </c>
      <c r="E34" s="141" t="s">
        <v>30</v>
      </c>
      <c r="F34"/>
      <c r="G34" s="138"/>
      <c r="H34" s="138"/>
      <c r="I34" s="229">
        <v>53.34554696888709</v>
      </c>
      <c r="J34" s="229">
        <f>'SUP-EDERSA'!I57</f>
        <v>392.08624999999995</v>
      </c>
      <c r="K34" s="139"/>
      <c r="L34" s="44"/>
      <c r="M34" s="44"/>
      <c r="N34" s="44"/>
      <c r="O34" s="44"/>
      <c r="P34" s="44"/>
      <c r="Q34" s="44"/>
      <c r="R34" s="44"/>
      <c r="S34" s="44"/>
      <c r="T34" s="44"/>
    </row>
    <row r="35" spans="2:20" s="117" customFormat="1" ht="19.5">
      <c r="B35" s="136"/>
      <c r="C35" s="140"/>
      <c r="D35" s="140" t="s">
        <v>44</v>
      </c>
      <c r="E35" s="141" t="s">
        <v>32</v>
      </c>
      <c r="F35"/>
      <c r="G35" s="138"/>
      <c r="H35" s="138"/>
      <c r="I35" s="229">
        <v>6045.163254000001</v>
      </c>
      <c r="J35" s="229">
        <f>'SUP-SPSE'!I53</f>
        <v>7980.466896000002</v>
      </c>
      <c r="K35" s="139"/>
      <c r="L35" s="44"/>
      <c r="M35" s="44"/>
      <c r="N35" s="44"/>
      <c r="O35" s="44"/>
      <c r="P35" s="44"/>
      <c r="Q35" s="44"/>
      <c r="R35" s="44"/>
      <c r="S35" s="44"/>
      <c r="T35" s="44"/>
    </row>
    <row r="36" spans="2:20" s="117" customFormat="1" ht="19.5">
      <c r="B36" s="136"/>
      <c r="C36" s="140"/>
      <c r="D36" s="140" t="s">
        <v>141</v>
      </c>
      <c r="E36" s="141" t="s">
        <v>140</v>
      </c>
      <c r="F36"/>
      <c r="G36" s="138"/>
      <c r="H36" s="138"/>
      <c r="I36" s="229">
        <v>406.7099240504017</v>
      </c>
      <c r="J36" s="229">
        <f>'SUP-TRANSACUE'!I59</f>
        <v>500.88000000000005</v>
      </c>
      <c r="K36" s="139"/>
      <c r="L36" s="44"/>
      <c r="M36" s="44"/>
      <c r="N36" s="44"/>
      <c r="O36" s="44"/>
      <c r="P36" s="44"/>
      <c r="Q36" s="44"/>
      <c r="R36" s="44"/>
      <c r="S36" s="44"/>
      <c r="T36" s="44"/>
    </row>
    <row r="37" spans="2:20" s="117" customFormat="1" ht="20.25" thickBot="1">
      <c r="B37" s="136"/>
      <c r="C37" s="137"/>
      <c r="D37" s="137"/>
      <c r="E37" s="44"/>
      <c r="F37" s="138"/>
      <c r="G37" s="138"/>
      <c r="H37" s="138"/>
      <c r="I37" s="229"/>
      <c r="J37" s="604"/>
      <c r="K37" s="139"/>
      <c r="L37" s="44"/>
      <c r="M37" s="44"/>
      <c r="N37" s="44"/>
      <c r="O37" s="44"/>
      <c r="P37" s="44"/>
      <c r="Q37" s="44"/>
      <c r="R37" s="44"/>
      <c r="S37" s="44"/>
      <c r="T37" s="44"/>
    </row>
    <row r="38" spans="2:20" s="117" customFormat="1" ht="20.25" thickBot="1" thickTop="1">
      <c r="B38" s="136"/>
      <c r="C38" s="140"/>
      <c r="D38" s="140"/>
      <c r="F38" s="145" t="s">
        <v>45</v>
      </c>
      <c r="G38" s="146">
        <f>SUM(J19:J36)</f>
        <v>49152.348146</v>
      </c>
      <c r="H38" s="229"/>
      <c r="I38" s="229"/>
      <c r="J38" s="607"/>
      <c r="K38" s="139"/>
      <c r="L38" s="44"/>
      <c r="M38" s="44"/>
      <c r="N38" s="44"/>
      <c r="O38" s="44"/>
      <c r="P38" s="44"/>
      <c r="Q38" s="44"/>
      <c r="R38" s="44"/>
      <c r="S38" s="44"/>
      <c r="T38" s="44"/>
    </row>
    <row r="39" spans="2:20" s="117" customFormat="1" ht="20.25" thickBot="1" thickTop="1">
      <c r="B39" s="136"/>
      <c r="C39" s="140"/>
      <c r="D39" s="140"/>
      <c r="F39" s="145" t="s">
        <v>164</v>
      </c>
      <c r="G39" s="146">
        <f>SUM(I19:I36)</f>
        <v>37485.038725019294</v>
      </c>
      <c r="H39" s="229"/>
      <c r="I39" s="229"/>
      <c r="J39" s="607"/>
      <c r="K39" s="139"/>
      <c r="L39" s="44"/>
      <c r="M39" s="44"/>
      <c r="N39" s="44"/>
      <c r="O39" s="44"/>
      <c r="P39" s="44"/>
      <c r="Q39" s="44"/>
      <c r="R39" s="44"/>
      <c r="S39" s="44"/>
      <c r="T39" s="44"/>
    </row>
    <row r="40" spans="2:20" s="117" customFormat="1" ht="20.25" thickBot="1" thickTop="1">
      <c r="B40" s="136"/>
      <c r="C40" s="140"/>
      <c r="D40" s="140"/>
      <c r="F40" s="145" t="s">
        <v>165</v>
      </c>
      <c r="G40" s="146">
        <f>G38-G39</f>
        <v>11667.309420980702</v>
      </c>
      <c r="H40" s="229"/>
      <c r="I40" s="229"/>
      <c r="J40" s="607"/>
      <c r="K40" s="139"/>
      <c r="L40" s="44"/>
      <c r="M40" s="44"/>
      <c r="N40" s="44"/>
      <c r="O40" s="44"/>
      <c r="P40" s="44"/>
      <c r="Q40" s="44"/>
      <c r="R40" s="44"/>
      <c r="S40" s="44"/>
      <c r="T40" s="44"/>
    </row>
    <row r="41" spans="2:20" s="117" customFormat="1" ht="8.25" customHeight="1" thickTop="1">
      <c r="B41" s="136"/>
      <c r="C41" s="140"/>
      <c r="D41" s="140"/>
      <c r="F41" s="553"/>
      <c r="G41" s="229"/>
      <c r="H41" s="229"/>
      <c r="I41" s="601"/>
      <c r="J41" s="607"/>
      <c r="K41" s="139"/>
      <c r="L41" s="44"/>
      <c r="M41" s="44"/>
      <c r="N41" s="44"/>
      <c r="O41" s="44"/>
      <c r="P41" s="44"/>
      <c r="Q41" s="44"/>
      <c r="R41" s="44"/>
      <c r="S41" s="44"/>
      <c r="T41" s="44"/>
    </row>
    <row r="42" spans="2:20" s="117" customFormat="1" ht="18.75">
      <c r="B42" s="136"/>
      <c r="C42" s="554" t="s">
        <v>161</v>
      </c>
      <c r="D42" s="140"/>
      <c r="F42" s="553"/>
      <c r="G42" s="229"/>
      <c r="H42" s="229"/>
      <c r="I42" s="35"/>
      <c r="J42" s="604"/>
      <c r="K42" s="139"/>
      <c r="L42" s="44"/>
      <c r="M42" s="44"/>
      <c r="N42" s="44"/>
      <c r="O42" s="44"/>
      <c r="P42" s="44"/>
      <c r="Q42" s="44"/>
      <c r="R42" s="44"/>
      <c r="S42" s="44"/>
      <c r="T42" s="44"/>
    </row>
    <row r="43" spans="2:20" s="131" customFormat="1" ht="6.75" customHeight="1" thickBot="1">
      <c r="B43" s="147"/>
      <c r="C43" s="148"/>
      <c r="D43" s="148"/>
      <c r="E43" s="149"/>
      <c r="F43" s="149"/>
      <c r="G43" s="149"/>
      <c r="H43" s="149"/>
      <c r="I43" s="609"/>
      <c r="J43" s="608"/>
      <c r="K43" s="150"/>
      <c r="L43" s="132"/>
      <c r="M43" s="132"/>
      <c r="N43" s="81"/>
      <c r="O43" s="151"/>
      <c r="P43" s="151"/>
      <c r="Q43" s="152"/>
      <c r="R43" s="153"/>
      <c r="S43" s="132"/>
      <c r="T43" s="132"/>
    </row>
    <row r="44" spans="4:20" ht="13.5" thickTop="1">
      <c r="D44" s="8"/>
      <c r="F44" s="8"/>
      <c r="G44" s="8"/>
      <c r="H44" s="8"/>
      <c r="I44" s="35"/>
      <c r="J44" s="35"/>
      <c r="K44" s="8"/>
      <c r="L44" s="8"/>
      <c r="M44" s="8"/>
      <c r="N44" s="29"/>
      <c r="O44" s="154"/>
      <c r="P44" s="154"/>
      <c r="Q44" s="8"/>
      <c r="R44" s="35"/>
      <c r="S44" s="8"/>
      <c r="T44" s="8"/>
    </row>
    <row r="45" spans="4:20" ht="12.75">
      <c r="D45" s="8"/>
      <c r="F45" s="8"/>
      <c r="G45" s="8"/>
      <c r="H45" s="8"/>
      <c r="J45" s="35"/>
      <c r="K45" s="8"/>
      <c r="L45" s="8"/>
      <c r="M45" s="8"/>
      <c r="N45" s="8"/>
      <c r="O45" s="155"/>
      <c r="P45" s="155"/>
      <c r="Q45" s="156"/>
      <c r="R45" s="35"/>
      <c r="S45" s="8"/>
      <c r="T45" s="8"/>
    </row>
    <row r="46" spans="4:20" ht="12.75">
      <c r="D46" s="8"/>
      <c r="E46" s="8"/>
      <c r="F46" s="8"/>
      <c r="G46" s="8"/>
      <c r="H46" s="8"/>
      <c r="J46" s="35"/>
      <c r="K46" s="8"/>
      <c r="L46" s="8"/>
      <c r="M46" s="8"/>
      <c r="N46" s="8"/>
      <c r="O46" s="155"/>
      <c r="P46" s="155"/>
      <c r="Q46" s="156"/>
      <c r="R46" s="35"/>
      <c r="S46" s="8"/>
      <c r="T46" s="8"/>
    </row>
    <row r="47" spans="4:20" ht="12.75">
      <c r="D47" s="8"/>
      <c r="E47" s="8"/>
      <c r="M47" s="8"/>
      <c r="N47" s="8"/>
      <c r="O47" s="8"/>
      <c r="P47" s="8"/>
      <c r="Q47" s="8"/>
      <c r="R47" s="8"/>
      <c r="S47" s="8"/>
      <c r="T47" s="8"/>
    </row>
    <row r="48" spans="4:20" ht="12.75">
      <c r="D48" s="8"/>
      <c r="E48" s="8"/>
      <c r="Q48" s="8"/>
      <c r="R48" s="8"/>
      <c r="S48" s="8"/>
      <c r="T48" s="8"/>
    </row>
    <row r="49" spans="4:20" ht="12.75">
      <c r="D49" s="8"/>
      <c r="E49" s="8"/>
      <c r="Q49" s="8"/>
      <c r="R49" s="8"/>
      <c r="S49" s="8"/>
      <c r="T49" s="8"/>
    </row>
    <row r="50" spans="4:20" ht="12.75">
      <c r="D50" s="8"/>
      <c r="E50" s="8"/>
      <c r="Q50" s="8"/>
      <c r="R50" s="8"/>
      <c r="S50" s="8"/>
      <c r="T50" s="8"/>
    </row>
    <row r="51" spans="4:20" ht="12.75">
      <c r="D51" s="8"/>
      <c r="E51" s="8"/>
      <c r="Q51" s="8"/>
      <c r="R51" s="8"/>
      <c r="S51" s="8"/>
      <c r="T51" s="8"/>
    </row>
    <row r="52" spans="4:20" ht="12.75">
      <c r="D52" s="8"/>
      <c r="E52" s="8"/>
      <c r="Q52" s="8"/>
      <c r="R52" s="8"/>
      <c r="S52" s="8"/>
      <c r="T52" s="8"/>
    </row>
    <row r="53" spans="17:20" ht="12.75">
      <c r="Q53" s="8"/>
      <c r="R53" s="8"/>
      <c r="S53" s="8"/>
      <c r="T53" s="8"/>
    </row>
    <row r="54" spans="17:20" ht="12.75">
      <c r="Q54" s="8"/>
      <c r="R54" s="8"/>
      <c r="S54" s="8"/>
      <c r="T54" s="8"/>
    </row>
  </sheetData>
  <sheetProtection/>
  <mergeCells count="5">
    <mergeCell ref="B7:K7"/>
    <mergeCell ref="B2:K2"/>
    <mergeCell ref="B14:K14"/>
    <mergeCell ref="B11:K11"/>
    <mergeCell ref="B9:K9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Roman,Cursiva"&amp;7&amp;Z&amp;F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zoomScale="75" zoomScaleNormal="75" zoomScalePageLayoutView="0" workbookViewId="0" topLeftCell="A7">
      <selection activeCell="G20" sqref="G2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12.7109375" style="0" hidden="1" customWidth="1"/>
    <col min="8" max="9" width="15.7109375" style="0" customWidth="1"/>
    <col min="10" max="12" width="9.7109375" style="0" customWidth="1"/>
    <col min="13" max="13" width="14.140625" style="0" customWidth="1"/>
    <col min="14" max="23" width="14.140625" style="0" hidden="1" customWidth="1"/>
    <col min="24" max="24" width="14.140625" style="0" customWidth="1"/>
    <col min="25" max="26" width="15.7109375" style="0" customWidth="1"/>
  </cols>
  <sheetData>
    <row r="1" s="105" customFormat="1" ht="26.25">
      <c r="Z1" s="399"/>
    </row>
    <row r="2" spans="2:26" s="105" customFormat="1" ht="26.25">
      <c r="B2" s="106" t="str">
        <f>+'TOT-0803'!B2</f>
        <v>ANEXO III al Memorándum D.T.E.E.   N°       587  /2013.-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="10" customFormat="1" ht="12.75"/>
    <row r="4" spans="1:2" s="108" customFormat="1" ht="11.25">
      <c r="A4" s="124" t="s">
        <v>25</v>
      </c>
      <c r="B4" s="124"/>
    </row>
    <row r="5" spans="1:2" s="108" customFormat="1" ht="11.25">
      <c r="A5" s="124" t="s">
        <v>26</v>
      </c>
      <c r="B5" s="124"/>
    </row>
    <row r="6" s="10" customFormat="1" ht="13.5" thickBot="1"/>
    <row r="7" spans="1:26" s="10" customFormat="1" ht="13.5" thickTop="1">
      <c r="A7" s="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s="110" customFormat="1" ht="20.25">
      <c r="A8" s="43"/>
      <c r="B8" s="109"/>
      <c r="C8" s="43"/>
      <c r="D8" s="20" t="s">
        <v>46</v>
      </c>
      <c r="E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11"/>
    </row>
    <row r="9" spans="1:26" s="10" customFormat="1" ht="12.75">
      <c r="A9" s="8"/>
      <c r="B9" s="42"/>
      <c r="C9" s="8"/>
      <c r="D9" s="122"/>
      <c r="E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s="110" customFormat="1" ht="20.25">
      <c r="A10" s="43"/>
      <c r="B10" s="109"/>
      <c r="C10" s="43"/>
      <c r="D10" s="20" t="s">
        <v>147</v>
      </c>
      <c r="E10" s="20"/>
      <c r="F10" s="43"/>
      <c r="G10" s="112"/>
      <c r="H10" s="112"/>
      <c r="I10" s="112"/>
      <c r="J10" s="112"/>
      <c r="K10" s="112"/>
      <c r="L10" s="112"/>
      <c r="M10" s="11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111"/>
    </row>
    <row r="11" spans="1:26" s="10" customFormat="1" ht="12.75">
      <c r="A11" s="8"/>
      <c r="B11" s="42"/>
      <c r="C11" s="8"/>
      <c r="D11" s="121"/>
      <c r="E11" s="119"/>
      <c r="F11" s="8"/>
      <c r="G11" s="118"/>
      <c r="H11" s="118"/>
      <c r="I11" s="118"/>
      <c r="J11" s="118"/>
      <c r="K11" s="118"/>
      <c r="L11" s="118"/>
      <c r="M11" s="1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s="117" customFormat="1" ht="19.5">
      <c r="A12" s="44"/>
      <c r="B12" s="83" t="str">
        <f>+'TOT-0803'!B14</f>
        <v>Desde el 01 al 31 de marzo de 2008</v>
      </c>
      <c r="C12" s="113"/>
      <c r="D12" s="113"/>
      <c r="E12" s="114"/>
      <c r="F12" s="114"/>
      <c r="G12" s="115"/>
      <c r="H12" s="115"/>
      <c r="I12" s="115"/>
      <c r="J12" s="115"/>
      <c r="K12" s="115"/>
      <c r="L12" s="115"/>
      <c r="M12" s="115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6"/>
    </row>
    <row r="13" spans="1:26" s="10" customFormat="1" ht="13.5" thickBot="1">
      <c r="A13" s="8"/>
      <c r="B13" s="42"/>
      <c r="C13" s="8"/>
      <c r="D13" s="8"/>
      <c r="E13" s="119"/>
      <c r="F13" s="120"/>
      <c r="G13" s="118"/>
      <c r="H13" s="118"/>
      <c r="I13" s="118"/>
      <c r="J13" s="118"/>
      <c r="K13" s="118"/>
      <c r="L13" s="118"/>
      <c r="M13" s="1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s="91" customFormat="1" ht="16.5" customHeight="1" thickBot="1" thickTop="1">
      <c r="A14" s="87"/>
      <c r="B14" s="88"/>
      <c r="C14" s="87"/>
      <c r="D14" s="494" t="s">
        <v>47</v>
      </c>
      <c r="E14" s="495">
        <v>68.199</v>
      </c>
      <c r="F14" s="231"/>
      <c r="G14" s="92"/>
      <c r="H14" s="92"/>
      <c r="I14" s="92"/>
      <c r="J14" s="92"/>
      <c r="K14" s="92"/>
      <c r="L14" s="92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90"/>
    </row>
    <row r="15" spans="1:26" s="91" customFormat="1" ht="16.5" customHeight="1" thickBot="1" thickTop="1">
      <c r="A15" s="87"/>
      <c r="B15" s="88"/>
      <c r="C15" s="87"/>
      <c r="D15" s="494" t="s">
        <v>48</v>
      </c>
      <c r="E15" s="495">
        <v>65.168</v>
      </c>
      <c r="F15" s="232"/>
      <c r="G15" s="87"/>
      <c r="I15" s="93" t="s">
        <v>49</v>
      </c>
      <c r="J15" s="94">
        <f>30*'TOT-0803'!B13</f>
        <v>30</v>
      </c>
      <c r="K15" s="228" t="str">
        <f>IF(J15=30," ",IF(J15=60,"Coeficiente duplicado por tasa de falla &gt;4 Sal. x año/100 km.","REVISAR COEFICIENTE"))</f>
        <v> 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90"/>
    </row>
    <row r="16" spans="1:26" s="10" customFormat="1" ht="14.25" thickBot="1" thickTop="1">
      <c r="A16" s="8"/>
      <c r="B16" s="42"/>
      <c r="C16" s="8"/>
      <c r="D16" s="8"/>
      <c r="E16" s="8"/>
      <c r="F16" s="8"/>
      <c r="G16" s="8"/>
      <c r="H16" s="12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</row>
    <row r="17" spans="1:26" s="104" customFormat="1" ht="33.75" customHeight="1" thickBot="1" thickTop="1">
      <c r="A17" s="95"/>
      <c r="B17" s="96"/>
      <c r="C17" s="97" t="s">
        <v>50</v>
      </c>
      <c r="D17" s="98" t="s">
        <v>28</v>
      </c>
      <c r="E17" s="99" t="s">
        <v>51</v>
      </c>
      <c r="F17" s="100" t="s">
        <v>52</v>
      </c>
      <c r="G17" s="259" t="s">
        <v>53</v>
      </c>
      <c r="H17" s="98" t="s">
        <v>54</v>
      </c>
      <c r="I17" s="98" t="s">
        <v>55</v>
      </c>
      <c r="J17" s="99" t="s">
        <v>56</v>
      </c>
      <c r="K17" s="99" t="s">
        <v>57</v>
      </c>
      <c r="L17" s="101" t="s">
        <v>58</v>
      </c>
      <c r="M17" s="99" t="s">
        <v>59</v>
      </c>
      <c r="N17" s="288" t="s">
        <v>60</v>
      </c>
      <c r="O17" s="291" t="s">
        <v>61</v>
      </c>
      <c r="P17" s="294" t="s">
        <v>62</v>
      </c>
      <c r="Q17" s="295"/>
      <c r="R17" s="296"/>
      <c r="S17" s="305" t="s">
        <v>63</v>
      </c>
      <c r="T17" s="306"/>
      <c r="U17" s="307"/>
      <c r="V17" s="315" t="s">
        <v>64</v>
      </c>
      <c r="W17" s="318" t="s">
        <v>65</v>
      </c>
      <c r="X17" s="102" t="s">
        <v>66</v>
      </c>
      <c r="Y17" s="102" t="s">
        <v>67</v>
      </c>
      <c r="Z17" s="103"/>
    </row>
    <row r="18" spans="1:26" ht="16.5" customHeight="1" thickTop="1">
      <c r="A18" s="1"/>
      <c r="B18" s="2"/>
      <c r="C18" s="48"/>
      <c r="D18" s="49"/>
      <c r="E18" s="50"/>
      <c r="F18" s="50"/>
      <c r="G18" s="260"/>
      <c r="H18" s="50"/>
      <c r="I18" s="51"/>
      <c r="J18" s="51"/>
      <c r="K18" s="51"/>
      <c r="L18" s="49"/>
      <c r="M18" s="50"/>
      <c r="N18" s="289"/>
      <c r="O18" s="292"/>
      <c r="P18" s="297"/>
      <c r="Q18" s="298"/>
      <c r="R18" s="299"/>
      <c r="S18" s="308"/>
      <c r="T18" s="309"/>
      <c r="U18" s="310"/>
      <c r="V18" s="316"/>
      <c r="W18" s="319"/>
      <c r="X18" s="303"/>
      <c r="Y18" s="51"/>
      <c r="Z18" s="3"/>
    </row>
    <row r="19" spans="1:26" ht="16.5" customHeight="1">
      <c r="A19" s="1"/>
      <c r="B19" s="2"/>
      <c r="C19" s="48"/>
      <c r="D19" s="48"/>
      <c r="E19" s="85"/>
      <c r="F19" s="85"/>
      <c r="G19" s="261"/>
      <c r="H19" s="48"/>
      <c r="I19" s="86"/>
      <c r="J19" s="86"/>
      <c r="K19" s="86"/>
      <c r="L19" s="84"/>
      <c r="M19" s="48"/>
      <c r="N19" s="290"/>
      <c r="O19" s="293"/>
      <c r="P19" s="300"/>
      <c r="Q19" s="301"/>
      <c r="R19" s="302"/>
      <c r="S19" s="311"/>
      <c r="T19" s="312"/>
      <c r="U19" s="313"/>
      <c r="V19" s="317"/>
      <c r="W19" s="320"/>
      <c r="X19" s="304"/>
      <c r="Y19" s="86"/>
      <c r="Z19" s="3"/>
    </row>
    <row r="20" spans="1:28" ht="16.5" customHeight="1">
      <c r="A20" s="1"/>
      <c r="B20" s="2"/>
      <c r="C20" s="496">
        <v>11</v>
      </c>
      <c r="D20" s="497" t="s">
        <v>4</v>
      </c>
      <c r="E20" s="498">
        <v>132</v>
      </c>
      <c r="F20" s="499">
        <v>209</v>
      </c>
      <c r="G20" s="262">
        <f aca="true" t="shared" si="0" ref="G20:G39">IF(F20&gt;25,F20,25)*IF(E20=330,$E$14,$E$15)/100</f>
        <v>136.20112</v>
      </c>
      <c r="H20" s="504">
        <v>39514.540972222225</v>
      </c>
      <c r="I20" s="504">
        <v>39514.645833333336</v>
      </c>
      <c r="J20" s="12">
        <f aca="true" t="shared" si="1" ref="J20:J39">IF(D20="","",(I20-H20)*24)</f>
        <v>2.516666666662786</v>
      </c>
      <c r="K20" s="13">
        <f aca="true" t="shared" si="2" ref="K20:K39">IF(D20="","",ROUND((I20-H20)*24*60,0))</f>
        <v>151</v>
      </c>
      <c r="L20" s="505" t="s">
        <v>135</v>
      </c>
      <c r="M20" s="506" t="str">
        <f aca="true" t="shared" si="3" ref="M20:M39">IF(D20="","","--")</f>
        <v>--</v>
      </c>
      <c r="N20" s="507" t="str">
        <f aca="true" t="shared" si="4" ref="N20:N39">IF(L20="P",ROUND(K20/60,2)*G20*$J$15*0.01,"--")</f>
        <v>--</v>
      </c>
      <c r="O20" s="508" t="str">
        <f aca="true" t="shared" si="5" ref="O20:O39">IF(L20="RP",ROUND(K20/60,2)*G20*$J$15*0.01*M20/100,"--")</f>
        <v>--</v>
      </c>
      <c r="P20" s="509">
        <f aca="true" t="shared" si="6" ref="P20:P39">IF(L20="F",G20*$J$15,"--")</f>
        <v>4086.0336</v>
      </c>
      <c r="Q20" s="510">
        <f aca="true" t="shared" si="7" ref="Q20:Q39">IF(AND(K20&gt;10,L20="F"),G20*$J$15*IF(K20&gt;180,3,ROUND(K20/60,2)),"--")</f>
        <v>10296.804672</v>
      </c>
      <c r="R20" s="511" t="str">
        <f aca="true" t="shared" si="8" ref="R20:R39">IF(AND(K20&gt;180,L20="F"),(ROUND(K20/60,2)-3)*G20*$J$15*0.1,"--")</f>
        <v>--</v>
      </c>
      <c r="S20" s="512" t="str">
        <f aca="true" t="shared" si="9" ref="S20:S39">IF(L20="R",G20*$J$15*M20/100,"--")</f>
        <v>--</v>
      </c>
      <c r="T20" s="513" t="str">
        <f aca="true" t="shared" si="10" ref="T20:T39">IF(AND(K20&gt;10,L20="R"),G20*$J$15*M20/100*IF(K20&gt;180,3,ROUND(K20/60,2)),"--")</f>
        <v>--</v>
      </c>
      <c r="U20" s="514" t="str">
        <f aca="true" t="shared" si="11" ref="U20:U39">IF(AND(K20&gt;180,L20="R"),(ROUND(K20/60,2)-3)*M20/100*G20*$J$15*0.1,"--")</f>
        <v>--</v>
      </c>
      <c r="V20" s="515" t="str">
        <f aca="true" t="shared" si="12" ref="V20:V39">IF(L20="RF",ROUND(K20/60,2)*G20*$J$15*0.1,"--")</f>
        <v>--</v>
      </c>
      <c r="W20" s="516" t="str">
        <f aca="true" t="shared" si="13" ref="W20:W39">IF(L20="RR",ROUND(K20/60,2)*M20/100*G20*$J$15*0.1,"--")</f>
        <v>--</v>
      </c>
      <c r="X20" s="517" t="str">
        <f aca="true" t="shared" si="14" ref="X20:X39">IF(D20="","","SI")</f>
        <v>SI</v>
      </c>
      <c r="Y20" s="52">
        <f aca="true" t="shared" si="15" ref="Y20:Y39">IF(D20="","",SUM(N20:W20)*IF(X20="SI",1,2))</f>
        <v>14382.838272</v>
      </c>
      <c r="Z20" s="3"/>
      <c r="AB20" s="584"/>
    </row>
    <row r="21" spans="1:28" ht="16.5" customHeight="1">
      <c r="A21" s="1"/>
      <c r="B21" s="2"/>
      <c r="C21" s="496">
        <v>12</v>
      </c>
      <c r="D21" s="497" t="s">
        <v>4</v>
      </c>
      <c r="E21" s="498">
        <v>132</v>
      </c>
      <c r="F21" s="499">
        <v>209</v>
      </c>
      <c r="G21" s="262">
        <f t="shared" si="0"/>
        <v>136.20112</v>
      </c>
      <c r="H21" s="504">
        <v>39519.540972222225</v>
      </c>
      <c r="I21" s="504">
        <v>39519.708333333336</v>
      </c>
      <c r="J21" s="12">
        <f t="shared" si="1"/>
        <v>4.016666666662786</v>
      </c>
      <c r="K21" s="13">
        <f t="shared" si="2"/>
        <v>241</v>
      </c>
      <c r="L21" s="505" t="s">
        <v>135</v>
      </c>
      <c r="M21" s="506" t="str">
        <f t="shared" si="3"/>
        <v>--</v>
      </c>
      <c r="N21" s="507" t="str">
        <f t="shared" si="4"/>
        <v>--</v>
      </c>
      <c r="O21" s="508" t="str">
        <f t="shared" si="5"/>
        <v>--</v>
      </c>
      <c r="P21" s="509">
        <f t="shared" si="6"/>
        <v>4086.0336</v>
      </c>
      <c r="Q21" s="510">
        <f t="shared" si="7"/>
        <v>12258.1008</v>
      </c>
      <c r="R21" s="511">
        <f t="shared" si="8"/>
        <v>416.77542719999985</v>
      </c>
      <c r="S21" s="512" t="str">
        <f t="shared" si="9"/>
        <v>--</v>
      </c>
      <c r="T21" s="513" t="str">
        <f t="shared" si="10"/>
        <v>--</v>
      </c>
      <c r="U21" s="514" t="str">
        <f t="shared" si="11"/>
        <v>--</v>
      </c>
      <c r="V21" s="515" t="str">
        <f t="shared" si="12"/>
        <v>--</v>
      </c>
      <c r="W21" s="516" t="str">
        <f t="shared" si="13"/>
        <v>--</v>
      </c>
      <c r="X21" s="517" t="str">
        <f t="shared" si="14"/>
        <v>SI</v>
      </c>
      <c r="Y21" s="52">
        <f t="shared" si="15"/>
        <v>16760.9098272</v>
      </c>
      <c r="Z21" s="3"/>
      <c r="AB21" s="584"/>
    </row>
    <row r="22" spans="1:28" ht="16.5" customHeight="1">
      <c r="A22" s="1"/>
      <c r="B22" s="2"/>
      <c r="C22" s="496">
        <v>13</v>
      </c>
      <c r="D22" s="497" t="s">
        <v>4</v>
      </c>
      <c r="E22" s="498">
        <v>132</v>
      </c>
      <c r="F22" s="499">
        <v>209</v>
      </c>
      <c r="G22" s="262">
        <f t="shared" si="0"/>
        <v>136.20112</v>
      </c>
      <c r="H22" s="504">
        <v>39538.40138888889</v>
      </c>
      <c r="I22" s="504">
        <v>39538.40972222222</v>
      </c>
      <c r="J22" s="12">
        <f t="shared" si="1"/>
        <v>0.19999999995343387</v>
      </c>
      <c r="K22" s="13">
        <f t="shared" si="2"/>
        <v>12</v>
      </c>
      <c r="L22" s="505" t="s">
        <v>135</v>
      </c>
      <c r="M22" s="506" t="str">
        <f t="shared" si="3"/>
        <v>--</v>
      </c>
      <c r="N22" s="507" t="str">
        <f t="shared" si="4"/>
        <v>--</v>
      </c>
      <c r="O22" s="508" t="str">
        <f t="shared" si="5"/>
        <v>--</v>
      </c>
      <c r="P22" s="509">
        <f t="shared" si="6"/>
        <v>4086.0336</v>
      </c>
      <c r="Q22" s="510">
        <f t="shared" si="7"/>
        <v>817.2067200000001</v>
      </c>
      <c r="R22" s="511" t="str">
        <f t="shared" si="8"/>
        <v>--</v>
      </c>
      <c r="S22" s="512" t="str">
        <f t="shared" si="9"/>
        <v>--</v>
      </c>
      <c r="T22" s="513" t="str">
        <f t="shared" si="10"/>
        <v>--</v>
      </c>
      <c r="U22" s="514" t="str">
        <f t="shared" si="11"/>
        <v>--</v>
      </c>
      <c r="V22" s="515" t="str">
        <f t="shared" si="12"/>
        <v>--</v>
      </c>
      <c r="W22" s="516" t="str">
        <f t="shared" si="13"/>
        <v>--</v>
      </c>
      <c r="X22" s="517" t="str">
        <f t="shared" si="14"/>
        <v>SI</v>
      </c>
      <c r="Y22" s="52">
        <f t="shared" si="15"/>
        <v>4903.240320000001</v>
      </c>
      <c r="Z22" s="3"/>
      <c r="AB22" s="584"/>
    </row>
    <row r="23" spans="1:26" ht="16.5" customHeight="1">
      <c r="A23" s="1"/>
      <c r="B23" s="2"/>
      <c r="C23" s="496"/>
      <c r="D23" s="497"/>
      <c r="E23" s="498"/>
      <c r="F23" s="499"/>
      <c r="G23" s="262">
        <f t="shared" si="0"/>
        <v>16.292</v>
      </c>
      <c r="H23" s="504"/>
      <c r="I23" s="504"/>
      <c r="J23" s="12">
        <f t="shared" si="1"/>
      </c>
      <c r="K23" s="13">
        <f t="shared" si="2"/>
      </c>
      <c r="L23" s="505"/>
      <c r="M23" s="506">
        <f t="shared" si="3"/>
      </c>
      <c r="N23" s="507" t="str">
        <f t="shared" si="4"/>
        <v>--</v>
      </c>
      <c r="O23" s="508" t="str">
        <f t="shared" si="5"/>
        <v>--</v>
      </c>
      <c r="P23" s="509" t="str">
        <f t="shared" si="6"/>
        <v>--</v>
      </c>
      <c r="Q23" s="510" t="str">
        <f t="shared" si="7"/>
        <v>--</v>
      </c>
      <c r="R23" s="511" t="str">
        <f t="shared" si="8"/>
        <v>--</v>
      </c>
      <c r="S23" s="512" t="str">
        <f t="shared" si="9"/>
        <v>--</v>
      </c>
      <c r="T23" s="513" t="str">
        <f t="shared" si="10"/>
        <v>--</v>
      </c>
      <c r="U23" s="514" t="str">
        <f t="shared" si="11"/>
        <v>--</v>
      </c>
      <c r="V23" s="515" t="str">
        <f t="shared" si="12"/>
        <v>--</v>
      </c>
      <c r="W23" s="516" t="str">
        <f t="shared" si="13"/>
        <v>--</v>
      </c>
      <c r="X23" s="517">
        <f t="shared" si="14"/>
      </c>
      <c r="Y23" s="52">
        <f t="shared" si="15"/>
      </c>
      <c r="Z23" s="3"/>
    </row>
    <row r="24" spans="1:26" ht="16.5" customHeight="1">
      <c r="A24" s="1"/>
      <c r="B24" s="2"/>
      <c r="C24" s="496"/>
      <c r="D24" s="497"/>
      <c r="E24" s="498"/>
      <c r="F24" s="499"/>
      <c r="G24" s="262">
        <f t="shared" si="0"/>
        <v>16.292</v>
      </c>
      <c r="H24" s="504"/>
      <c r="I24" s="504"/>
      <c r="J24" s="12">
        <f t="shared" si="1"/>
      </c>
      <c r="K24" s="13">
        <f t="shared" si="2"/>
      </c>
      <c r="L24" s="505"/>
      <c r="M24" s="506">
        <f t="shared" si="3"/>
      </c>
      <c r="N24" s="507" t="str">
        <f t="shared" si="4"/>
        <v>--</v>
      </c>
      <c r="O24" s="508" t="str">
        <f t="shared" si="5"/>
        <v>--</v>
      </c>
      <c r="P24" s="509" t="str">
        <f t="shared" si="6"/>
        <v>--</v>
      </c>
      <c r="Q24" s="510" t="str">
        <f t="shared" si="7"/>
        <v>--</v>
      </c>
      <c r="R24" s="511" t="str">
        <f t="shared" si="8"/>
        <v>--</v>
      </c>
      <c r="S24" s="512" t="str">
        <f t="shared" si="9"/>
        <v>--</v>
      </c>
      <c r="T24" s="513" t="str">
        <f t="shared" si="10"/>
        <v>--</v>
      </c>
      <c r="U24" s="514" t="str">
        <f t="shared" si="11"/>
        <v>--</v>
      </c>
      <c r="V24" s="515" t="str">
        <f t="shared" si="12"/>
        <v>--</v>
      </c>
      <c r="W24" s="516" t="str">
        <f t="shared" si="13"/>
        <v>--</v>
      </c>
      <c r="X24" s="517">
        <f t="shared" si="14"/>
      </c>
      <c r="Y24" s="52">
        <f t="shared" si="15"/>
      </c>
      <c r="Z24" s="3"/>
    </row>
    <row r="25" spans="1:26" ht="16.5" customHeight="1">
      <c r="A25" s="1"/>
      <c r="B25" s="2"/>
      <c r="C25" s="496"/>
      <c r="D25" s="497"/>
      <c r="E25" s="498"/>
      <c r="F25" s="499"/>
      <c r="G25" s="262">
        <f t="shared" si="0"/>
        <v>16.292</v>
      </c>
      <c r="H25" s="504"/>
      <c r="I25" s="504"/>
      <c r="J25" s="12">
        <f t="shared" si="1"/>
      </c>
      <c r="K25" s="13">
        <f t="shared" si="2"/>
      </c>
      <c r="L25" s="505"/>
      <c r="M25" s="506">
        <f t="shared" si="3"/>
      </c>
      <c r="N25" s="507" t="str">
        <f t="shared" si="4"/>
        <v>--</v>
      </c>
      <c r="O25" s="508" t="str">
        <f t="shared" si="5"/>
        <v>--</v>
      </c>
      <c r="P25" s="509" t="str">
        <f t="shared" si="6"/>
        <v>--</v>
      </c>
      <c r="Q25" s="510" t="str">
        <f t="shared" si="7"/>
        <v>--</v>
      </c>
      <c r="R25" s="511" t="str">
        <f t="shared" si="8"/>
        <v>--</v>
      </c>
      <c r="S25" s="512" t="str">
        <f t="shared" si="9"/>
        <v>--</v>
      </c>
      <c r="T25" s="513" t="str">
        <f t="shared" si="10"/>
        <v>--</v>
      </c>
      <c r="U25" s="514" t="str">
        <f t="shared" si="11"/>
        <v>--</v>
      </c>
      <c r="V25" s="515" t="str">
        <f t="shared" si="12"/>
        <v>--</v>
      </c>
      <c r="W25" s="516" t="str">
        <f t="shared" si="13"/>
        <v>--</v>
      </c>
      <c r="X25" s="517">
        <f t="shared" si="14"/>
      </c>
      <c r="Y25" s="52">
        <f t="shared" si="15"/>
      </c>
      <c r="Z25" s="3"/>
    </row>
    <row r="26" spans="1:26" ht="16.5" customHeight="1">
      <c r="A26" s="1"/>
      <c r="B26" s="2"/>
      <c r="C26" s="496"/>
      <c r="D26" s="497"/>
      <c r="E26" s="498"/>
      <c r="F26" s="499"/>
      <c r="G26" s="262">
        <f t="shared" si="0"/>
        <v>16.292</v>
      </c>
      <c r="H26" s="504"/>
      <c r="I26" s="504"/>
      <c r="J26" s="12">
        <f t="shared" si="1"/>
      </c>
      <c r="K26" s="13">
        <f t="shared" si="2"/>
      </c>
      <c r="L26" s="505"/>
      <c r="M26" s="506">
        <f t="shared" si="3"/>
      </c>
      <c r="N26" s="507" t="str">
        <f t="shared" si="4"/>
        <v>--</v>
      </c>
      <c r="O26" s="508" t="str">
        <f t="shared" si="5"/>
        <v>--</v>
      </c>
      <c r="P26" s="509" t="str">
        <f t="shared" si="6"/>
        <v>--</v>
      </c>
      <c r="Q26" s="510" t="str">
        <f t="shared" si="7"/>
        <v>--</v>
      </c>
      <c r="R26" s="511" t="str">
        <f t="shared" si="8"/>
        <v>--</v>
      </c>
      <c r="S26" s="512" t="str">
        <f t="shared" si="9"/>
        <v>--</v>
      </c>
      <c r="T26" s="513" t="str">
        <f t="shared" si="10"/>
        <v>--</v>
      </c>
      <c r="U26" s="514" t="str">
        <f t="shared" si="11"/>
        <v>--</v>
      </c>
      <c r="V26" s="515" t="str">
        <f t="shared" si="12"/>
        <v>--</v>
      </c>
      <c r="W26" s="516" t="str">
        <f t="shared" si="13"/>
        <v>--</v>
      </c>
      <c r="X26" s="517">
        <f t="shared" si="14"/>
      </c>
      <c r="Y26" s="52">
        <f t="shared" si="15"/>
      </c>
      <c r="Z26" s="3"/>
    </row>
    <row r="27" spans="1:26" ht="16.5" customHeight="1">
      <c r="A27" s="1"/>
      <c r="B27" s="2"/>
      <c r="C27" s="496"/>
      <c r="D27" s="497"/>
      <c r="E27" s="498"/>
      <c r="F27" s="499"/>
      <c r="G27" s="262">
        <f t="shared" si="0"/>
        <v>16.292</v>
      </c>
      <c r="H27" s="504"/>
      <c r="I27" s="504"/>
      <c r="J27" s="12">
        <f t="shared" si="1"/>
      </c>
      <c r="K27" s="13">
        <f t="shared" si="2"/>
      </c>
      <c r="L27" s="505"/>
      <c r="M27" s="506">
        <f t="shared" si="3"/>
      </c>
      <c r="N27" s="507" t="str">
        <f t="shared" si="4"/>
        <v>--</v>
      </c>
      <c r="O27" s="508" t="str">
        <f t="shared" si="5"/>
        <v>--</v>
      </c>
      <c r="P27" s="509" t="str">
        <f t="shared" si="6"/>
        <v>--</v>
      </c>
      <c r="Q27" s="510" t="str">
        <f t="shared" si="7"/>
        <v>--</v>
      </c>
      <c r="R27" s="511" t="str">
        <f t="shared" si="8"/>
        <v>--</v>
      </c>
      <c r="S27" s="512" t="str">
        <f t="shared" si="9"/>
        <v>--</v>
      </c>
      <c r="T27" s="513" t="str">
        <f t="shared" si="10"/>
        <v>--</v>
      </c>
      <c r="U27" s="514" t="str">
        <f t="shared" si="11"/>
        <v>--</v>
      </c>
      <c r="V27" s="515" t="str">
        <f t="shared" si="12"/>
        <v>--</v>
      </c>
      <c r="W27" s="516" t="str">
        <f t="shared" si="13"/>
        <v>--</v>
      </c>
      <c r="X27" s="517">
        <f t="shared" si="14"/>
      </c>
      <c r="Y27" s="52">
        <f t="shared" si="15"/>
      </c>
      <c r="Z27" s="3"/>
    </row>
    <row r="28" spans="1:26" ht="16.5" customHeight="1">
      <c r="A28" s="1"/>
      <c r="B28" s="2"/>
      <c r="C28" s="496"/>
      <c r="D28" s="497"/>
      <c r="E28" s="498"/>
      <c r="F28" s="499"/>
      <c r="G28" s="262">
        <f t="shared" si="0"/>
        <v>16.292</v>
      </c>
      <c r="H28" s="504"/>
      <c r="I28" s="504"/>
      <c r="J28" s="12">
        <f t="shared" si="1"/>
      </c>
      <c r="K28" s="13">
        <f t="shared" si="2"/>
      </c>
      <c r="L28" s="505"/>
      <c r="M28" s="506">
        <f t="shared" si="3"/>
      </c>
      <c r="N28" s="507" t="str">
        <f t="shared" si="4"/>
        <v>--</v>
      </c>
      <c r="O28" s="508" t="str">
        <f t="shared" si="5"/>
        <v>--</v>
      </c>
      <c r="P28" s="509" t="str">
        <f t="shared" si="6"/>
        <v>--</v>
      </c>
      <c r="Q28" s="510" t="str">
        <f t="shared" si="7"/>
        <v>--</v>
      </c>
      <c r="R28" s="511" t="str">
        <f t="shared" si="8"/>
        <v>--</v>
      </c>
      <c r="S28" s="512" t="str">
        <f t="shared" si="9"/>
        <v>--</v>
      </c>
      <c r="T28" s="513" t="str">
        <f t="shared" si="10"/>
        <v>--</v>
      </c>
      <c r="U28" s="514" t="str">
        <f t="shared" si="11"/>
        <v>--</v>
      </c>
      <c r="V28" s="515" t="str">
        <f t="shared" si="12"/>
        <v>--</v>
      </c>
      <c r="W28" s="516" t="str">
        <f t="shared" si="13"/>
        <v>--</v>
      </c>
      <c r="X28" s="517">
        <f t="shared" si="14"/>
      </c>
      <c r="Y28" s="52">
        <f t="shared" si="15"/>
      </c>
      <c r="Z28" s="3"/>
    </row>
    <row r="29" spans="1:26" ht="16.5" customHeight="1">
      <c r="A29" s="1"/>
      <c r="B29" s="2"/>
      <c r="C29" s="496"/>
      <c r="D29" s="497"/>
      <c r="E29" s="498"/>
      <c r="F29" s="499"/>
      <c r="G29" s="262">
        <f t="shared" si="0"/>
        <v>16.292</v>
      </c>
      <c r="H29" s="504"/>
      <c r="I29" s="504"/>
      <c r="J29" s="12">
        <f t="shared" si="1"/>
      </c>
      <c r="K29" s="13">
        <f t="shared" si="2"/>
      </c>
      <c r="L29" s="505"/>
      <c r="M29" s="506">
        <f t="shared" si="3"/>
      </c>
      <c r="N29" s="507" t="str">
        <f t="shared" si="4"/>
        <v>--</v>
      </c>
      <c r="O29" s="508" t="str">
        <f t="shared" si="5"/>
        <v>--</v>
      </c>
      <c r="P29" s="509" t="str">
        <f t="shared" si="6"/>
        <v>--</v>
      </c>
      <c r="Q29" s="510" t="str">
        <f t="shared" si="7"/>
        <v>--</v>
      </c>
      <c r="R29" s="511" t="str">
        <f t="shared" si="8"/>
        <v>--</v>
      </c>
      <c r="S29" s="512" t="str">
        <f t="shared" si="9"/>
        <v>--</v>
      </c>
      <c r="T29" s="513" t="str">
        <f t="shared" si="10"/>
        <v>--</v>
      </c>
      <c r="U29" s="514" t="str">
        <f t="shared" si="11"/>
        <v>--</v>
      </c>
      <c r="V29" s="515" t="str">
        <f t="shared" si="12"/>
        <v>--</v>
      </c>
      <c r="W29" s="516" t="str">
        <f t="shared" si="13"/>
        <v>--</v>
      </c>
      <c r="X29" s="517">
        <f t="shared" si="14"/>
      </c>
      <c r="Y29" s="52">
        <f t="shared" si="15"/>
      </c>
      <c r="Z29" s="3"/>
    </row>
    <row r="30" spans="1:26" ht="16.5" customHeight="1">
      <c r="A30" s="1"/>
      <c r="B30" s="2"/>
      <c r="C30" s="496"/>
      <c r="D30" s="497"/>
      <c r="E30" s="498"/>
      <c r="F30" s="499"/>
      <c r="G30" s="262">
        <f t="shared" si="0"/>
        <v>16.292</v>
      </c>
      <c r="H30" s="504"/>
      <c r="I30" s="504"/>
      <c r="J30" s="12">
        <f t="shared" si="1"/>
      </c>
      <c r="K30" s="13">
        <f t="shared" si="2"/>
      </c>
      <c r="L30" s="505"/>
      <c r="M30" s="506">
        <f t="shared" si="3"/>
      </c>
      <c r="N30" s="507" t="str">
        <f t="shared" si="4"/>
        <v>--</v>
      </c>
      <c r="O30" s="508" t="str">
        <f t="shared" si="5"/>
        <v>--</v>
      </c>
      <c r="P30" s="509" t="str">
        <f t="shared" si="6"/>
        <v>--</v>
      </c>
      <c r="Q30" s="510" t="str">
        <f t="shared" si="7"/>
        <v>--</v>
      </c>
      <c r="R30" s="511" t="str">
        <f t="shared" si="8"/>
        <v>--</v>
      </c>
      <c r="S30" s="512" t="str">
        <f t="shared" si="9"/>
        <v>--</v>
      </c>
      <c r="T30" s="513" t="str">
        <f t="shared" si="10"/>
        <v>--</v>
      </c>
      <c r="U30" s="514" t="str">
        <f t="shared" si="11"/>
        <v>--</v>
      </c>
      <c r="V30" s="515" t="str">
        <f t="shared" si="12"/>
        <v>--</v>
      </c>
      <c r="W30" s="516" t="str">
        <f t="shared" si="13"/>
        <v>--</v>
      </c>
      <c r="X30" s="517">
        <f t="shared" si="14"/>
      </c>
      <c r="Y30" s="52">
        <f t="shared" si="15"/>
      </c>
      <c r="Z30" s="3"/>
    </row>
    <row r="31" spans="1:26" ht="16.5" customHeight="1">
      <c r="A31" s="1"/>
      <c r="B31" s="2"/>
      <c r="C31" s="496"/>
      <c r="D31" s="497"/>
      <c r="E31" s="498"/>
      <c r="F31" s="499"/>
      <c r="G31" s="262">
        <f t="shared" si="0"/>
        <v>16.292</v>
      </c>
      <c r="H31" s="504"/>
      <c r="I31" s="504"/>
      <c r="J31" s="12">
        <f t="shared" si="1"/>
      </c>
      <c r="K31" s="13">
        <f t="shared" si="2"/>
      </c>
      <c r="L31" s="505"/>
      <c r="M31" s="506">
        <f t="shared" si="3"/>
      </c>
      <c r="N31" s="507" t="str">
        <f t="shared" si="4"/>
        <v>--</v>
      </c>
      <c r="O31" s="508" t="str">
        <f t="shared" si="5"/>
        <v>--</v>
      </c>
      <c r="P31" s="509" t="str">
        <f t="shared" si="6"/>
        <v>--</v>
      </c>
      <c r="Q31" s="510" t="str">
        <f t="shared" si="7"/>
        <v>--</v>
      </c>
      <c r="R31" s="511" t="str">
        <f t="shared" si="8"/>
        <v>--</v>
      </c>
      <c r="S31" s="512" t="str">
        <f t="shared" si="9"/>
        <v>--</v>
      </c>
      <c r="T31" s="513" t="str">
        <f t="shared" si="10"/>
        <v>--</v>
      </c>
      <c r="U31" s="514" t="str">
        <f t="shared" si="11"/>
        <v>--</v>
      </c>
      <c r="V31" s="515" t="str">
        <f t="shared" si="12"/>
        <v>--</v>
      </c>
      <c r="W31" s="516" t="str">
        <f t="shared" si="13"/>
        <v>--</v>
      </c>
      <c r="X31" s="517">
        <f t="shared" si="14"/>
      </c>
      <c r="Y31" s="52">
        <f t="shared" si="15"/>
      </c>
      <c r="Z31" s="3"/>
    </row>
    <row r="32" spans="1:26" ht="16.5" customHeight="1">
      <c r="A32" s="1"/>
      <c r="B32" s="2"/>
      <c r="C32" s="496"/>
      <c r="D32" s="497"/>
      <c r="E32" s="498"/>
      <c r="F32" s="499"/>
      <c r="G32" s="262">
        <f t="shared" si="0"/>
        <v>16.292</v>
      </c>
      <c r="H32" s="504"/>
      <c r="I32" s="504"/>
      <c r="J32" s="12">
        <f t="shared" si="1"/>
      </c>
      <c r="K32" s="13">
        <f t="shared" si="2"/>
      </c>
      <c r="L32" s="505"/>
      <c r="M32" s="506">
        <f t="shared" si="3"/>
      </c>
      <c r="N32" s="507" t="str">
        <f t="shared" si="4"/>
        <v>--</v>
      </c>
      <c r="O32" s="508" t="str">
        <f t="shared" si="5"/>
        <v>--</v>
      </c>
      <c r="P32" s="509" t="str">
        <f t="shared" si="6"/>
        <v>--</v>
      </c>
      <c r="Q32" s="510" t="str">
        <f t="shared" si="7"/>
        <v>--</v>
      </c>
      <c r="R32" s="511" t="str">
        <f t="shared" si="8"/>
        <v>--</v>
      </c>
      <c r="S32" s="512" t="str">
        <f t="shared" si="9"/>
        <v>--</v>
      </c>
      <c r="T32" s="513" t="str">
        <f t="shared" si="10"/>
        <v>--</v>
      </c>
      <c r="U32" s="514" t="str">
        <f t="shared" si="11"/>
        <v>--</v>
      </c>
      <c r="V32" s="515" t="str">
        <f t="shared" si="12"/>
        <v>--</v>
      </c>
      <c r="W32" s="516" t="str">
        <f t="shared" si="13"/>
        <v>--</v>
      </c>
      <c r="X32" s="517">
        <f t="shared" si="14"/>
      </c>
      <c r="Y32" s="52">
        <f t="shared" si="15"/>
      </c>
      <c r="Z32" s="3"/>
    </row>
    <row r="33" spans="1:26" ht="16.5" customHeight="1">
      <c r="A33" s="1"/>
      <c r="B33" s="2"/>
      <c r="C33" s="496"/>
      <c r="D33" s="497"/>
      <c r="E33" s="498"/>
      <c r="F33" s="499"/>
      <c r="G33" s="262">
        <f t="shared" si="0"/>
        <v>16.292</v>
      </c>
      <c r="H33" s="504"/>
      <c r="I33" s="504"/>
      <c r="J33" s="12">
        <f t="shared" si="1"/>
      </c>
      <c r="K33" s="13">
        <f t="shared" si="2"/>
      </c>
      <c r="L33" s="505"/>
      <c r="M33" s="506">
        <f t="shared" si="3"/>
      </c>
      <c r="N33" s="507" t="str">
        <f t="shared" si="4"/>
        <v>--</v>
      </c>
      <c r="O33" s="508" t="str">
        <f t="shared" si="5"/>
        <v>--</v>
      </c>
      <c r="P33" s="509" t="str">
        <f t="shared" si="6"/>
        <v>--</v>
      </c>
      <c r="Q33" s="510" t="str">
        <f t="shared" si="7"/>
        <v>--</v>
      </c>
      <c r="R33" s="511" t="str">
        <f t="shared" si="8"/>
        <v>--</v>
      </c>
      <c r="S33" s="512" t="str">
        <f t="shared" si="9"/>
        <v>--</v>
      </c>
      <c r="T33" s="513" t="str">
        <f t="shared" si="10"/>
        <v>--</v>
      </c>
      <c r="U33" s="514" t="str">
        <f t="shared" si="11"/>
        <v>--</v>
      </c>
      <c r="V33" s="515" t="str">
        <f t="shared" si="12"/>
        <v>--</v>
      </c>
      <c r="W33" s="516" t="str">
        <f t="shared" si="13"/>
        <v>--</v>
      </c>
      <c r="X33" s="517">
        <f t="shared" si="14"/>
      </c>
      <c r="Y33" s="52">
        <f t="shared" si="15"/>
      </c>
      <c r="Z33" s="3"/>
    </row>
    <row r="34" spans="1:26" ht="16.5" customHeight="1">
      <c r="A34" s="1"/>
      <c r="B34" s="2"/>
      <c r="C34" s="496"/>
      <c r="D34" s="497"/>
      <c r="E34" s="498"/>
      <c r="F34" s="499"/>
      <c r="G34" s="262">
        <f t="shared" si="0"/>
        <v>16.292</v>
      </c>
      <c r="H34" s="504"/>
      <c r="I34" s="504"/>
      <c r="J34" s="12">
        <f t="shared" si="1"/>
      </c>
      <c r="K34" s="13">
        <f t="shared" si="2"/>
      </c>
      <c r="L34" s="505"/>
      <c r="M34" s="506">
        <f t="shared" si="3"/>
      </c>
      <c r="N34" s="507" t="str">
        <f t="shared" si="4"/>
        <v>--</v>
      </c>
      <c r="O34" s="508" t="str">
        <f t="shared" si="5"/>
        <v>--</v>
      </c>
      <c r="P34" s="509" t="str">
        <f t="shared" si="6"/>
        <v>--</v>
      </c>
      <c r="Q34" s="510" t="str">
        <f t="shared" si="7"/>
        <v>--</v>
      </c>
      <c r="R34" s="511" t="str">
        <f t="shared" si="8"/>
        <v>--</v>
      </c>
      <c r="S34" s="512" t="str">
        <f t="shared" si="9"/>
        <v>--</v>
      </c>
      <c r="T34" s="513" t="str">
        <f t="shared" si="10"/>
        <v>--</v>
      </c>
      <c r="U34" s="514" t="str">
        <f t="shared" si="11"/>
        <v>--</v>
      </c>
      <c r="V34" s="515" t="str">
        <f t="shared" si="12"/>
        <v>--</v>
      </c>
      <c r="W34" s="516" t="str">
        <f t="shared" si="13"/>
        <v>--</v>
      </c>
      <c r="X34" s="517">
        <f t="shared" si="14"/>
      </c>
      <c r="Y34" s="52">
        <f t="shared" si="15"/>
      </c>
      <c r="Z34" s="3"/>
    </row>
    <row r="35" spans="1:26" ht="16.5" customHeight="1">
      <c r="A35" s="1"/>
      <c r="B35" s="2"/>
      <c r="C35" s="496"/>
      <c r="D35" s="497"/>
      <c r="E35" s="498"/>
      <c r="F35" s="499"/>
      <c r="G35" s="262">
        <f t="shared" si="0"/>
        <v>16.292</v>
      </c>
      <c r="H35" s="504"/>
      <c r="I35" s="504"/>
      <c r="J35" s="12">
        <f t="shared" si="1"/>
      </c>
      <c r="K35" s="13">
        <f t="shared" si="2"/>
      </c>
      <c r="L35" s="505"/>
      <c r="M35" s="506">
        <f t="shared" si="3"/>
      </c>
      <c r="N35" s="507" t="str">
        <f t="shared" si="4"/>
        <v>--</v>
      </c>
      <c r="O35" s="508" t="str">
        <f t="shared" si="5"/>
        <v>--</v>
      </c>
      <c r="P35" s="509" t="str">
        <f t="shared" si="6"/>
        <v>--</v>
      </c>
      <c r="Q35" s="510" t="str">
        <f t="shared" si="7"/>
        <v>--</v>
      </c>
      <c r="R35" s="511" t="str">
        <f t="shared" si="8"/>
        <v>--</v>
      </c>
      <c r="S35" s="512" t="str">
        <f t="shared" si="9"/>
        <v>--</v>
      </c>
      <c r="T35" s="513" t="str">
        <f t="shared" si="10"/>
        <v>--</v>
      </c>
      <c r="U35" s="514" t="str">
        <f t="shared" si="11"/>
        <v>--</v>
      </c>
      <c r="V35" s="515" t="str">
        <f t="shared" si="12"/>
        <v>--</v>
      </c>
      <c r="W35" s="516" t="str">
        <f t="shared" si="13"/>
        <v>--</v>
      </c>
      <c r="X35" s="517">
        <f t="shared" si="14"/>
      </c>
      <c r="Y35" s="52">
        <f t="shared" si="15"/>
      </c>
      <c r="Z35" s="3"/>
    </row>
    <row r="36" spans="2:26" ht="16.5" customHeight="1">
      <c r="B36" s="53"/>
      <c r="C36" s="496"/>
      <c r="D36" s="497"/>
      <c r="E36" s="498"/>
      <c r="F36" s="499"/>
      <c r="G36" s="262">
        <f t="shared" si="0"/>
        <v>16.292</v>
      </c>
      <c r="H36" s="504"/>
      <c r="I36" s="504"/>
      <c r="J36" s="12">
        <f t="shared" si="1"/>
      </c>
      <c r="K36" s="13">
        <f t="shared" si="2"/>
      </c>
      <c r="L36" s="505"/>
      <c r="M36" s="506">
        <f t="shared" si="3"/>
      </c>
      <c r="N36" s="507" t="str">
        <f t="shared" si="4"/>
        <v>--</v>
      </c>
      <c r="O36" s="508" t="str">
        <f t="shared" si="5"/>
        <v>--</v>
      </c>
      <c r="P36" s="509" t="str">
        <f t="shared" si="6"/>
        <v>--</v>
      </c>
      <c r="Q36" s="510" t="str">
        <f t="shared" si="7"/>
        <v>--</v>
      </c>
      <c r="R36" s="511" t="str">
        <f t="shared" si="8"/>
        <v>--</v>
      </c>
      <c r="S36" s="512" t="str">
        <f t="shared" si="9"/>
        <v>--</v>
      </c>
      <c r="T36" s="513" t="str">
        <f t="shared" si="10"/>
        <v>--</v>
      </c>
      <c r="U36" s="514" t="str">
        <f t="shared" si="11"/>
        <v>--</v>
      </c>
      <c r="V36" s="515" t="str">
        <f t="shared" si="12"/>
        <v>--</v>
      </c>
      <c r="W36" s="516" t="str">
        <f t="shared" si="13"/>
        <v>--</v>
      </c>
      <c r="X36" s="517">
        <f t="shared" si="14"/>
      </c>
      <c r="Y36" s="52">
        <f t="shared" si="15"/>
      </c>
      <c r="Z36" s="3"/>
    </row>
    <row r="37" spans="2:26" ht="16.5" customHeight="1">
      <c r="B37" s="53"/>
      <c r="C37" s="496"/>
      <c r="D37" s="497"/>
      <c r="E37" s="498"/>
      <c r="F37" s="499"/>
      <c r="G37" s="262">
        <f t="shared" si="0"/>
        <v>16.292</v>
      </c>
      <c r="H37" s="504"/>
      <c r="I37" s="504"/>
      <c r="J37" s="12">
        <f t="shared" si="1"/>
      </c>
      <c r="K37" s="13">
        <f t="shared" si="2"/>
      </c>
      <c r="L37" s="505"/>
      <c r="M37" s="506">
        <f t="shared" si="3"/>
      </c>
      <c r="N37" s="507" t="str">
        <f t="shared" si="4"/>
        <v>--</v>
      </c>
      <c r="O37" s="508" t="str">
        <f t="shared" si="5"/>
        <v>--</v>
      </c>
      <c r="P37" s="509" t="str">
        <f t="shared" si="6"/>
        <v>--</v>
      </c>
      <c r="Q37" s="510" t="str">
        <f t="shared" si="7"/>
        <v>--</v>
      </c>
      <c r="R37" s="511" t="str">
        <f t="shared" si="8"/>
        <v>--</v>
      </c>
      <c r="S37" s="512" t="str">
        <f t="shared" si="9"/>
        <v>--</v>
      </c>
      <c r="T37" s="513" t="str">
        <f t="shared" si="10"/>
        <v>--</v>
      </c>
      <c r="U37" s="514" t="str">
        <f t="shared" si="11"/>
        <v>--</v>
      </c>
      <c r="V37" s="515" t="str">
        <f t="shared" si="12"/>
        <v>--</v>
      </c>
      <c r="W37" s="516" t="str">
        <f t="shared" si="13"/>
        <v>--</v>
      </c>
      <c r="X37" s="517">
        <f t="shared" si="14"/>
      </c>
      <c r="Y37" s="52">
        <f t="shared" si="15"/>
      </c>
      <c r="Z37" s="3"/>
    </row>
    <row r="38" spans="2:26" ht="16.5" customHeight="1">
      <c r="B38" s="53"/>
      <c r="C38" s="496"/>
      <c r="D38" s="497"/>
      <c r="E38" s="498"/>
      <c r="F38" s="499"/>
      <c r="G38" s="262">
        <f t="shared" si="0"/>
        <v>16.292</v>
      </c>
      <c r="H38" s="504"/>
      <c r="I38" s="504"/>
      <c r="J38" s="12">
        <f t="shared" si="1"/>
      </c>
      <c r="K38" s="13">
        <f t="shared" si="2"/>
      </c>
      <c r="L38" s="505"/>
      <c r="M38" s="506">
        <f t="shared" si="3"/>
      </c>
      <c r="N38" s="507" t="str">
        <f t="shared" si="4"/>
        <v>--</v>
      </c>
      <c r="O38" s="508" t="str">
        <f t="shared" si="5"/>
        <v>--</v>
      </c>
      <c r="P38" s="509" t="str">
        <f t="shared" si="6"/>
        <v>--</v>
      </c>
      <c r="Q38" s="510" t="str">
        <f t="shared" si="7"/>
        <v>--</v>
      </c>
      <c r="R38" s="511" t="str">
        <f t="shared" si="8"/>
        <v>--</v>
      </c>
      <c r="S38" s="512" t="str">
        <f t="shared" si="9"/>
        <v>--</v>
      </c>
      <c r="T38" s="513" t="str">
        <f t="shared" si="10"/>
        <v>--</v>
      </c>
      <c r="U38" s="514" t="str">
        <f t="shared" si="11"/>
        <v>--</v>
      </c>
      <c r="V38" s="515" t="str">
        <f t="shared" si="12"/>
        <v>--</v>
      </c>
      <c r="W38" s="516" t="str">
        <f t="shared" si="13"/>
        <v>--</v>
      </c>
      <c r="X38" s="517">
        <f t="shared" si="14"/>
      </c>
      <c r="Y38" s="52">
        <f t="shared" si="15"/>
      </c>
      <c r="Z38" s="3"/>
    </row>
    <row r="39" spans="2:26" ht="16.5" customHeight="1">
      <c r="B39" s="53"/>
      <c r="C39" s="496"/>
      <c r="D39" s="497"/>
      <c r="E39" s="498"/>
      <c r="F39" s="499"/>
      <c r="G39" s="262">
        <f t="shared" si="0"/>
        <v>16.292</v>
      </c>
      <c r="H39" s="504"/>
      <c r="I39" s="504"/>
      <c r="J39" s="12">
        <f t="shared" si="1"/>
      </c>
      <c r="K39" s="13">
        <f t="shared" si="2"/>
      </c>
      <c r="L39" s="505"/>
      <c r="M39" s="506">
        <f t="shared" si="3"/>
      </c>
      <c r="N39" s="507" t="str">
        <f t="shared" si="4"/>
        <v>--</v>
      </c>
      <c r="O39" s="508" t="str">
        <f t="shared" si="5"/>
        <v>--</v>
      </c>
      <c r="P39" s="509" t="str">
        <f t="shared" si="6"/>
        <v>--</v>
      </c>
      <c r="Q39" s="510" t="str">
        <f t="shared" si="7"/>
        <v>--</v>
      </c>
      <c r="R39" s="511" t="str">
        <f t="shared" si="8"/>
        <v>--</v>
      </c>
      <c r="S39" s="512" t="str">
        <f t="shared" si="9"/>
        <v>--</v>
      </c>
      <c r="T39" s="513" t="str">
        <f t="shared" si="10"/>
        <v>--</v>
      </c>
      <c r="U39" s="514" t="str">
        <f t="shared" si="11"/>
        <v>--</v>
      </c>
      <c r="V39" s="515" t="str">
        <f t="shared" si="12"/>
        <v>--</v>
      </c>
      <c r="W39" s="516" t="str">
        <f t="shared" si="13"/>
        <v>--</v>
      </c>
      <c r="X39" s="517">
        <f t="shared" si="14"/>
      </c>
      <c r="Y39" s="52">
        <f t="shared" si="15"/>
      </c>
      <c r="Z39" s="3"/>
    </row>
    <row r="40" spans="1:26" ht="16.5" customHeight="1" thickBot="1">
      <c r="A40" s="1"/>
      <c r="B40" s="2"/>
      <c r="C40" s="500"/>
      <c r="D40" s="501"/>
      <c r="E40" s="502"/>
      <c r="F40" s="503"/>
      <c r="G40" s="263"/>
      <c r="H40" s="503"/>
      <c r="I40" s="503"/>
      <c r="J40" s="14"/>
      <c r="K40" s="14"/>
      <c r="L40" s="503"/>
      <c r="M40" s="518"/>
      <c r="N40" s="519"/>
      <c r="O40" s="520"/>
      <c r="P40" s="521"/>
      <c r="Q40" s="522"/>
      <c r="R40" s="523"/>
      <c r="S40" s="524"/>
      <c r="T40" s="525"/>
      <c r="U40" s="526"/>
      <c r="V40" s="527"/>
      <c r="W40" s="528"/>
      <c r="X40" s="529"/>
      <c r="Y40" s="54"/>
      <c r="Z40" s="3"/>
    </row>
    <row r="41" spans="1:28" ht="16.5" customHeight="1" thickBot="1" thickTop="1">
      <c r="A41" s="1"/>
      <c r="B41" s="2"/>
      <c r="C41" s="234" t="s">
        <v>68</v>
      </c>
      <c r="D41" s="235" t="s">
        <v>156</v>
      </c>
      <c r="E41" s="15"/>
      <c r="F41" s="16"/>
      <c r="G41" s="55"/>
      <c r="H41" s="55"/>
      <c r="I41" s="55"/>
      <c r="J41" s="55"/>
      <c r="K41" s="55"/>
      <c r="L41" s="55"/>
      <c r="M41" s="56"/>
      <c r="N41" s="321">
        <f aca="true" t="shared" si="16" ref="N41:W41">ROUND(SUM(N18:N40),2)</f>
        <v>0</v>
      </c>
      <c r="O41" s="322">
        <f t="shared" si="16"/>
        <v>0</v>
      </c>
      <c r="P41" s="323">
        <f t="shared" si="16"/>
        <v>12258.1</v>
      </c>
      <c r="Q41" s="323">
        <f t="shared" si="16"/>
        <v>23372.11</v>
      </c>
      <c r="R41" s="324">
        <f t="shared" si="16"/>
        <v>416.78</v>
      </c>
      <c r="S41" s="325">
        <f t="shared" si="16"/>
        <v>0</v>
      </c>
      <c r="T41" s="325">
        <f t="shared" si="16"/>
        <v>0</v>
      </c>
      <c r="U41" s="326">
        <f t="shared" si="16"/>
        <v>0</v>
      </c>
      <c r="V41" s="327">
        <f t="shared" si="16"/>
        <v>0</v>
      </c>
      <c r="W41" s="328">
        <f t="shared" si="16"/>
        <v>0</v>
      </c>
      <c r="X41" s="57"/>
      <c r="Y41" s="233">
        <f>ROUND(SUM(Y18:Y40),2)</f>
        <v>36046.99</v>
      </c>
      <c r="Z41" s="58"/>
      <c r="AB41" s="584"/>
    </row>
    <row r="42" spans="1:26" s="249" customFormat="1" ht="9.75" thickTop="1">
      <c r="A42" s="238"/>
      <c r="B42" s="239"/>
      <c r="C42" s="236"/>
      <c r="D42" s="237"/>
      <c r="E42" s="240"/>
      <c r="F42" s="241"/>
      <c r="G42" s="242"/>
      <c r="H42" s="242"/>
      <c r="I42" s="242"/>
      <c r="J42" s="242"/>
      <c r="K42" s="242"/>
      <c r="L42" s="242"/>
      <c r="M42" s="243"/>
      <c r="N42" s="244"/>
      <c r="O42" s="244"/>
      <c r="P42" s="245"/>
      <c r="Q42" s="245"/>
      <c r="R42" s="246"/>
      <c r="S42" s="246"/>
      <c r="T42" s="246"/>
      <c r="U42" s="246"/>
      <c r="V42" s="246"/>
      <c r="W42" s="246"/>
      <c r="X42" s="246"/>
      <c r="Y42" s="247"/>
      <c r="Z42" s="248"/>
    </row>
    <row r="43" spans="1:26" s="10" customFormat="1" ht="16.5" customHeight="1" thickBot="1">
      <c r="A43" s="8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</row>
    <row r="44" spans="1:26" ht="13.5" thickTop="1">
      <c r="A44" s="1"/>
      <c r="B44" s="1"/>
      <c r="Z44" s="1"/>
    </row>
    <row r="89" spans="1:2" ht="12.75">
      <c r="A89" s="1"/>
      <c r="B89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Roman,Cursiva"&amp;7&amp;Z&amp;F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zoomScale="75" zoomScaleNormal="75" zoomScalePageLayoutView="0" workbookViewId="0" topLeftCell="B13">
      <selection activeCell="G20" sqref="G2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12.7109375" style="0" hidden="1" customWidth="1"/>
    <col min="8" max="9" width="15.7109375" style="0" customWidth="1"/>
    <col min="10" max="12" width="9.7109375" style="0" customWidth="1"/>
    <col min="13" max="13" width="14.140625" style="0" customWidth="1"/>
    <col min="14" max="23" width="14.140625" style="0" hidden="1" customWidth="1"/>
    <col min="24" max="24" width="14.140625" style="0" customWidth="1"/>
    <col min="25" max="26" width="15.7109375" style="0" customWidth="1"/>
  </cols>
  <sheetData>
    <row r="1" s="105" customFormat="1" ht="26.25">
      <c r="Z1" s="399"/>
    </row>
    <row r="2" spans="2:26" s="105" customFormat="1" ht="26.25">
      <c r="B2" s="106" t="str">
        <f>+'TOT-0803'!B2</f>
        <v>ANEXO III al Memorándum D.T.E.E.   N°       587  /2013.-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="10" customFormat="1" ht="12.75"/>
    <row r="4" spans="1:2" s="108" customFormat="1" ht="11.25">
      <c r="A4" s="124" t="s">
        <v>25</v>
      </c>
      <c r="B4" s="124"/>
    </row>
    <row r="5" spans="1:2" s="108" customFormat="1" ht="11.25">
      <c r="A5" s="124" t="s">
        <v>26</v>
      </c>
      <c r="B5" s="124"/>
    </row>
    <row r="6" s="10" customFormat="1" ht="13.5" thickBot="1"/>
    <row r="7" spans="1:26" s="10" customFormat="1" ht="13.5" thickTop="1">
      <c r="A7" s="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s="110" customFormat="1" ht="20.25">
      <c r="A8" s="43"/>
      <c r="B8" s="109"/>
      <c r="C8" s="43"/>
      <c r="D8" s="20" t="s">
        <v>46</v>
      </c>
      <c r="E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11"/>
    </row>
    <row r="9" spans="1:26" s="10" customFormat="1" ht="12.75">
      <c r="A9" s="8"/>
      <c r="B9" s="42"/>
      <c r="C9" s="8"/>
      <c r="D9" s="122"/>
      <c r="E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</row>
    <row r="10" spans="1:26" s="110" customFormat="1" ht="20.25">
      <c r="A10" s="43"/>
      <c r="B10" s="109"/>
      <c r="C10" s="43"/>
      <c r="D10" s="20" t="s">
        <v>148</v>
      </c>
      <c r="E10" s="20"/>
      <c r="F10" s="43"/>
      <c r="G10" s="112"/>
      <c r="H10" s="112"/>
      <c r="I10" s="112"/>
      <c r="J10" s="112"/>
      <c r="K10" s="112"/>
      <c r="L10" s="112"/>
      <c r="M10" s="11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111"/>
    </row>
    <row r="11" spans="1:26" s="10" customFormat="1" ht="12.75">
      <c r="A11" s="8"/>
      <c r="B11" s="42"/>
      <c r="C11" s="8"/>
      <c r="D11" s="121"/>
      <c r="E11" s="119"/>
      <c r="F11" s="8"/>
      <c r="G11" s="118"/>
      <c r="H11" s="118"/>
      <c r="I11" s="118"/>
      <c r="J11" s="118"/>
      <c r="K11" s="118"/>
      <c r="L11" s="118"/>
      <c r="M11" s="1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s="117" customFormat="1" ht="19.5">
      <c r="A12" s="44"/>
      <c r="B12" s="83" t="str">
        <f>+'TOT-0803'!B14</f>
        <v>Desde el 01 al 31 de marzo de 2008</v>
      </c>
      <c r="C12" s="113"/>
      <c r="D12" s="113"/>
      <c r="E12" s="114"/>
      <c r="F12" s="114"/>
      <c r="G12" s="115"/>
      <c r="H12" s="115"/>
      <c r="I12" s="115"/>
      <c r="J12" s="115"/>
      <c r="K12" s="115"/>
      <c r="L12" s="115"/>
      <c r="M12" s="115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6"/>
    </row>
    <row r="13" spans="1:26" s="10" customFormat="1" ht="13.5" thickBot="1">
      <c r="A13" s="8"/>
      <c r="B13" s="42"/>
      <c r="C13" s="8"/>
      <c r="D13" s="8"/>
      <c r="E13" s="119"/>
      <c r="F13" s="120"/>
      <c r="G13" s="118"/>
      <c r="H13" s="118"/>
      <c r="I13" s="118"/>
      <c r="J13" s="118"/>
      <c r="K13" s="118"/>
      <c r="L13" s="118"/>
      <c r="M13" s="1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/>
    </row>
    <row r="14" spans="1:26" s="91" customFormat="1" ht="16.5" customHeight="1" thickBot="1" thickTop="1">
      <c r="A14" s="87"/>
      <c r="B14" s="88"/>
      <c r="C14" s="87"/>
      <c r="D14" s="494" t="s">
        <v>47</v>
      </c>
      <c r="E14" s="495">
        <v>68.199</v>
      </c>
      <c r="F14" s="231"/>
      <c r="G14" s="92"/>
      <c r="H14" s="92"/>
      <c r="I14" s="92"/>
      <c r="J14" s="92"/>
      <c r="K14" s="92"/>
      <c r="L14" s="92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90"/>
    </row>
    <row r="15" spans="1:26" s="91" customFormat="1" ht="16.5" customHeight="1" thickBot="1" thickTop="1">
      <c r="A15" s="87"/>
      <c r="B15" s="88"/>
      <c r="C15" s="87"/>
      <c r="D15" s="494" t="s">
        <v>48</v>
      </c>
      <c r="E15" s="495">
        <v>65.168</v>
      </c>
      <c r="F15" s="232"/>
      <c r="G15" s="87"/>
      <c r="I15" s="93" t="s">
        <v>49</v>
      </c>
      <c r="J15" s="94">
        <f>30*'TOT-0803'!B13</f>
        <v>30</v>
      </c>
      <c r="K15" s="228" t="str">
        <f>IF(J15=30," ",IF(J15=60,"Coeficiente duplicado por tasa de falla &gt;4 Sal. x año/100 km.","REVISAR COEFICIENTE"))</f>
        <v> 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90"/>
    </row>
    <row r="16" spans="1:26" s="10" customFormat="1" ht="14.25" thickBot="1" thickTop="1">
      <c r="A16" s="8"/>
      <c r="B16" s="42"/>
      <c r="C16" s="8"/>
      <c r="D16" s="8"/>
      <c r="E16" s="8"/>
      <c r="F16" s="8"/>
      <c r="G16" s="8"/>
      <c r="H16" s="12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</row>
    <row r="17" spans="1:26" s="104" customFormat="1" ht="33.75" customHeight="1" thickBot="1" thickTop="1">
      <c r="A17" s="95"/>
      <c r="B17" s="96"/>
      <c r="C17" s="97" t="s">
        <v>50</v>
      </c>
      <c r="D17" s="98" t="s">
        <v>28</v>
      </c>
      <c r="E17" s="99" t="s">
        <v>51</v>
      </c>
      <c r="F17" s="100" t="s">
        <v>52</v>
      </c>
      <c r="G17" s="259" t="s">
        <v>53</v>
      </c>
      <c r="H17" s="98" t="s">
        <v>54</v>
      </c>
      <c r="I17" s="98" t="s">
        <v>55</v>
      </c>
      <c r="J17" s="99" t="s">
        <v>56</v>
      </c>
      <c r="K17" s="99" t="s">
        <v>57</v>
      </c>
      <c r="L17" s="101" t="s">
        <v>58</v>
      </c>
      <c r="M17" s="99" t="s">
        <v>59</v>
      </c>
      <c r="N17" s="288" t="s">
        <v>60</v>
      </c>
      <c r="O17" s="291" t="s">
        <v>61</v>
      </c>
      <c r="P17" s="294" t="s">
        <v>62</v>
      </c>
      <c r="Q17" s="295"/>
      <c r="R17" s="296"/>
      <c r="S17" s="305" t="s">
        <v>63</v>
      </c>
      <c r="T17" s="306"/>
      <c r="U17" s="307"/>
      <c r="V17" s="315" t="s">
        <v>64</v>
      </c>
      <c r="W17" s="318" t="s">
        <v>65</v>
      </c>
      <c r="X17" s="102" t="s">
        <v>66</v>
      </c>
      <c r="Y17" s="102" t="s">
        <v>67</v>
      </c>
      <c r="Z17" s="103"/>
    </row>
    <row r="18" spans="1:26" ht="16.5" customHeight="1" thickTop="1">
      <c r="A18" s="1"/>
      <c r="B18" s="2"/>
      <c r="C18" s="48"/>
      <c r="D18" s="49"/>
      <c r="E18" s="50"/>
      <c r="F18" s="50"/>
      <c r="G18" s="260"/>
      <c r="H18" s="50"/>
      <c r="I18" s="51"/>
      <c r="J18" s="51"/>
      <c r="K18" s="51"/>
      <c r="L18" s="49"/>
      <c r="M18" s="50"/>
      <c r="N18" s="289"/>
      <c r="O18" s="292"/>
      <c r="P18" s="297"/>
      <c r="Q18" s="298"/>
      <c r="R18" s="299"/>
      <c r="S18" s="308"/>
      <c r="T18" s="309"/>
      <c r="U18" s="310"/>
      <c r="V18" s="316"/>
      <c r="W18" s="319"/>
      <c r="X18" s="303"/>
      <c r="Y18" s="51"/>
      <c r="Z18" s="3"/>
    </row>
    <row r="19" spans="1:26" ht="16.5" customHeight="1">
      <c r="A19" s="1"/>
      <c r="B19" s="2"/>
      <c r="C19" s="48"/>
      <c r="D19" s="48"/>
      <c r="E19" s="85"/>
      <c r="F19" s="85"/>
      <c r="G19" s="261"/>
      <c r="H19" s="48"/>
      <c r="I19" s="86"/>
      <c r="J19" s="86"/>
      <c r="K19" s="86"/>
      <c r="L19" s="84"/>
      <c r="M19" s="48"/>
      <c r="N19" s="290"/>
      <c r="O19" s="293"/>
      <c r="P19" s="300"/>
      <c r="Q19" s="301"/>
      <c r="R19" s="302"/>
      <c r="S19" s="311"/>
      <c r="T19" s="312"/>
      <c r="U19" s="313"/>
      <c r="V19" s="317"/>
      <c r="W19" s="320"/>
      <c r="X19" s="304"/>
      <c r="Y19" s="86"/>
      <c r="Z19" s="3"/>
    </row>
    <row r="20" spans="1:28" ht="16.5" customHeight="1">
      <c r="A20" s="1"/>
      <c r="B20" s="2"/>
      <c r="C20" s="496">
        <v>9</v>
      </c>
      <c r="D20" s="497" t="s">
        <v>127</v>
      </c>
      <c r="E20" s="498">
        <v>132</v>
      </c>
      <c r="F20" s="499">
        <v>33.6</v>
      </c>
      <c r="G20" s="262">
        <f aca="true" t="shared" si="0" ref="G20:G39">IF(F20&gt;25,F20,25)*IF(E20=330,$E$14,$E$15)/100</f>
        <v>21.896448000000007</v>
      </c>
      <c r="H20" s="504">
        <v>39513.302777777775</v>
      </c>
      <c r="I20" s="504">
        <v>39513.84444444445</v>
      </c>
      <c r="J20" s="12">
        <f aca="true" t="shared" si="1" ref="J20:J39">IF(D20="","",(I20-H20)*24)</f>
        <v>13.000000000116415</v>
      </c>
      <c r="K20" s="13">
        <f aca="true" t="shared" si="2" ref="K20:K39">IF(D20="","",ROUND((I20-H20)*24*60,0))</f>
        <v>780</v>
      </c>
      <c r="L20" s="505" t="s">
        <v>150</v>
      </c>
      <c r="M20" s="506" t="str">
        <f aca="true" t="shared" si="3" ref="M20:M39">IF(D20="","","--")</f>
        <v>--</v>
      </c>
      <c r="N20" s="507">
        <f aca="true" t="shared" si="4" ref="N20:N39">IF(L20="P",ROUND(K20/60,2)*G20*$J$15*0.01,"--")</f>
        <v>85.39614720000003</v>
      </c>
      <c r="O20" s="508" t="str">
        <f aca="true" t="shared" si="5" ref="O20:O39">IF(L20="RP",ROUND(K20/60,2)*G20*$J$15*0.01*M20/100,"--")</f>
        <v>--</v>
      </c>
      <c r="P20" s="509" t="str">
        <f aca="true" t="shared" si="6" ref="P20:P39">IF(L20="F",G20*$J$15,"--")</f>
        <v>--</v>
      </c>
      <c r="Q20" s="510" t="str">
        <f aca="true" t="shared" si="7" ref="Q20:Q39">IF(AND(K20&gt;10,L20="F"),G20*$J$15*IF(K20&gt;180,3,ROUND(K20/60,2)),"--")</f>
        <v>--</v>
      </c>
      <c r="R20" s="511" t="str">
        <f aca="true" t="shared" si="8" ref="R20:R39">IF(AND(K20&gt;180,L20="F"),(ROUND(K20/60,2)-3)*G20*$J$15*0.1,"--")</f>
        <v>--</v>
      </c>
      <c r="S20" s="512" t="str">
        <f aca="true" t="shared" si="9" ref="S20:S39">IF(L20="R",G20*$J$15*M20/100,"--")</f>
        <v>--</v>
      </c>
      <c r="T20" s="513" t="str">
        <f aca="true" t="shared" si="10" ref="T20:T39">IF(AND(K20&gt;10,L20="R"),G20*$J$15*M20/100*IF(K20&gt;180,3,ROUND(K20/60,2)),"--")</f>
        <v>--</v>
      </c>
      <c r="U20" s="514" t="str">
        <f aca="true" t="shared" si="11" ref="U20:U39">IF(AND(K20&gt;180,L20="R"),(ROUND(K20/60,2)-3)*M20/100*G20*$J$15*0.1,"--")</f>
        <v>--</v>
      </c>
      <c r="V20" s="515" t="str">
        <f aca="true" t="shared" si="12" ref="V20:V39">IF(L20="RF",ROUND(K20/60,2)*G20*$J$15*0.1,"--")</f>
        <v>--</v>
      </c>
      <c r="W20" s="516" t="str">
        <f aca="true" t="shared" si="13" ref="W20:W39">IF(L20="RR",ROUND(K20/60,2)*M20/100*G20*$J$15*0.1,"--")</f>
        <v>--</v>
      </c>
      <c r="X20" s="517" t="str">
        <f aca="true" t="shared" si="14" ref="X20:X39">IF(D20="","","SI")</f>
        <v>SI</v>
      </c>
      <c r="Y20" s="52">
        <f aca="true" t="shared" si="15" ref="Y20:Y39">IF(D20="","",SUM(N20:W20)*IF(X20="SI",1,2))</f>
        <v>85.39614720000003</v>
      </c>
      <c r="Z20" s="3"/>
      <c r="AB20" s="584"/>
    </row>
    <row r="21" spans="1:28" ht="16.5" customHeight="1">
      <c r="A21" s="1"/>
      <c r="B21" s="2"/>
      <c r="C21" s="496">
        <v>10</v>
      </c>
      <c r="D21" s="497" t="s">
        <v>127</v>
      </c>
      <c r="E21" s="498">
        <v>132</v>
      </c>
      <c r="F21" s="499">
        <v>33.6</v>
      </c>
      <c r="G21" s="262">
        <f t="shared" si="0"/>
        <v>21.896448000000007</v>
      </c>
      <c r="H21" s="504">
        <v>39515.447916666664</v>
      </c>
      <c r="I21" s="504">
        <v>39515.52777777778</v>
      </c>
      <c r="J21" s="12">
        <f t="shared" si="1"/>
        <v>1.9166666668024845</v>
      </c>
      <c r="K21" s="13">
        <f t="shared" si="2"/>
        <v>115</v>
      </c>
      <c r="L21" s="505" t="s">
        <v>135</v>
      </c>
      <c r="M21" s="506" t="str">
        <f t="shared" si="3"/>
        <v>--</v>
      </c>
      <c r="N21" s="507" t="str">
        <f t="shared" si="4"/>
        <v>--</v>
      </c>
      <c r="O21" s="508" t="str">
        <f t="shared" si="5"/>
        <v>--</v>
      </c>
      <c r="P21" s="509">
        <f t="shared" si="6"/>
        <v>656.8934400000002</v>
      </c>
      <c r="Q21" s="510">
        <f t="shared" si="7"/>
        <v>1261.2354048000002</v>
      </c>
      <c r="R21" s="511" t="str">
        <f t="shared" si="8"/>
        <v>--</v>
      </c>
      <c r="S21" s="512" t="str">
        <f t="shared" si="9"/>
        <v>--</v>
      </c>
      <c r="T21" s="513" t="str">
        <f t="shared" si="10"/>
        <v>--</v>
      </c>
      <c r="U21" s="514" t="str">
        <f t="shared" si="11"/>
        <v>--</v>
      </c>
      <c r="V21" s="515" t="str">
        <f t="shared" si="12"/>
        <v>--</v>
      </c>
      <c r="W21" s="516" t="str">
        <f t="shared" si="13"/>
        <v>--</v>
      </c>
      <c r="X21" s="517" t="str">
        <f t="shared" si="14"/>
        <v>SI</v>
      </c>
      <c r="Y21" s="52">
        <f t="shared" si="15"/>
        <v>1918.1288448000005</v>
      </c>
      <c r="Z21" s="3"/>
      <c r="AB21" s="584"/>
    </row>
    <row r="22" spans="1:26" ht="16.5" customHeight="1">
      <c r="A22" s="1"/>
      <c r="B22" s="2"/>
      <c r="C22" s="496"/>
      <c r="D22" s="497"/>
      <c r="E22" s="498"/>
      <c r="F22" s="499"/>
      <c r="G22" s="262">
        <f t="shared" si="0"/>
        <v>16.292</v>
      </c>
      <c r="H22" s="504"/>
      <c r="I22" s="504"/>
      <c r="J22" s="12">
        <f t="shared" si="1"/>
      </c>
      <c r="K22" s="13">
        <f t="shared" si="2"/>
      </c>
      <c r="L22" s="505"/>
      <c r="M22" s="506">
        <f t="shared" si="3"/>
      </c>
      <c r="N22" s="507" t="str">
        <f t="shared" si="4"/>
        <v>--</v>
      </c>
      <c r="O22" s="508" t="str">
        <f t="shared" si="5"/>
        <v>--</v>
      </c>
      <c r="P22" s="509" t="str">
        <f t="shared" si="6"/>
        <v>--</v>
      </c>
      <c r="Q22" s="510" t="str">
        <f t="shared" si="7"/>
        <v>--</v>
      </c>
      <c r="R22" s="511" t="str">
        <f t="shared" si="8"/>
        <v>--</v>
      </c>
      <c r="S22" s="512" t="str">
        <f t="shared" si="9"/>
        <v>--</v>
      </c>
      <c r="T22" s="513" t="str">
        <f t="shared" si="10"/>
        <v>--</v>
      </c>
      <c r="U22" s="514" t="str">
        <f t="shared" si="11"/>
        <v>--</v>
      </c>
      <c r="V22" s="515" t="str">
        <f t="shared" si="12"/>
        <v>--</v>
      </c>
      <c r="W22" s="516" t="str">
        <f t="shared" si="13"/>
        <v>--</v>
      </c>
      <c r="X22" s="517">
        <f t="shared" si="14"/>
      </c>
      <c r="Y22" s="52">
        <f t="shared" si="15"/>
      </c>
      <c r="Z22" s="3"/>
    </row>
    <row r="23" spans="1:26" ht="16.5" customHeight="1">
      <c r="A23" s="1"/>
      <c r="B23" s="2"/>
      <c r="C23" s="496"/>
      <c r="D23" s="497"/>
      <c r="E23" s="498"/>
      <c r="F23" s="499"/>
      <c r="G23" s="262">
        <f t="shared" si="0"/>
        <v>16.292</v>
      </c>
      <c r="H23" s="504"/>
      <c r="I23" s="504"/>
      <c r="J23" s="12">
        <f t="shared" si="1"/>
      </c>
      <c r="K23" s="13">
        <f t="shared" si="2"/>
      </c>
      <c r="L23" s="505"/>
      <c r="M23" s="506">
        <f t="shared" si="3"/>
      </c>
      <c r="N23" s="507" t="str">
        <f t="shared" si="4"/>
        <v>--</v>
      </c>
      <c r="O23" s="508" t="str">
        <f t="shared" si="5"/>
        <v>--</v>
      </c>
      <c r="P23" s="509" t="str">
        <f t="shared" si="6"/>
        <v>--</v>
      </c>
      <c r="Q23" s="510" t="str">
        <f t="shared" si="7"/>
        <v>--</v>
      </c>
      <c r="R23" s="511" t="str">
        <f t="shared" si="8"/>
        <v>--</v>
      </c>
      <c r="S23" s="512" t="str">
        <f t="shared" si="9"/>
        <v>--</v>
      </c>
      <c r="T23" s="513" t="str">
        <f t="shared" si="10"/>
        <v>--</v>
      </c>
      <c r="U23" s="514" t="str">
        <f t="shared" si="11"/>
        <v>--</v>
      </c>
      <c r="V23" s="515" t="str">
        <f t="shared" si="12"/>
        <v>--</v>
      </c>
      <c r="W23" s="516" t="str">
        <f t="shared" si="13"/>
        <v>--</v>
      </c>
      <c r="X23" s="517">
        <f t="shared" si="14"/>
      </c>
      <c r="Y23" s="52">
        <f t="shared" si="15"/>
      </c>
      <c r="Z23" s="3"/>
    </row>
    <row r="24" spans="1:26" ht="16.5" customHeight="1">
      <c r="A24" s="1"/>
      <c r="B24" s="2"/>
      <c r="C24" s="496"/>
      <c r="D24" s="497"/>
      <c r="E24" s="498"/>
      <c r="F24" s="499"/>
      <c r="G24" s="262">
        <f t="shared" si="0"/>
        <v>16.292</v>
      </c>
      <c r="H24" s="504"/>
      <c r="I24" s="504"/>
      <c r="J24" s="12">
        <f t="shared" si="1"/>
      </c>
      <c r="K24" s="13">
        <f t="shared" si="2"/>
      </c>
      <c r="L24" s="505"/>
      <c r="M24" s="506">
        <f t="shared" si="3"/>
      </c>
      <c r="N24" s="507" t="str">
        <f t="shared" si="4"/>
        <v>--</v>
      </c>
      <c r="O24" s="508" t="str">
        <f t="shared" si="5"/>
        <v>--</v>
      </c>
      <c r="P24" s="509" t="str">
        <f t="shared" si="6"/>
        <v>--</v>
      </c>
      <c r="Q24" s="510" t="str">
        <f t="shared" si="7"/>
        <v>--</v>
      </c>
      <c r="R24" s="511" t="str">
        <f t="shared" si="8"/>
        <v>--</v>
      </c>
      <c r="S24" s="512" t="str">
        <f t="shared" si="9"/>
        <v>--</v>
      </c>
      <c r="T24" s="513" t="str">
        <f t="shared" si="10"/>
        <v>--</v>
      </c>
      <c r="U24" s="514" t="str">
        <f t="shared" si="11"/>
        <v>--</v>
      </c>
      <c r="V24" s="515" t="str">
        <f t="shared" si="12"/>
        <v>--</v>
      </c>
      <c r="W24" s="516" t="str">
        <f t="shared" si="13"/>
        <v>--</v>
      </c>
      <c r="X24" s="517">
        <f t="shared" si="14"/>
      </c>
      <c r="Y24" s="52">
        <f t="shared" si="15"/>
      </c>
      <c r="Z24" s="3"/>
    </row>
    <row r="25" spans="1:26" ht="16.5" customHeight="1">
      <c r="A25" s="1"/>
      <c r="B25" s="2"/>
      <c r="C25" s="496"/>
      <c r="D25" s="497"/>
      <c r="E25" s="498"/>
      <c r="F25" s="499"/>
      <c r="G25" s="262">
        <f t="shared" si="0"/>
        <v>16.292</v>
      </c>
      <c r="H25" s="504"/>
      <c r="I25" s="504"/>
      <c r="J25" s="12">
        <f t="shared" si="1"/>
      </c>
      <c r="K25" s="13">
        <f t="shared" si="2"/>
      </c>
      <c r="L25" s="505"/>
      <c r="M25" s="506">
        <f t="shared" si="3"/>
      </c>
      <c r="N25" s="507" t="str">
        <f t="shared" si="4"/>
        <v>--</v>
      </c>
      <c r="O25" s="508" t="str">
        <f t="shared" si="5"/>
        <v>--</v>
      </c>
      <c r="P25" s="509" t="str">
        <f t="shared" si="6"/>
        <v>--</v>
      </c>
      <c r="Q25" s="510" t="str">
        <f t="shared" si="7"/>
        <v>--</v>
      </c>
      <c r="R25" s="511" t="str">
        <f t="shared" si="8"/>
        <v>--</v>
      </c>
      <c r="S25" s="512" t="str">
        <f t="shared" si="9"/>
        <v>--</v>
      </c>
      <c r="T25" s="513" t="str">
        <f t="shared" si="10"/>
        <v>--</v>
      </c>
      <c r="U25" s="514" t="str">
        <f t="shared" si="11"/>
        <v>--</v>
      </c>
      <c r="V25" s="515" t="str">
        <f t="shared" si="12"/>
        <v>--</v>
      </c>
      <c r="W25" s="516" t="str">
        <f t="shared" si="13"/>
        <v>--</v>
      </c>
      <c r="X25" s="517">
        <f t="shared" si="14"/>
      </c>
      <c r="Y25" s="52">
        <f t="shared" si="15"/>
      </c>
      <c r="Z25" s="3"/>
    </row>
    <row r="26" spans="1:26" ht="16.5" customHeight="1">
      <c r="A26" s="1"/>
      <c r="B26" s="2"/>
      <c r="C26" s="496"/>
      <c r="D26" s="497"/>
      <c r="E26" s="498"/>
      <c r="F26" s="499"/>
      <c r="G26" s="262">
        <f t="shared" si="0"/>
        <v>16.292</v>
      </c>
      <c r="H26" s="504"/>
      <c r="I26" s="504"/>
      <c r="J26" s="12">
        <f t="shared" si="1"/>
      </c>
      <c r="K26" s="13">
        <f t="shared" si="2"/>
      </c>
      <c r="L26" s="505"/>
      <c r="M26" s="506">
        <f t="shared" si="3"/>
      </c>
      <c r="N26" s="507" t="str">
        <f t="shared" si="4"/>
        <v>--</v>
      </c>
      <c r="O26" s="508" t="str">
        <f t="shared" si="5"/>
        <v>--</v>
      </c>
      <c r="P26" s="509" t="str">
        <f t="shared" si="6"/>
        <v>--</v>
      </c>
      <c r="Q26" s="510" t="str">
        <f t="shared" si="7"/>
        <v>--</v>
      </c>
      <c r="R26" s="511" t="str">
        <f t="shared" si="8"/>
        <v>--</v>
      </c>
      <c r="S26" s="512" t="str">
        <f t="shared" si="9"/>
        <v>--</v>
      </c>
      <c r="T26" s="513" t="str">
        <f t="shared" si="10"/>
        <v>--</v>
      </c>
      <c r="U26" s="514" t="str">
        <f t="shared" si="11"/>
        <v>--</v>
      </c>
      <c r="V26" s="515" t="str">
        <f t="shared" si="12"/>
        <v>--</v>
      </c>
      <c r="W26" s="516" t="str">
        <f t="shared" si="13"/>
        <v>--</v>
      </c>
      <c r="X26" s="517">
        <f t="shared" si="14"/>
      </c>
      <c r="Y26" s="52">
        <f t="shared" si="15"/>
      </c>
      <c r="Z26" s="3"/>
    </row>
    <row r="27" spans="1:26" ht="16.5" customHeight="1">
      <c r="A27" s="1"/>
      <c r="B27" s="2"/>
      <c r="C27" s="496"/>
      <c r="D27" s="497"/>
      <c r="E27" s="498"/>
      <c r="F27" s="499"/>
      <c r="G27" s="262">
        <f t="shared" si="0"/>
        <v>16.292</v>
      </c>
      <c r="H27" s="504"/>
      <c r="I27" s="504"/>
      <c r="J27" s="12">
        <f t="shared" si="1"/>
      </c>
      <c r="K27" s="13">
        <f t="shared" si="2"/>
      </c>
      <c r="L27" s="505"/>
      <c r="M27" s="506">
        <f t="shared" si="3"/>
      </c>
      <c r="N27" s="507" t="str">
        <f t="shared" si="4"/>
        <v>--</v>
      </c>
      <c r="O27" s="508" t="str">
        <f t="shared" si="5"/>
        <v>--</v>
      </c>
      <c r="P27" s="509" t="str">
        <f t="shared" si="6"/>
        <v>--</v>
      </c>
      <c r="Q27" s="510" t="str">
        <f t="shared" si="7"/>
        <v>--</v>
      </c>
      <c r="R27" s="511" t="str">
        <f t="shared" si="8"/>
        <v>--</v>
      </c>
      <c r="S27" s="512" t="str">
        <f t="shared" si="9"/>
        <v>--</v>
      </c>
      <c r="T27" s="513" t="str">
        <f t="shared" si="10"/>
        <v>--</v>
      </c>
      <c r="U27" s="514" t="str">
        <f t="shared" si="11"/>
        <v>--</v>
      </c>
      <c r="V27" s="515" t="str">
        <f t="shared" si="12"/>
        <v>--</v>
      </c>
      <c r="W27" s="516" t="str">
        <f t="shared" si="13"/>
        <v>--</v>
      </c>
      <c r="X27" s="517">
        <f t="shared" si="14"/>
      </c>
      <c r="Y27" s="52">
        <f t="shared" si="15"/>
      </c>
      <c r="Z27" s="3"/>
    </row>
    <row r="28" spans="1:26" ht="16.5" customHeight="1">
      <c r="A28" s="1"/>
      <c r="B28" s="2"/>
      <c r="C28" s="496"/>
      <c r="D28" s="497"/>
      <c r="E28" s="498"/>
      <c r="F28" s="499"/>
      <c r="G28" s="262">
        <f t="shared" si="0"/>
        <v>16.292</v>
      </c>
      <c r="H28" s="504"/>
      <c r="I28" s="504"/>
      <c r="J28" s="12">
        <f t="shared" si="1"/>
      </c>
      <c r="K28" s="13">
        <f t="shared" si="2"/>
      </c>
      <c r="L28" s="505"/>
      <c r="M28" s="506">
        <f t="shared" si="3"/>
      </c>
      <c r="N28" s="507" t="str">
        <f t="shared" si="4"/>
        <v>--</v>
      </c>
      <c r="O28" s="508" t="str">
        <f t="shared" si="5"/>
        <v>--</v>
      </c>
      <c r="P28" s="509" t="str">
        <f t="shared" si="6"/>
        <v>--</v>
      </c>
      <c r="Q28" s="510" t="str">
        <f t="shared" si="7"/>
        <v>--</v>
      </c>
      <c r="R28" s="511" t="str">
        <f t="shared" si="8"/>
        <v>--</v>
      </c>
      <c r="S28" s="512" t="str">
        <f t="shared" si="9"/>
        <v>--</v>
      </c>
      <c r="T28" s="513" t="str">
        <f t="shared" si="10"/>
        <v>--</v>
      </c>
      <c r="U28" s="514" t="str">
        <f t="shared" si="11"/>
        <v>--</v>
      </c>
      <c r="V28" s="515" t="str">
        <f t="shared" si="12"/>
        <v>--</v>
      </c>
      <c r="W28" s="516" t="str">
        <f t="shared" si="13"/>
        <v>--</v>
      </c>
      <c r="X28" s="517">
        <f t="shared" si="14"/>
      </c>
      <c r="Y28" s="52">
        <f t="shared" si="15"/>
      </c>
      <c r="Z28" s="3"/>
    </row>
    <row r="29" spans="1:26" ht="16.5" customHeight="1">
      <c r="A29" s="1"/>
      <c r="B29" s="2"/>
      <c r="C29" s="496"/>
      <c r="D29" s="497"/>
      <c r="E29" s="498"/>
      <c r="F29" s="499"/>
      <c r="G29" s="262">
        <f t="shared" si="0"/>
        <v>16.292</v>
      </c>
      <c r="H29" s="504"/>
      <c r="I29" s="504"/>
      <c r="J29" s="12">
        <f t="shared" si="1"/>
      </c>
      <c r="K29" s="13">
        <f t="shared" si="2"/>
      </c>
      <c r="L29" s="505"/>
      <c r="M29" s="506">
        <f t="shared" si="3"/>
      </c>
      <c r="N29" s="507" t="str">
        <f t="shared" si="4"/>
        <v>--</v>
      </c>
      <c r="O29" s="508" t="str">
        <f t="shared" si="5"/>
        <v>--</v>
      </c>
      <c r="P29" s="509" t="str">
        <f t="shared" si="6"/>
        <v>--</v>
      </c>
      <c r="Q29" s="510" t="str">
        <f t="shared" si="7"/>
        <v>--</v>
      </c>
      <c r="R29" s="511" t="str">
        <f t="shared" si="8"/>
        <v>--</v>
      </c>
      <c r="S29" s="512" t="str">
        <f t="shared" si="9"/>
        <v>--</v>
      </c>
      <c r="T29" s="513" t="str">
        <f t="shared" si="10"/>
        <v>--</v>
      </c>
      <c r="U29" s="514" t="str">
        <f t="shared" si="11"/>
        <v>--</v>
      </c>
      <c r="V29" s="515" t="str">
        <f t="shared" si="12"/>
        <v>--</v>
      </c>
      <c r="W29" s="516" t="str">
        <f t="shared" si="13"/>
        <v>--</v>
      </c>
      <c r="X29" s="517">
        <f t="shared" si="14"/>
      </c>
      <c r="Y29" s="52">
        <f t="shared" si="15"/>
      </c>
      <c r="Z29" s="3"/>
    </row>
    <row r="30" spans="1:26" ht="16.5" customHeight="1">
      <c r="A30" s="1"/>
      <c r="B30" s="2"/>
      <c r="C30" s="496"/>
      <c r="D30" s="497"/>
      <c r="E30" s="498"/>
      <c r="F30" s="499"/>
      <c r="G30" s="262">
        <f t="shared" si="0"/>
        <v>16.292</v>
      </c>
      <c r="H30" s="504"/>
      <c r="I30" s="504"/>
      <c r="J30" s="12">
        <f t="shared" si="1"/>
      </c>
      <c r="K30" s="13">
        <f t="shared" si="2"/>
      </c>
      <c r="L30" s="505"/>
      <c r="M30" s="506">
        <f t="shared" si="3"/>
      </c>
      <c r="N30" s="507" t="str">
        <f t="shared" si="4"/>
        <v>--</v>
      </c>
      <c r="O30" s="508" t="str">
        <f t="shared" si="5"/>
        <v>--</v>
      </c>
      <c r="P30" s="509" t="str">
        <f t="shared" si="6"/>
        <v>--</v>
      </c>
      <c r="Q30" s="510" t="str">
        <f t="shared" si="7"/>
        <v>--</v>
      </c>
      <c r="R30" s="511" t="str">
        <f t="shared" si="8"/>
        <v>--</v>
      </c>
      <c r="S30" s="512" t="str">
        <f t="shared" si="9"/>
        <v>--</v>
      </c>
      <c r="T30" s="513" t="str">
        <f t="shared" si="10"/>
        <v>--</v>
      </c>
      <c r="U30" s="514" t="str">
        <f t="shared" si="11"/>
        <v>--</v>
      </c>
      <c r="V30" s="515" t="str">
        <f t="shared" si="12"/>
        <v>--</v>
      </c>
      <c r="W30" s="516" t="str">
        <f t="shared" si="13"/>
        <v>--</v>
      </c>
      <c r="X30" s="517">
        <f t="shared" si="14"/>
      </c>
      <c r="Y30" s="52">
        <f t="shared" si="15"/>
      </c>
      <c r="Z30" s="3"/>
    </row>
    <row r="31" spans="1:26" ht="16.5" customHeight="1">
      <c r="A31" s="1"/>
      <c r="B31" s="2"/>
      <c r="C31" s="496"/>
      <c r="D31" s="497"/>
      <c r="E31" s="498"/>
      <c r="F31" s="499"/>
      <c r="G31" s="262">
        <f t="shared" si="0"/>
        <v>16.292</v>
      </c>
      <c r="H31" s="504"/>
      <c r="I31" s="504"/>
      <c r="J31" s="12">
        <f t="shared" si="1"/>
      </c>
      <c r="K31" s="13">
        <f t="shared" si="2"/>
      </c>
      <c r="L31" s="505"/>
      <c r="M31" s="506">
        <f t="shared" si="3"/>
      </c>
      <c r="N31" s="507" t="str">
        <f t="shared" si="4"/>
        <v>--</v>
      </c>
      <c r="O31" s="508" t="str">
        <f t="shared" si="5"/>
        <v>--</v>
      </c>
      <c r="P31" s="509" t="str">
        <f t="shared" si="6"/>
        <v>--</v>
      </c>
      <c r="Q31" s="510" t="str">
        <f t="shared" si="7"/>
        <v>--</v>
      </c>
      <c r="R31" s="511" t="str">
        <f t="shared" si="8"/>
        <v>--</v>
      </c>
      <c r="S31" s="512" t="str">
        <f t="shared" si="9"/>
        <v>--</v>
      </c>
      <c r="T31" s="513" t="str">
        <f t="shared" si="10"/>
        <v>--</v>
      </c>
      <c r="U31" s="514" t="str">
        <f t="shared" si="11"/>
        <v>--</v>
      </c>
      <c r="V31" s="515" t="str">
        <f t="shared" si="12"/>
        <v>--</v>
      </c>
      <c r="W31" s="516" t="str">
        <f t="shared" si="13"/>
        <v>--</v>
      </c>
      <c r="X31" s="517">
        <f t="shared" si="14"/>
      </c>
      <c r="Y31" s="52">
        <f t="shared" si="15"/>
      </c>
      <c r="Z31" s="3"/>
    </row>
    <row r="32" spans="1:26" ht="16.5" customHeight="1">
      <c r="A32" s="1"/>
      <c r="B32" s="2"/>
      <c r="C32" s="496"/>
      <c r="D32" s="497"/>
      <c r="E32" s="498"/>
      <c r="F32" s="499"/>
      <c r="G32" s="262">
        <f t="shared" si="0"/>
        <v>16.292</v>
      </c>
      <c r="H32" s="504"/>
      <c r="I32" s="504"/>
      <c r="J32" s="12">
        <f t="shared" si="1"/>
      </c>
      <c r="K32" s="13">
        <f t="shared" si="2"/>
      </c>
      <c r="L32" s="505"/>
      <c r="M32" s="506">
        <f t="shared" si="3"/>
      </c>
      <c r="N32" s="507" t="str">
        <f t="shared" si="4"/>
        <v>--</v>
      </c>
      <c r="O32" s="508" t="str">
        <f t="shared" si="5"/>
        <v>--</v>
      </c>
      <c r="P32" s="509" t="str">
        <f t="shared" si="6"/>
        <v>--</v>
      </c>
      <c r="Q32" s="510" t="str">
        <f t="shared" si="7"/>
        <v>--</v>
      </c>
      <c r="R32" s="511" t="str">
        <f t="shared" si="8"/>
        <v>--</v>
      </c>
      <c r="S32" s="512" t="str">
        <f t="shared" si="9"/>
        <v>--</v>
      </c>
      <c r="T32" s="513" t="str">
        <f t="shared" si="10"/>
        <v>--</v>
      </c>
      <c r="U32" s="514" t="str">
        <f t="shared" si="11"/>
        <v>--</v>
      </c>
      <c r="V32" s="515" t="str">
        <f t="shared" si="12"/>
        <v>--</v>
      </c>
      <c r="W32" s="516" t="str">
        <f t="shared" si="13"/>
        <v>--</v>
      </c>
      <c r="X32" s="517">
        <f t="shared" si="14"/>
      </c>
      <c r="Y32" s="52">
        <f t="shared" si="15"/>
      </c>
      <c r="Z32" s="3"/>
    </row>
    <row r="33" spans="1:26" ht="16.5" customHeight="1">
      <c r="A33" s="1"/>
      <c r="B33" s="2"/>
      <c r="C33" s="496"/>
      <c r="D33" s="497"/>
      <c r="E33" s="498"/>
      <c r="F33" s="499"/>
      <c r="G33" s="262">
        <f t="shared" si="0"/>
        <v>16.292</v>
      </c>
      <c r="H33" s="504"/>
      <c r="I33" s="504"/>
      <c r="J33" s="12">
        <f t="shared" si="1"/>
      </c>
      <c r="K33" s="13">
        <f t="shared" si="2"/>
      </c>
      <c r="L33" s="505"/>
      <c r="M33" s="506">
        <f t="shared" si="3"/>
      </c>
      <c r="N33" s="507" t="str">
        <f t="shared" si="4"/>
        <v>--</v>
      </c>
      <c r="O33" s="508" t="str">
        <f t="shared" si="5"/>
        <v>--</v>
      </c>
      <c r="P33" s="509" t="str">
        <f t="shared" si="6"/>
        <v>--</v>
      </c>
      <c r="Q33" s="510" t="str">
        <f t="shared" si="7"/>
        <v>--</v>
      </c>
      <c r="R33" s="511" t="str">
        <f t="shared" si="8"/>
        <v>--</v>
      </c>
      <c r="S33" s="512" t="str">
        <f t="shared" si="9"/>
        <v>--</v>
      </c>
      <c r="T33" s="513" t="str">
        <f t="shared" si="10"/>
        <v>--</v>
      </c>
      <c r="U33" s="514" t="str">
        <f t="shared" si="11"/>
        <v>--</v>
      </c>
      <c r="V33" s="515" t="str">
        <f t="shared" si="12"/>
        <v>--</v>
      </c>
      <c r="W33" s="516" t="str">
        <f t="shared" si="13"/>
        <v>--</v>
      </c>
      <c r="X33" s="517">
        <f t="shared" si="14"/>
      </c>
      <c r="Y33" s="52">
        <f t="shared" si="15"/>
      </c>
      <c r="Z33" s="3"/>
    </row>
    <row r="34" spans="1:26" ht="16.5" customHeight="1">
      <c r="A34" s="1"/>
      <c r="B34" s="2"/>
      <c r="C34" s="496"/>
      <c r="D34" s="497"/>
      <c r="E34" s="498"/>
      <c r="F34" s="499"/>
      <c r="G34" s="262">
        <f t="shared" si="0"/>
        <v>16.292</v>
      </c>
      <c r="H34" s="504"/>
      <c r="I34" s="504"/>
      <c r="J34" s="12">
        <f t="shared" si="1"/>
      </c>
      <c r="K34" s="13">
        <f t="shared" si="2"/>
      </c>
      <c r="L34" s="505"/>
      <c r="M34" s="506">
        <f t="shared" si="3"/>
      </c>
      <c r="N34" s="507" t="str">
        <f t="shared" si="4"/>
        <v>--</v>
      </c>
      <c r="O34" s="508" t="str">
        <f t="shared" si="5"/>
        <v>--</v>
      </c>
      <c r="P34" s="509" t="str">
        <f t="shared" si="6"/>
        <v>--</v>
      </c>
      <c r="Q34" s="510" t="str">
        <f t="shared" si="7"/>
        <v>--</v>
      </c>
      <c r="R34" s="511" t="str">
        <f t="shared" si="8"/>
        <v>--</v>
      </c>
      <c r="S34" s="512" t="str">
        <f t="shared" si="9"/>
        <v>--</v>
      </c>
      <c r="T34" s="513" t="str">
        <f t="shared" si="10"/>
        <v>--</v>
      </c>
      <c r="U34" s="514" t="str">
        <f t="shared" si="11"/>
        <v>--</v>
      </c>
      <c r="V34" s="515" t="str">
        <f t="shared" si="12"/>
        <v>--</v>
      </c>
      <c r="W34" s="516" t="str">
        <f t="shared" si="13"/>
        <v>--</v>
      </c>
      <c r="X34" s="517">
        <f t="shared" si="14"/>
      </c>
      <c r="Y34" s="52">
        <f t="shared" si="15"/>
      </c>
      <c r="Z34" s="3"/>
    </row>
    <row r="35" spans="1:26" ht="16.5" customHeight="1">
      <c r="A35" s="1"/>
      <c r="B35" s="2"/>
      <c r="C35" s="496"/>
      <c r="D35" s="497"/>
      <c r="E35" s="498"/>
      <c r="F35" s="499"/>
      <c r="G35" s="262">
        <f t="shared" si="0"/>
        <v>16.292</v>
      </c>
      <c r="H35" s="504"/>
      <c r="I35" s="504"/>
      <c r="J35" s="12">
        <f t="shared" si="1"/>
      </c>
      <c r="K35" s="13">
        <f t="shared" si="2"/>
      </c>
      <c r="L35" s="505"/>
      <c r="M35" s="506">
        <f t="shared" si="3"/>
      </c>
      <c r="N35" s="507" t="str">
        <f t="shared" si="4"/>
        <v>--</v>
      </c>
      <c r="O35" s="508" t="str">
        <f t="shared" si="5"/>
        <v>--</v>
      </c>
      <c r="P35" s="509" t="str">
        <f t="shared" si="6"/>
        <v>--</v>
      </c>
      <c r="Q35" s="510" t="str">
        <f t="shared" si="7"/>
        <v>--</v>
      </c>
      <c r="R35" s="511" t="str">
        <f t="shared" si="8"/>
        <v>--</v>
      </c>
      <c r="S35" s="512" t="str">
        <f t="shared" si="9"/>
        <v>--</v>
      </c>
      <c r="T35" s="513" t="str">
        <f t="shared" si="10"/>
        <v>--</v>
      </c>
      <c r="U35" s="514" t="str">
        <f t="shared" si="11"/>
        <v>--</v>
      </c>
      <c r="V35" s="515" t="str">
        <f t="shared" si="12"/>
        <v>--</v>
      </c>
      <c r="W35" s="516" t="str">
        <f t="shared" si="13"/>
        <v>--</v>
      </c>
      <c r="X35" s="517">
        <f t="shared" si="14"/>
      </c>
      <c r="Y35" s="52">
        <f t="shared" si="15"/>
      </c>
      <c r="Z35" s="3"/>
    </row>
    <row r="36" spans="2:26" ht="16.5" customHeight="1">
      <c r="B36" s="53"/>
      <c r="C36" s="496"/>
      <c r="D36" s="497"/>
      <c r="E36" s="498"/>
      <c r="F36" s="499"/>
      <c r="G36" s="262">
        <f t="shared" si="0"/>
        <v>16.292</v>
      </c>
      <c r="H36" s="504"/>
      <c r="I36" s="504"/>
      <c r="J36" s="12">
        <f t="shared" si="1"/>
      </c>
      <c r="K36" s="13">
        <f t="shared" si="2"/>
      </c>
      <c r="L36" s="505"/>
      <c r="M36" s="506">
        <f t="shared" si="3"/>
      </c>
      <c r="N36" s="507" t="str">
        <f t="shared" si="4"/>
        <v>--</v>
      </c>
      <c r="O36" s="508" t="str">
        <f t="shared" si="5"/>
        <v>--</v>
      </c>
      <c r="P36" s="509" t="str">
        <f t="shared" si="6"/>
        <v>--</v>
      </c>
      <c r="Q36" s="510" t="str">
        <f t="shared" si="7"/>
        <v>--</v>
      </c>
      <c r="R36" s="511" t="str">
        <f t="shared" si="8"/>
        <v>--</v>
      </c>
      <c r="S36" s="512" t="str">
        <f t="shared" si="9"/>
        <v>--</v>
      </c>
      <c r="T36" s="513" t="str">
        <f t="shared" si="10"/>
        <v>--</v>
      </c>
      <c r="U36" s="514" t="str">
        <f t="shared" si="11"/>
        <v>--</v>
      </c>
      <c r="V36" s="515" t="str">
        <f t="shared" si="12"/>
        <v>--</v>
      </c>
      <c r="W36" s="516" t="str">
        <f t="shared" si="13"/>
        <v>--</v>
      </c>
      <c r="X36" s="517">
        <f t="shared" si="14"/>
      </c>
      <c r="Y36" s="52">
        <f t="shared" si="15"/>
      </c>
      <c r="Z36" s="3"/>
    </row>
    <row r="37" spans="2:26" ht="16.5" customHeight="1">
      <c r="B37" s="53"/>
      <c r="C37" s="496"/>
      <c r="D37" s="497"/>
      <c r="E37" s="498"/>
      <c r="F37" s="499"/>
      <c r="G37" s="262">
        <f t="shared" si="0"/>
        <v>16.292</v>
      </c>
      <c r="H37" s="504"/>
      <c r="I37" s="504"/>
      <c r="J37" s="12">
        <f t="shared" si="1"/>
      </c>
      <c r="K37" s="13">
        <f t="shared" si="2"/>
      </c>
      <c r="L37" s="505"/>
      <c r="M37" s="506">
        <f t="shared" si="3"/>
      </c>
      <c r="N37" s="507" t="str">
        <f t="shared" si="4"/>
        <v>--</v>
      </c>
      <c r="O37" s="508" t="str">
        <f t="shared" si="5"/>
        <v>--</v>
      </c>
      <c r="P37" s="509" t="str">
        <f t="shared" si="6"/>
        <v>--</v>
      </c>
      <c r="Q37" s="510" t="str">
        <f t="shared" si="7"/>
        <v>--</v>
      </c>
      <c r="R37" s="511" t="str">
        <f t="shared" si="8"/>
        <v>--</v>
      </c>
      <c r="S37" s="512" t="str">
        <f t="shared" si="9"/>
        <v>--</v>
      </c>
      <c r="T37" s="513" t="str">
        <f t="shared" si="10"/>
        <v>--</v>
      </c>
      <c r="U37" s="514" t="str">
        <f t="shared" si="11"/>
        <v>--</v>
      </c>
      <c r="V37" s="515" t="str">
        <f t="shared" si="12"/>
        <v>--</v>
      </c>
      <c r="W37" s="516" t="str">
        <f t="shared" si="13"/>
        <v>--</v>
      </c>
      <c r="X37" s="517">
        <f t="shared" si="14"/>
      </c>
      <c r="Y37" s="52">
        <f t="shared" si="15"/>
      </c>
      <c r="Z37" s="3"/>
    </row>
    <row r="38" spans="2:26" ht="16.5" customHeight="1">
      <c r="B38" s="53"/>
      <c r="C38" s="496"/>
      <c r="D38" s="497"/>
      <c r="E38" s="498"/>
      <c r="F38" s="499"/>
      <c r="G38" s="262">
        <f t="shared" si="0"/>
        <v>16.292</v>
      </c>
      <c r="H38" s="504"/>
      <c r="I38" s="504"/>
      <c r="J38" s="12">
        <f t="shared" si="1"/>
      </c>
      <c r="K38" s="13">
        <f t="shared" si="2"/>
      </c>
      <c r="L38" s="505"/>
      <c r="M38" s="506">
        <f t="shared" si="3"/>
      </c>
      <c r="N38" s="507" t="str">
        <f t="shared" si="4"/>
        <v>--</v>
      </c>
      <c r="O38" s="508" t="str">
        <f t="shared" si="5"/>
        <v>--</v>
      </c>
      <c r="P38" s="509" t="str">
        <f t="shared" si="6"/>
        <v>--</v>
      </c>
      <c r="Q38" s="510" t="str">
        <f t="shared" si="7"/>
        <v>--</v>
      </c>
      <c r="R38" s="511" t="str">
        <f t="shared" si="8"/>
        <v>--</v>
      </c>
      <c r="S38" s="512" t="str">
        <f t="shared" si="9"/>
        <v>--</v>
      </c>
      <c r="T38" s="513" t="str">
        <f t="shared" si="10"/>
        <v>--</v>
      </c>
      <c r="U38" s="514" t="str">
        <f t="shared" si="11"/>
        <v>--</v>
      </c>
      <c r="V38" s="515" t="str">
        <f t="shared" si="12"/>
        <v>--</v>
      </c>
      <c r="W38" s="516" t="str">
        <f t="shared" si="13"/>
        <v>--</v>
      </c>
      <c r="X38" s="517">
        <f t="shared" si="14"/>
      </c>
      <c r="Y38" s="52">
        <f t="shared" si="15"/>
      </c>
      <c r="Z38" s="3"/>
    </row>
    <row r="39" spans="2:26" ht="16.5" customHeight="1">
      <c r="B39" s="53"/>
      <c r="C39" s="496"/>
      <c r="D39" s="497"/>
      <c r="E39" s="498"/>
      <c r="F39" s="499"/>
      <c r="G39" s="262">
        <f t="shared" si="0"/>
        <v>16.292</v>
      </c>
      <c r="H39" s="504"/>
      <c r="I39" s="504"/>
      <c r="J39" s="12">
        <f t="shared" si="1"/>
      </c>
      <c r="K39" s="13">
        <f t="shared" si="2"/>
      </c>
      <c r="L39" s="505"/>
      <c r="M39" s="506">
        <f t="shared" si="3"/>
      </c>
      <c r="N39" s="507" t="str">
        <f t="shared" si="4"/>
        <v>--</v>
      </c>
      <c r="O39" s="508" t="str">
        <f t="shared" si="5"/>
        <v>--</v>
      </c>
      <c r="P39" s="509" t="str">
        <f t="shared" si="6"/>
        <v>--</v>
      </c>
      <c r="Q39" s="510" t="str">
        <f t="shared" si="7"/>
        <v>--</v>
      </c>
      <c r="R39" s="511" t="str">
        <f t="shared" si="8"/>
        <v>--</v>
      </c>
      <c r="S39" s="512" t="str">
        <f t="shared" si="9"/>
        <v>--</v>
      </c>
      <c r="T39" s="513" t="str">
        <f t="shared" si="10"/>
        <v>--</v>
      </c>
      <c r="U39" s="514" t="str">
        <f t="shared" si="11"/>
        <v>--</v>
      </c>
      <c r="V39" s="515" t="str">
        <f t="shared" si="12"/>
        <v>--</v>
      </c>
      <c r="W39" s="516" t="str">
        <f t="shared" si="13"/>
        <v>--</v>
      </c>
      <c r="X39" s="517">
        <f t="shared" si="14"/>
      </c>
      <c r="Y39" s="52">
        <f t="shared" si="15"/>
      </c>
      <c r="Z39" s="3"/>
    </row>
    <row r="40" spans="1:26" ht="16.5" customHeight="1" thickBot="1">
      <c r="A40" s="1"/>
      <c r="B40" s="2"/>
      <c r="C40" s="500"/>
      <c r="D40" s="501"/>
      <c r="E40" s="502"/>
      <c r="F40" s="503"/>
      <c r="G40" s="263"/>
      <c r="H40" s="503"/>
      <c r="I40" s="503"/>
      <c r="J40" s="14"/>
      <c r="K40" s="14"/>
      <c r="L40" s="503"/>
      <c r="M40" s="518"/>
      <c r="N40" s="519"/>
      <c r="O40" s="520"/>
      <c r="P40" s="521"/>
      <c r="Q40" s="522"/>
      <c r="R40" s="523"/>
      <c r="S40" s="524"/>
      <c r="T40" s="525"/>
      <c r="U40" s="526"/>
      <c r="V40" s="527"/>
      <c r="W40" s="528"/>
      <c r="X40" s="529"/>
      <c r="Y40" s="54"/>
      <c r="Z40" s="3"/>
    </row>
    <row r="41" spans="1:28" ht="16.5" customHeight="1" thickBot="1" thickTop="1">
      <c r="A41" s="1"/>
      <c r="B41" s="2"/>
      <c r="C41" s="234" t="s">
        <v>68</v>
      </c>
      <c r="D41" s="235" t="s">
        <v>155</v>
      </c>
      <c r="E41" s="15"/>
      <c r="F41" s="16"/>
      <c r="G41" s="55"/>
      <c r="H41" s="55"/>
      <c r="I41" s="55"/>
      <c r="J41" s="55"/>
      <c r="K41" s="55"/>
      <c r="L41" s="55"/>
      <c r="M41" s="56"/>
      <c r="N41" s="321">
        <f aca="true" t="shared" si="16" ref="N41:W41">ROUND(SUM(N18:N40),2)</f>
        <v>85.4</v>
      </c>
      <c r="O41" s="322">
        <f t="shared" si="16"/>
        <v>0</v>
      </c>
      <c r="P41" s="323">
        <f t="shared" si="16"/>
        <v>656.89</v>
      </c>
      <c r="Q41" s="323">
        <f t="shared" si="16"/>
        <v>1261.24</v>
      </c>
      <c r="R41" s="324">
        <f t="shared" si="16"/>
        <v>0</v>
      </c>
      <c r="S41" s="325">
        <f t="shared" si="16"/>
        <v>0</v>
      </c>
      <c r="T41" s="325">
        <f t="shared" si="16"/>
        <v>0</v>
      </c>
      <c r="U41" s="326">
        <f t="shared" si="16"/>
        <v>0</v>
      </c>
      <c r="V41" s="327">
        <f t="shared" si="16"/>
        <v>0</v>
      </c>
      <c r="W41" s="328">
        <f t="shared" si="16"/>
        <v>0</v>
      </c>
      <c r="X41" s="57"/>
      <c r="Y41" s="233">
        <f>ROUND(SUM(Y18:Y40),2)</f>
        <v>2003.52</v>
      </c>
      <c r="Z41" s="58"/>
      <c r="AB41" s="584"/>
    </row>
    <row r="42" spans="1:26" s="249" customFormat="1" ht="9.75" thickTop="1">
      <c r="A42" s="238"/>
      <c r="B42" s="239"/>
      <c r="C42" s="236"/>
      <c r="D42" s="237"/>
      <c r="E42" s="240"/>
      <c r="F42" s="241"/>
      <c r="G42" s="242"/>
      <c r="H42" s="242"/>
      <c r="I42" s="242"/>
      <c r="J42" s="242"/>
      <c r="K42" s="242"/>
      <c r="L42" s="242"/>
      <c r="M42" s="243"/>
      <c r="N42" s="244"/>
      <c r="O42" s="244"/>
      <c r="P42" s="245"/>
      <c r="Q42" s="245"/>
      <c r="R42" s="246"/>
      <c r="S42" s="246"/>
      <c r="T42" s="246"/>
      <c r="U42" s="246"/>
      <c r="V42" s="246"/>
      <c r="W42" s="246"/>
      <c r="X42" s="246"/>
      <c r="Y42" s="247"/>
      <c r="Z42" s="248"/>
    </row>
    <row r="43" spans="1:26" s="10" customFormat="1" ht="16.5" customHeight="1" thickBot="1">
      <c r="A43" s="8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</row>
    <row r="44" spans="1:26" ht="13.5" thickTop="1">
      <c r="A44" s="1"/>
      <c r="B44" s="1"/>
      <c r="Z44" s="1"/>
    </row>
    <row r="89" spans="1:2" ht="12.75">
      <c r="A89" s="1"/>
      <c r="B89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2"/>
  <headerFooter alignWithMargins="0">
    <oddFooter>&amp;L&amp;"Times New Roman,Cursiva"&amp;7&amp;Z&amp;F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75" zoomScaleNormal="75" zoomScalePageLayoutView="0" workbookViewId="0" topLeftCell="C10">
      <selection activeCell="G20" sqref="G2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140625" style="0" customWidth="1"/>
    <col min="4" max="5" width="25.7109375" style="0" customWidth="1"/>
    <col min="6" max="6" width="7.7109375" style="0" customWidth="1"/>
    <col min="7" max="7" width="12.7109375" style="0" customWidth="1"/>
    <col min="8" max="8" width="11.85156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6" width="7.00390625" style="0" customWidth="1"/>
    <col min="17" max="17" width="11.7109375" style="0" hidden="1" customWidth="1"/>
    <col min="18" max="19" width="14.00390625" style="0" hidden="1" customWidth="1"/>
    <col min="20" max="20" width="14.28125" style="0" hidden="1" customWidth="1"/>
    <col min="21" max="25" width="14.140625" style="0" hidden="1" customWidth="1"/>
    <col min="26" max="26" width="9.00390625" style="0" customWidth="1"/>
    <col min="27" max="28" width="15.7109375" style="0" customWidth="1"/>
  </cols>
  <sheetData>
    <row r="1" spans="1:28" s="105" customFormat="1" ht="26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493"/>
    </row>
    <row r="2" spans="1:28" s="105" customFormat="1" ht="26.25">
      <c r="A2" s="159"/>
      <c r="B2" s="106" t="str">
        <f>+'TOT-0803'!B2</f>
        <v>ANEXO III al Memorándum D.T.E.E.   N°       587  /2013.-</v>
      </c>
      <c r="C2" s="160"/>
      <c r="D2" s="160"/>
      <c r="E2" s="106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s="10" customFormat="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s="108" customFormat="1" ht="11.25">
      <c r="A4" s="125" t="s">
        <v>25</v>
      </c>
      <c r="B4" s="20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</row>
    <row r="5" spans="1:28" s="108" customFormat="1" ht="11.25">
      <c r="A5" s="125" t="s">
        <v>26</v>
      </c>
      <c r="B5" s="20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</row>
    <row r="6" spans="1:28" s="10" customFormat="1" ht="13.5" thickBo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s="10" customFormat="1" ht="13.5" thickTop="1">
      <c r="A7" s="15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</row>
    <row r="8" spans="1:28" s="110" customFormat="1" ht="20.25">
      <c r="A8" s="179"/>
      <c r="B8" s="180"/>
      <c r="C8" s="166"/>
      <c r="D8" s="20" t="s">
        <v>46</v>
      </c>
      <c r="F8" s="166"/>
      <c r="G8" s="179"/>
      <c r="H8" s="179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81"/>
    </row>
    <row r="9" spans="1:28" s="10" customFormat="1" ht="12.75">
      <c r="A9" s="158"/>
      <c r="B9" s="164"/>
      <c r="C9" s="29"/>
      <c r="D9" s="29"/>
      <c r="E9" s="29"/>
      <c r="F9" s="29"/>
      <c r="G9" s="15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7"/>
    </row>
    <row r="10" spans="1:28" s="110" customFormat="1" ht="20.25">
      <c r="A10" s="179"/>
      <c r="B10" s="180"/>
      <c r="C10" s="166"/>
      <c r="D10" s="206" t="s">
        <v>149</v>
      </c>
      <c r="E10" s="166"/>
      <c r="F10" s="166"/>
      <c r="G10" s="179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81"/>
    </row>
    <row r="11" spans="1:28" s="10" customFormat="1" ht="12.75">
      <c r="A11" s="158"/>
      <c r="B11" s="164"/>
      <c r="C11" s="29"/>
      <c r="D11" s="119"/>
      <c r="E11" s="168"/>
      <c r="F11" s="168"/>
      <c r="G11" s="169"/>
      <c r="H11" s="16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7"/>
    </row>
    <row r="12" spans="1:28" s="117" customFormat="1" ht="19.5">
      <c r="A12" s="182"/>
      <c r="B12" s="83" t="str">
        <f>+'TOT-0803'!B14</f>
        <v>Desde el 01 al 31 de marzo de 2008</v>
      </c>
      <c r="C12" s="183"/>
      <c r="D12" s="183"/>
      <c r="E12" s="183"/>
      <c r="F12" s="183"/>
      <c r="G12" s="184"/>
      <c r="H12" s="183"/>
      <c r="I12" s="114"/>
      <c r="J12" s="114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5"/>
    </row>
    <row r="13" spans="1:28" s="10" customFormat="1" ht="14.25" thickBot="1">
      <c r="A13" s="158"/>
      <c r="B13" s="164"/>
      <c r="C13" s="29"/>
      <c r="D13" s="29"/>
      <c r="E13" s="29"/>
      <c r="F13" s="29"/>
      <c r="G13" s="71"/>
      <c r="H13" s="29"/>
      <c r="I13" s="176"/>
      <c r="J13" s="177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7"/>
    </row>
    <row r="14" spans="1:28" s="10" customFormat="1" ht="16.5" customHeight="1" thickBot="1" thickTop="1">
      <c r="A14" s="158"/>
      <c r="B14" s="164"/>
      <c r="C14" s="29"/>
      <c r="D14" s="186" t="s">
        <v>69</v>
      </c>
      <c r="E14" s="187"/>
      <c r="F14" s="188"/>
      <c r="G14" s="189">
        <v>0.227</v>
      </c>
      <c r="H14" s="15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7"/>
    </row>
    <row r="15" spans="1:28" s="10" customFormat="1" ht="16.5" customHeight="1" thickBot="1" thickTop="1">
      <c r="A15" s="158"/>
      <c r="B15" s="164"/>
      <c r="C15" s="29"/>
      <c r="D15" s="190" t="s">
        <v>70</v>
      </c>
      <c r="E15" s="191"/>
      <c r="F15" s="191"/>
      <c r="G15" s="192">
        <f>30*'TOT-0803'!B13</f>
        <v>30</v>
      </c>
      <c r="H15" s="29"/>
      <c r="I15" s="228" t="str">
        <f>IF(G15=30," ",IF(G15=60,"Coeficiente duplicado por tasa de falla &gt;4 Sal. x año/100 km.","REVISAR COEFICIENTE"))</f>
        <v> 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70"/>
      <c r="V15" s="170"/>
      <c r="W15" s="170"/>
      <c r="X15" s="170"/>
      <c r="Y15" s="170"/>
      <c r="Z15" s="170"/>
      <c r="AA15" s="170"/>
      <c r="AB15" s="37"/>
    </row>
    <row r="16" spans="1:28" s="10" customFormat="1" ht="16.5" customHeight="1" thickBot="1" thickTop="1">
      <c r="A16" s="158"/>
      <c r="B16" s="164"/>
      <c r="C16" s="29"/>
      <c r="D16" s="29"/>
      <c r="E16" s="29"/>
      <c r="F16" s="29"/>
      <c r="G16" s="36"/>
      <c r="H16" s="29"/>
      <c r="I16" s="171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7"/>
    </row>
    <row r="17" spans="1:28" s="104" customFormat="1" ht="33.75" customHeight="1" thickBot="1" thickTop="1">
      <c r="A17" s="193"/>
      <c r="B17" s="194"/>
      <c r="C17" s="196" t="s">
        <v>50</v>
      </c>
      <c r="D17" s="201" t="s">
        <v>71</v>
      </c>
      <c r="E17" s="197" t="s">
        <v>23</v>
      </c>
      <c r="F17" s="198" t="s">
        <v>72</v>
      </c>
      <c r="G17" s="199" t="s">
        <v>51</v>
      </c>
      <c r="H17" s="259" t="s">
        <v>53</v>
      </c>
      <c r="I17" s="200" t="s">
        <v>73</v>
      </c>
      <c r="J17" s="200" t="s">
        <v>74</v>
      </c>
      <c r="K17" s="201" t="s">
        <v>75</v>
      </c>
      <c r="L17" s="201" t="s">
        <v>76</v>
      </c>
      <c r="M17" s="101" t="s">
        <v>58</v>
      </c>
      <c r="N17" s="202" t="s">
        <v>77</v>
      </c>
      <c r="O17" s="201" t="s">
        <v>78</v>
      </c>
      <c r="P17" s="197" t="s">
        <v>79</v>
      </c>
      <c r="Q17" s="329" t="s">
        <v>80</v>
      </c>
      <c r="R17" s="315" t="s">
        <v>60</v>
      </c>
      <c r="S17" s="339" t="s">
        <v>61</v>
      </c>
      <c r="T17" s="345" t="s">
        <v>81</v>
      </c>
      <c r="U17" s="346"/>
      <c r="V17" s="354" t="s">
        <v>81</v>
      </c>
      <c r="W17" s="355"/>
      <c r="X17" s="363" t="s">
        <v>64</v>
      </c>
      <c r="Y17" s="369" t="s">
        <v>65</v>
      </c>
      <c r="Z17" s="199" t="s">
        <v>66</v>
      </c>
      <c r="AA17" s="199" t="s">
        <v>67</v>
      </c>
      <c r="AB17" s="195"/>
    </row>
    <row r="18" spans="1:28" s="10" customFormat="1" ht="16.5" customHeight="1" thickTop="1">
      <c r="A18" s="158"/>
      <c r="B18" s="164"/>
      <c r="C18" s="17"/>
      <c r="D18" s="22"/>
      <c r="E18" s="22"/>
      <c r="F18" s="22"/>
      <c r="G18" s="22"/>
      <c r="H18" s="264"/>
      <c r="I18" s="23"/>
      <c r="J18" s="22"/>
      <c r="K18" s="23"/>
      <c r="L18" s="23"/>
      <c r="M18" s="22"/>
      <c r="N18" s="22"/>
      <c r="O18" s="22"/>
      <c r="P18" s="22"/>
      <c r="Q18" s="330"/>
      <c r="R18" s="334"/>
      <c r="S18" s="340"/>
      <c r="T18" s="347"/>
      <c r="U18" s="348"/>
      <c r="V18" s="356"/>
      <c r="W18" s="357"/>
      <c r="X18" s="364"/>
      <c r="Y18" s="370"/>
      <c r="Z18" s="22"/>
      <c r="AA18" s="59"/>
      <c r="AB18" s="37"/>
    </row>
    <row r="19" spans="1:28" s="10" customFormat="1" ht="16.5" customHeight="1">
      <c r="A19" s="158"/>
      <c r="B19" s="164"/>
      <c r="C19" s="17"/>
      <c r="D19" s="18"/>
      <c r="E19" s="18"/>
      <c r="F19" s="18"/>
      <c r="G19" s="18"/>
      <c r="H19" s="265"/>
      <c r="I19" s="19"/>
      <c r="J19" s="18"/>
      <c r="K19" s="19"/>
      <c r="L19" s="19"/>
      <c r="M19" s="18"/>
      <c r="N19" s="18"/>
      <c r="O19" s="18"/>
      <c r="P19" s="18"/>
      <c r="Q19" s="331"/>
      <c r="R19" s="335"/>
      <c r="S19" s="341"/>
      <c r="T19" s="349"/>
      <c r="U19" s="350"/>
      <c r="V19" s="358"/>
      <c r="W19" s="359"/>
      <c r="X19" s="365"/>
      <c r="Y19" s="371"/>
      <c r="Z19" s="18"/>
      <c r="AA19" s="204"/>
      <c r="AB19" s="37"/>
    </row>
    <row r="20" spans="1:28" s="10" customFormat="1" ht="16.5" customHeight="1">
      <c r="A20" s="158"/>
      <c r="B20" s="164"/>
      <c r="C20" s="530">
        <v>14</v>
      </c>
      <c r="D20" s="497" t="s">
        <v>16</v>
      </c>
      <c r="E20" s="496" t="s">
        <v>12</v>
      </c>
      <c r="F20" s="531">
        <v>15</v>
      </c>
      <c r="G20" s="532" t="s">
        <v>10</v>
      </c>
      <c r="H20" s="262">
        <f aca="true" t="shared" si="0" ref="H20:H39">F20*$G$14</f>
        <v>3.4050000000000002</v>
      </c>
      <c r="I20" s="534">
        <v>39532.07013888889</v>
      </c>
      <c r="J20" s="534">
        <v>39532.14166666667</v>
      </c>
      <c r="K20" s="25">
        <f aca="true" t="shared" si="1" ref="K20:K39">IF(D20="","",(J20-I20)*24)</f>
        <v>1.7166666666744277</v>
      </c>
      <c r="L20" s="26">
        <f aca="true" t="shared" si="2" ref="L20:L39">IF(D20="","",ROUND((J20-I20)*24*60,0))</f>
        <v>103</v>
      </c>
      <c r="M20" s="535" t="s">
        <v>135</v>
      </c>
      <c r="N20" s="535" t="str">
        <f aca="true" t="shared" si="3" ref="N20:N39">IF(D20="","",IF(OR(M20="P",M20="RP"),"--","NO"))</f>
        <v>NO</v>
      </c>
      <c r="O20" s="536" t="str">
        <f aca="true" t="shared" si="4" ref="O20:O39">IF(D20="","","--")</f>
        <v>--</v>
      </c>
      <c r="P20" s="535" t="s">
        <v>151</v>
      </c>
      <c r="Q20" s="332">
        <f aca="true" t="shared" si="5" ref="Q20:Q39">$G$15*IF(OR(M20="P",M20="RP"),0.1,1)*IF(P20="SI",1,0.1)</f>
        <v>30</v>
      </c>
      <c r="R20" s="336" t="str">
        <f aca="true" t="shared" si="6" ref="R20:R39">IF(M20="P",H20*Q20*ROUND(L20/60,2),"--")</f>
        <v>--</v>
      </c>
      <c r="S20" s="342" t="str">
        <f aca="true" t="shared" si="7" ref="S20:S39">IF(M20="RP",H20*Q20*ROUND(L20/60,2)*O20/100,"--")</f>
        <v>--</v>
      </c>
      <c r="T20" s="351">
        <f aca="true" t="shared" si="8" ref="T20:T39">IF(AND(M20="F",N20="NO"),H20*Q20,"--")</f>
        <v>102.15</v>
      </c>
      <c r="U20" s="352">
        <f aca="true" t="shared" si="9" ref="U20:U39">IF(M20="F",H20*Q20*ROUND(L20/60,2),"--")</f>
        <v>175.698</v>
      </c>
      <c r="V20" s="360" t="str">
        <f aca="true" t="shared" si="10" ref="V20:V39">IF(AND(M20="R",N20="NO"),H20*Q20*O20/100,"--")</f>
        <v>--</v>
      </c>
      <c r="W20" s="361" t="str">
        <f aca="true" t="shared" si="11" ref="W20:W39">IF(M20="R",H20*Q20*ROUND(L20/60,2)*O20/100,"--")</f>
        <v>--</v>
      </c>
      <c r="X20" s="366" t="str">
        <f aca="true" t="shared" si="12" ref="X20:X39">IF(M20="RF",H20*Q20*ROUND(L20/60,2),"--")</f>
        <v>--</v>
      </c>
      <c r="Y20" s="372" t="str">
        <f aca="true" t="shared" si="13" ref="Y20:Y39">IF(M20="RR",H20*Q20*ROUND(L20/60,2)*O20/100,"--")</f>
        <v>--</v>
      </c>
      <c r="Z20" s="24" t="str">
        <f aca="true" t="shared" si="14" ref="Z20:Z39">IF(D20="","","SI")</f>
        <v>SI</v>
      </c>
      <c r="AA20" s="60">
        <f aca="true" t="shared" si="15" ref="AA20:AA39">IF(D20="","",SUM(R20:Y20)*IF(Z20="SI",1,2))</f>
        <v>277.848</v>
      </c>
      <c r="AB20" s="394"/>
    </row>
    <row r="21" spans="1:28" s="10" customFormat="1" ht="16.5" customHeight="1">
      <c r="A21" s="158"/>
      <c r="B21" s="164"/>
      <c r="C21" s="530"/>
      <c r="D21" s="497"/>
      <c r="E21" s="496"/>
      <c r="F21" s="531"/>
      <c r="G21" s="532"/>
      <c r="H21" s="262">
        <f t="shared" si="0"/>
        <v>0</v>
      </c>
      <c r="I21" s="534"/>
      <c r="J21" s="534"/>
      <c r="K21" s="25">
        <f t="shared" si="1"/>
      </c>
      <c r="L21" s="26">
        <f t="shared" si="2"/>
      </c>
      <c r="M21" s="535"/>
      <c r="N21" s="535">
        <f t="shared" si="3"/>
      </c>
      <c r="O21" s="536">
        <f t="shared" si="4"/>
      </c>
      <c r="P21" s="535">
        <f aca="true" t="shared" si="16" ref="P21:P39">IF(D21="","","NO")</f>
      </c>
      <c r="Q21" s="332">
        <f t="shared" si="5"/>
        <v>3</v>
      </c>
      <c r="R21" s="336" t="str">
        <f t="shared" si="6"/>
        <v>--</v>
      </c>
      <c r="S21" s="342" t="str">
        <f t="shared" si="7"/>
        <v>--</v>
      </c>
      <c r="T21" s="351" t="str">
        <f t="shared" si="8"/>
        <v>--</v>
      </c>
      <c r="U21" s="352" t="str">
        <f t="shared" si="9"/>
        <v>--</v>
      </c>
      <c r="V21" s="360" t="str">
        <f t="shared" si="10"/>
        <v>--</v>
      </c>
      <c r="W21" s="361" t="str">
        <f t="shared" si="11"/>
        <v>--</v>
      </c>
      <c r="X21" s="366" t="str">
        <f t="shared" si="12"/>
        <v>--</v>
      </c>
      <c r="Y21" s="372" t="str">
        <f t="shared" si="13"/>
        <v>--</v>
      </c>
      <c r="Z21" s="24">
        <f t="shared" si="14"/>
      </c>
      <c r="AA21" s="60">
        <f t="shared" si="15"/>
      </c>
      <c r="AB21" s="394"/>
    </row>
    <row r="22" spans="1:28" s="10" customFormat="1" ht="16.5" customHeight="1">
      <c r="A22" s="158"/>
      <c r="B22" s="164"/>
      <c r="C22" s="530"/>
      <c r="D22" s="497"/>
      <c r="E22" s="496"/>
      <c r="F22" s="531"/>
      <c r="G22" s="532"/>
      <c r="H22" s="262">
        <f t="shared" si="0"/>
        <v>0</v>
      </c>
      <c r="I22" s="534"/>
      <c r="J22" s="534"/>
      <c r="K22" s="25">
        <f t="shared" si="1"/>
      </c>
      <c r="L22" s="26">
        <f t="shared" si="2"/>
      </c>
      <c r="M22" s="535"/>
      <c r="N22" s="535">
        <f t="shared" si="3"/>
      </c>
      <c r="O22" s="536">
        <f t="shared" si="4"/>
      </c>
      <c r="P22" s="535">
        <f t="shared" si="16"/>
      </c>
      <c r="Q22" s="332">
        <f t="shared" si="5"/>
        <v>3</v>
      </c>
      <c r="R22" s="336" t="str">
        <f t="shared" si="6"/>
        <v>--</v>
      </c>
      <c r="S22" s="342" t="str">
        <f t="shared" si="7"/>
        <v>--</v>
      </c>
      <c r="T22" s="351" t="str">
        <f t="shared" si="8"/>
        <v>--</v>
      </c>
      <c r="U22" s="352" t="str">
        <f t="shared" si="9"/>
        <v>--</v>
      </c>
      <c r="V22" s="360" t="str">
        <f t="shared" si="10"/>
        <v>--</v>
      </c>
      <c r="W22" s="361" t="str">
        <f t="shared" si="11"/>
        <v>--</v>
      </c>
      <c r="X22" s="366" t="str">
        <f t="shared" si="12"/>
        <v>--</v>
      </c>
      <c r="Y22" s="372" t="str">
        <f t="shared" si="13"/>
        <v>--</v>
      </c>
      <c r="Z22" s="24">
        <f t="shared" si="14"/>
      </c>
      <c r="AA22" s="60">
        <f t="shared" si="15"/>
      </c>
      <c r="AB22" s="394"/>
    </row>
    <row r="23" spans="1:28" s="10" customFormat="1" ht="16.5" customHeight="1">
      <c r="A23" s="158"/>
      <c r="B23" s="164"/>
      <c r="C23" s="530"/>
      <c r="D23" s="497"/>
      <c r="E23" s="496"/>
      <c r="F23" s="531"/>
      <c r="G23" s="532"/>
      <c r="H23" s="262">
        <f t="shared" si="0"/>
        <v>0</v>
      </c>
      <c r="I23" s="534"/>
      <c r="J23" s="534"/>
      <c r="K23" s="25">
        <f t="shared" si="1"/>
      </c>
      <c r="L23" s="26">
        <f t="shared" si="2"/>
      </c>
      <c r="M23" s="535"/>
      <c r="N23" s="535">
        <f t="shared" si="3"/>
      </c>
      <c r="O23" s="536">
        <f t="shared" si="4"/>
      </c>
      <c r="P23" s="535">
        <f t="shared" si="16"/>
      </c>
      <c r="Q23" s="332">
        <f t="shared" si="5"/>
        <v>3</v>
      </c>
      <c r="R23" s="336" t="str">
        <f t="shared" si="6"/>
        <v>--</v>
      </c>
      <c r="S23" s="342" t="str">
        <f t="shared" si="7"/>
        <v>--</v>
      </c>
      <c r="T23" s="351" t="str">
        <f t="shared" si="8"/>
        <v>--</v>
      </c>
      <c r="U23" s="352" t="str">
        <f t="shared" si="9"/>
        <v>--</v>
      </c>
      <c r="V23" s="360" t="str">
        <f t="shared" si="10"/>
        <v>--</v>
      </c>
      <c r="W23" s="361" t="str">
        <f t="shared" si="11"/>
        <v>--</v>
      </c>
      <c r="X23" s="366" t="str">
        <f t="shared" si="12"/>
        <v>--</v>
      </c>
      <c r="Y23" s="372" t="str">
        <f t="shared" si="13"/>
        <v>--</v>
      </c>
      <c r="Z23" s="24">
        <f t="shared" si="14"/>
      </c>
      <c r="AA23" s="60">
        <f t="shared" si="15"/>
      </c>
      <c r="AB23" s="394"/>
    </row>
    <row r="24" spans="1:28" s="10" customFormat="1" ht="16.5" customHeight="1">
      <c r="A24" s="158"/>
      <c r="B24" s="164"/>
      <c r="C24" s="530"/>
      <c r="D24" s="497"/>
      <c r="E24" s="496"/>
      <c r="F24" s="531"/>
      <c r="G24" s="532"/>
      <c r="H24" s="262">
        <f t="shared" si="0"/>
        <v>0</v>
      </c>
      <c r="I24" s="534"/>
      <c r="J24" s="534"/>
      <c r="K24" s="25">
        <f t="shared" si="1"/>
      </c>
      <c r="L24" s="26">
        <f t="shared" si="2"/>
      </c>
      <c r="M24" s="535"/>
      <c r="N24" s="535">
        <f t="shared" si="3"/>
      </c>
      <c r="O24" s="536">
        <f t="shared" si="4"/>
      </c>
      <c r="P24" s="535">
        <f t="shared" si="16"/>
      </c>
      <c r="Q24" s="332">
        <f t="shared" si="5"/>
        <v>3</v>
      </c>
      <c r="R24" s="336" t="str">
        <f t="shared" si="6"/>
        <v>--</v>
      </c>
      <c r="S24" s="342" t="str">
        <f t="shared" si="7"/>
        <v>--</v>
      </c>
      <c r="T24" s="351" t="str">
        <f t="shared" si="8"/>
        <v>--</v>
      </c>
      <c r="U24" s="352" t="str">
        <f t="shared" si="9"/>
        <v>--</v>
      </c>
      <c r="V24" s="360" t="str">
        <f t="shared" si="10"/>
        <v>--</v>
      </c>
      <c r="W24" s="361" t="str">
        <f t="shared" si="11"/>
        <v>--</v>
      </c>
      <c r="X24" s="366" t="str">
        <f t="shared" si="12"/>
        <v>--</v>
      </c>
      <c r="Y24" s="372" t="str">
        <f t="shared" si="13"/>
        <v>--</v>
      </c>
      <c r="Z24" s="24">
        <f t="shared" si="14"/>
      </c>
      <c r="AA24" s="60">
        <f t="shared" si="15"/>
      </c>
      <c r="AB24" s="394"/>
    </row>
    <row r="25" spans="1:28" s="10" customFormat="1" ht="16.5" customHeight="1">
      <c r="A25" s="158"/>
      <c r="B25" s="164"/>
      <c r="C25" s="530"/>
      <c r="D25" s="497"/>
      <c r="E25" s="496"/>
      <c r="F25" s="531"/>
      <c r="G25" s="532"/>
      <c r="H25" s="262">
        <f t="shared" si="0"/>
        <v>0</v>
      </c>
      <c r="I25" s="534"/>
      <c r="J25" s="534"/>
      <c r="K25" s="25">
        <f t="shared" si="1"/>
      </c>
      <c r="L25" s="26">
        <f t="shared" si="2"/>
      </c>
      <c r="M25" s="535"/>
      <c r="N25" s="535">
        <f t="shared" si="3"/>
      </c>
      <c r="O25" s="536">
        <f t="shared" si="4"/>
      </c>
      <c r="P25" s="535">
        <f t="shared" si="16"/>
      </c>
      <c r="Q25" s="332">
        <f t="shared" si="5"/>
        <v>3</v>
      </c>
      <c r="R25" s="336" t="str">
        <f t="shared" si="6"/>
        <v>--</v>
      </c>
      <c r="S25" s="342" t="str">
        <f t="shared" si="7"/>
        <v>--</v>
      </c>
      <c r="T25" s="351" t="str">
        <f t="shared" si="8"/>
        <v>--</v>
      </c>
      <c r="U25" s="352" t="str">
        <f t="shared" si="9"/>
        <v>--</v>
      </c>
      <c r="V25" s="360" t="str">
        <f t="shared" si="10"/>
        <v>--</v>
      </c>
      <c r="W25" s="361" t="str">
        <f t="shared" si="11"/>
        <v>--</v>
      </c>
      <c r="X25" s="366" t="str">
        <f t="shared" si="12"/>
        <v>--</v>
      </c>
      <c r="Y25" s="372" t="str">
        <f t="shared" si="13"/>
        <v>--</v>
      </c>
      <c r="Z25" s="24">
        <f t="shared" si="14"/>
      </c>
      <c r="AA25" s="60">
        <f t="shared" si="15"/>
      </c>
      <c r="AB25" s="394"/>
    </row>
    <row r="26" spans="1:28" s="10" customFormat="1" ht="16.5" customHeight="1">
      <c r="A26" s="158"/>
      <c r="B26" s="164"/>
      <c r="C26" s="530"/>
      <c r="D26" s="497"/>
      <c r="E26" s="496"/>
      <c r="F26" s="531"/>
      <c r="G26" s="532"/>
      <c r="H26" s="262">
        <f t="shared" si="0"/>
        <v>0</v>
      </c>
      <c r="I26" s="534"/>
      <c r="J26" s="534"/>
      <c r="K26" s="25">
        <f t="shared" si="1"/>
      </c>
      <c r="L26" s="26">
        <f t="shared" si="2"/>
      </c>
      <c r="M26" s="535"/>
      <c r="N26" s="535">
        <f t="shared" si="3"/>
      </c>
      <c r="O26" s="536">
        <f t="shared" si="4"/>
      </c>
      <c r="P26" s="535">
        <f t="shared" si="16"/>
      </c>
      <c r="Q26" s="332">
        <f t="shared" si="5"/>
        <v>3</v>
      </c>
      <c r="R26" s="336" t="str">
        <f t="shared" si="6"/>
        <v>--</v>
      </c>
      <c r="S26" s="342" t="str">
        <f t="shared" si="7"/>
        <v>--</v>
      </c>
      <c r="T26" s="351" t="str">
        <f t="shared" si="8"/>
        <v>--</v>
      </c>
      <c r="U26" s="352" t="str">
        <f t="shared" si="9"/>
        <v>--</v>
      </c>
      <c r="V26" s="360" t="str">
        <f t="shared" si="10"/>
        <v>--</v>
      </c>
      <c r="W26" s="361" t="str">
        <f t="shared" si="11"/>
        <v>--</v>
      </c>
      <c r="X26" s="366" t="str">
        <f t="shared" si="12"/>
        <v>--</v>
      </c>
      <c r="Y26" s="372" t="str">
        <f t="shared" si="13"/>
        <v>--</v>
      </c>
      <c r="Z26" s="24">
        <f t="shared" si="14"/>
      </c>
      <c r="AA26" s="60">
        <f t="shared" si="15"/>
      </c>
      <c r="AB26" s="37"/>
    </row>
    <row r="27" spans="1:28" s="10" customFormat="1" ht="16.5" customHeight="1">
      <c r="A27" s="158"/>
      <c r="B27" s="164"/>
      <c r="C27" s="530"/>
      <c r="D27" s="497"/>
      <c r="E27" s="496"/>
      <c r="F27" s="531"/>
      <c r="G27" s="532"/>
      <c r="H27" s="262">
        <f t="shared" si="0"/>
        <v>0</v>
      </c>
      <c r="I27" s="534"/>
      <c r="J27" s="534"/>
      <c r="K27" s="25">
        <f t="shared" si="1"/>
      </c>
      <c r="L27" s="26">
        <f t="shared" si="2"/>
      </c>
      <c r="M27" s="535"/>
      <c r="N27" s="535">
        <f t="shared" si="3"/>
      </c>
      <c r="O27" s="536">
        <f t="shared" si="4"/>
      </c>
      <c r="P27" s="535">
        <f t="shared" si="16"/>
      </c>
      <c r="Q27" s="332">
        <f t="shared" si="5"/>
        <v>3</v>
      </c>
      <c r="R27" s="336" t="str">
        <f t="shared" si="6"/>
        <v>--</v>
      </c>
      <c r="S27" s="342" t="str">
        <f t="shared" si="7"/>
        <v>--</v>
      </c>
      <c r="T27" s="351" t="str">
        <f t="shared" si="8"/>
        <v>--</v>
      </c>
      <c r="U27" s="352" t="str">
        <f t="shared" si="9"/>
        <v>--</v>
      </c>
      <c r="V27" s="360" t="str">
        <f t="shared" si="10"/>
        <v>--</v>
      </c>
      <c r="W27" s="361" t="str">
        <f t="shared" si="11"/>
        <v>--</v>
      </c>
      <c r="X27" s="366" t="str">
        <f t="shared" si="12"/>
        <v>--</v>
      </c>
      <c r="Y27" s="372" t="str">
        <f t="shared" si="13"/>
        <v>--</v>
      </c>
      <c r="Z27" s="24">
        <f t="shared" si="14"/>
      </c>
      <c r="AA27" s="60">
        <f t="shared" si="15"/>
      </c>
      <c r="AB27" s="37"/>
    </row>
    <row r="28" spans="1:28" s="10" customFormat="1" ht="16.5" customHeight="1">
      <c r="A28" s="158"/>
      <c r="B28" s="164"/>
      <c r="C28" s="530"/>
      <c r="D28" s="497"/>
      <c r="E28" s="496"/>
      <c r="F28" s="531"/>
      <c r="G28" s="532"/>
      <c r="H28" s="262">
        <f t="shared" si="0"/>
        <v>0</v>
      </c>
      <c r="I28" s="534"/>
      <c r="J28" s="534"/>
      <c r="K28" s="25">
        <f t="shared" si="1"/>
      </c>
      <c r="L28" s="26">
        <f t="shared" si="2"/>
      </c>
      <c r="M28" s="535"/>
      <c r="N28" s="535">
        <f t="shared" si="3"/>
      </c>
      <c r="O28" s="536">
        <f t="shared" si="4"/>
      </c>
      <c r="P28" s="535">
        <f t="shared" si="16"/>
      </c>
      <c r="Q28" s="332">
        <f t="shared" si="5"/>
        <v>3</v>
      </c>
      <c r="R28" s="336" t="str">
        <f t="shared" si="6"/>
        <v>--</v>
      </c>
      <c r="S28" s="342" t="str">
        <f t="shared" si="7"/>
        <v>--</v>
      </c>
      <c r="T28" s="351" t="str">
        <f t="shared" si="8"/>
        <v>--</v>
      </c>
      <c r="U28" s="352" t="str">
        <f t="shared" si="9"/>
        <v>--</v>
      </c>
      <c r="V28" s="360" t="str">
        <f t="shared" si="10"/>
        <v>--</v>
      </c>
      <c r="W28" s="361" t="str">
        <f t="shared" si="11"/>
        <v>--</v>
      </c>
      <c r="X28" s="366" t="str">
        <f t="shared" si="12"/>
        <v>--</v>
      </c>
      <c r="Y28" s="372" t="str">
        <f t="shared" si="13"/>
        <v>--</v>
      </c>
      <c r="Z28" s="24">
        <f t="shared" si="14"/>
      </c>
      <c r="AA28" s="60">
        <f t="shared" si="15"/>
      </c>
      <c r="AB28" s="37"/>
    </row>
    <row r="29" spans="1:28" s="10" customFormat="1" ht="16.5" customHeight="1">
      <c r="A29" s="158"/>
      <c r="B29" s="164"/>
      <c r="C29" s="530"/>
      <c r="D29" s="497"/>
      <c r="E29" s="496"/>
      <c r="F29" s="531"/>
      <c r="G29" s="532"/>
      <c r="H29" s="262">
        <f t="shared" si="0"/>
        <v>0</v>
      </c>
      <c r="I29" s="534"/>
      <c r="J29" s="534"/>
      <c r="K29" s="25">
        <f t="shared" si="1"/>
      </c>
      <c r="L29" s="26">
        <f t="shared" si="2"/>
      </c>
      <c r="M29" s="535"/>
      <c r="N29" s="535">
        <f t="shared" si="3"/>
      </c>
      <c r="O29" s="536">
        <f t="shared" si="4"/>
      </c>
      <c r="P29" s="535">
        <f t="shared" si="16"/>
      </c>
      <c r="Q29" s="332">
        <f t="shared" si="5"/>
        <v>3</v>
      </c>
      <c r="R29" s="336" t="str">
        <f t="shared" si="6"/>
        <v>--</v>
      </c>
      <c r="S29" s="342" t="str">
        <f t="shared" si="7"/>
        <v>--</v>
      </c>
      <c r="T29" s="351" t="str">
        <f t="shared" si="8"/>
        <v>--</v>
      </c>
      <c r="U29" s="352" t="str">
        <f t="shared" si="9"/>
        <v>--</v>
      </c>
      <c r="V29" s="360" t="str">
        <f t="shared" si="10"/>
        <v>--</v>
      </c>
      <c r="W29" s="361" t="str">
        <f t="shared" si="11"/>
        <v>--</v>
      </c>
      <c r="X29" s="366" t="str">
        <f t="shared" si="12"/>
        <v>--</v>
      </c>
      <c r="Y29" s="372" t="str">
        <f t="shared" si="13"/>
        <v>--</v>
      </c>
      <c r="Z29" s="24">
        <f t="shared" si="14"/>
      </c>
      <c r="AA29" s="60">
        <f t="shared" si="15"/>
      </c>
      <c r="AB29" s="37"/>
    </row>
    <row r="30" spans="1:28" s="10" customFormat="1" ht="16.5" customHeight="1">
      <c r="A30" s="158"/>
      <c r="B30" s="164"/>
      <c r="C30" s="530"/>
      <c r="D30" s="497"/>
      <c r="E30" s="496"/>
      <c r="F30" s="531"/>
      <c r="G30" s="532"/>
      <c r="H30" s="262">
        <f t="shared" si="0"/>
        <v>0</v>
      </c>
      <c r="I30" s="534"/>
      <c r="J30" s="534"/>
      <c r="K30" s="25">
        <f t="shared" si="1"/>
      </c>
      <c r="L30" s="26">
        <f t="shared" si="2"/>
      </c>
      <c r="M30" s="535"/>
      <c r="N30" s="535">
        <f t="shared" si="3"/>
      </c>
      <c r="O30" s="536">
        <f t="shared" si="4"/>
      </c>
      <c r="P30" s="535">
        <f t="shared" si="16"/>
      </c>
      <c r="Q30" s="332">
        <f t="shared" si="5"/>
        <v>3</v>
      </c>
      <c r="R30" s="336" t="str">
        <f t="shared" si="6"/>
        <v>--</v>
      </c>
      <c r="S30" s="342" t="str">
        <f t="shared" si="7"/>
        <v>--</v>
      </c>
      <c r="T30" s="351" t="str">
        <f t="shared" si="8"/>
        <v>--</v>
      </c>
      <c r="U30" s="352" t="str">
        <f t="shared" si="9"/>
        <v>--</v>
      </c>
      <c r="V30" s="360" t="str">
        <f t="shared" si="10"/>
        <v>--</v>
      </c>
      <c r="W30" s="361" t="str">
        <f t="shared" si="11"/>
        <v>--</v>
      </c>
      <c r="X30" s="366" t="str">
        <f t="shared" si="12"/>
        <v>--</v>
      </c>
      <c r="Y30" s="372" t="str">
        <f t="shared" si="13"/>
        <v>--</v>
      </c>
      <c r="Z30" s="24">
        <f t="shared" si="14"/>
      </c>
      <c r="AA30" s="60">
        <f t="shared" si="15"/>
      </c>
      <c r="AB30" s="37"/>
    </row>
    <row r="31" spans="1:28" s="10" customFormat="1" ht="16.5" customHeight="1">
      <c r="A31" s="158"/>
      <c r="B31" s="164"/>
      <c r="C31" s="530"/>
      <c r="D31" s="497"/>
      <c r="E31" s="496"/>
      <c r="F31" s="531"/>
      <c r="G31" s="532"/>
      <c r="H31" s="262">
        <f t="shared" si="0"/>
        <v>0</v>
      </c>
      <c r="I31" s="534"/>
      <c r="J31" s="534"/>
      <c r="K31" s="25">
        <f t="shared" si="1"/>
      </c>
      <c r="L31" s="26">
        <f t="shared" si="2"/>
      </c>
      <c r="M31" s="535"/>
      <c r="N31" s="535">
        <f t="shared" si="3"/>
      </c>
      <c r="O31" s="536">
        <f t="shared" si="4"/>
      </c>
      <c r="P31" s="535">
        <f t="shared" si="16"/>
      </c>
      <c r="Q31" s="332">
        <f t="shared" si="5"/>
        <v>3</v>
      </c>
      <c r="R31" s="336" t="str">
        <f t="shared" si="6"/>
        <v>--</v>
      </c>
      <c r="S31" s="342" t="str">
        <f t="shared" si="7"/>
        <v>--</v>
      </c>
      <c r="T31" s="351" t="str">
        <f t="shared" si="8"/>
        <v>--</v>
      </c>
      <c r="U31" s="352" t="str">
        <f t="shared" si="9"/>
        <v>--</v>
      </c>
      <c r="V31" s="360" t="str">
        <f t="shared" si="10"/>
        <v>--</v>
      </c>
      <c r="W31" s="361" t="str">
        <f t="shared" si="11"/>
        <v>--</v>
      </c>
      <c r="X31" s="366" t="str">
        <f t="shared" si="12"/>
        <v>--</v>
      </c>
      <c r="Y31" s="372" t="str">
        <f t="shared" si="13"/>
        <v>--</v>
      </c>
      <c r="Z31" s="24">
        <f t="shared" si="14"/>
      </c>
      <c r="AA31" s="60">
        <f t="shared" si="15"/>
      </c>
      <c r="AB31" s="37"/>
    </row>
    <row r="32" spans="1:28" s="10" customFormat="1" ht="16.5" customHeight="1">
      <c r="A32" s="158"/>
      <c r="B32" s="164"/>
      <c r="C32" s="530"/>
      <c r="D32" s="497"/>
      <c r="E32" s="496"/>
      <c r="F32" s="531"/>
      <c r="G32" s="532"/>
      <c r="H32" s="262">
        <f t="shared" si="0"/>
        <v>0</v>
      </c>
      <c r="I32" s="534"/>
      <c r="J32" s="534"/>
      <c r="K32" s="25">
        <f t="shared" si="1"/>
      </c>
      <c r="L32" s="26">
        <f t="shared" si="2"/>
      </c>
      <c r="M32" s="535"/>
      <c r="N32" s="535">
        <f t="shared" si="3"/>
      </c>
      <c r="O32" s="536">
        <f t="shared" si="4"/>
      </c>
      <c r="P32" s="535">
        <f t="shared" si="16"/>
      </c>
      <c r="Q32" s="332">
        <f t="shared" si="5"/>
        <v>3</v>
      </c>
      <c r="R32" s="336" t="str">
        <f t="shared" si="6"/>
        <v>--</v>
      </c>
      <c r="S32" s="342" t="str">
        <f t="shared" si="7"/>
        <v>--</v>
      </c>
      <c r="T32" s="351" t="str">
        <f t="shared" si="8"/>
        <v>--</v>
      </c>
      <c r="U32" s="352" t="str">
        <f t="shared" si="9"/>
        <v>--</v>
      </c>
      <c r="V32" s="360" t="str">
        <f t="shared" si="10"/>
        <v>--</v>
      </c>
      <c r="W32" s="361" t="str">
        <f t="shared" si="11"/>
        <v>--</v>
      </c>
      <c r="X32" s="366" t="str">
        <f t="shared" si="12"/>
        <v>--</v>
      </c>
      <c r="Y32" s="372" t="str">
        <f t="shared" si="13"/>
        <v>--</v>
      </c>
      <c r="Z32" s="24">
        <f t="shared" si="14"/>
      </c>
      <c r="AA32" s="60">
        <f t="shared" si="15"/>
      </c>
      <c r="AB32" s="37"/>
    </row>
    <row r="33" spans="1:28" s="10" customFormat="1" ht="16.5" customHeight="1">
      <c r="A33" s="158"/>
      <c r="B33" s="164"/>
      <c r="C33" s="530"/>
      <c r="D33" s="497"/>
      <c r="E33" s="496"/>
      <c r="F33" s="531"/>
      <c r="G33" s="532"/>
      <c r="H33" s="262">
        <f t="shared" si="0"/>
        <v>0</v>
      </c>
      <c r="I33" s="534"/>
      <c r="J33" s="534"/>
      <c r="K33" s="25">
        <f t="shared" si="1"/>
      </c>
      <c r="L33" s="26">
        <f t="shared" si="2"/>
      </c>
      <c r="M33" s="535"/>
      <c r="N33" s="535">
        <f t="shared" si="3"/>
      </c>
      <c r="O33" s="536">
        <f t="shared" si="4"/>
      </c>
      <c r="P33" s="535">
        <f t="shared" si="16"/>
      </c>
      <c r="Q33" s="332">
        <f t="shared" si="5"/>
        <v>3</v>
      </c>
      <c r="R33" s="336" t="str">
        <f t="shared" si="6"/>
        <v>--</v>
      </c>
      <c r="S33" s="342" t="str">
        <f t="shared" si="7"/>
        <v>--</v>
      </c>
      <c r="T33" s="351" t="str">
        <f t="shared" si="8"/>
        <v>--</v>
      </c>
      <c r="U33" s="352" t="str">
        <f t="shared" si="9"/>
        <v>--</v>
      </c>
      <c r="V33" s="360" t="str">
        <f t="shared" si="10"/>
        <v>--</v>
      </c>
      <c r="W33" s="361" t="str">
        <f t="shared" si="11"/>
        <v>--</v>
      </c>
      <c r="X33" s="366" t="str">
        <f t="shared" si="12"/>
        <v>--</v>
      </c>
      <c r="Y33" s="372" t="str">
        <f t="shared" si="13"/>
        <v>--</v>
      </c>
      <c r="Z33" s="24">
        <f t="shared" si="14"/>
      </c>
      <c r="AA33" s="60">
        <f t="shared" si="15"/>
      </c>
      <c r="AB33" s="37"/>
    </row>
    <row r="34" spans="1:28" s="10" customFormat="1" ht="16.5" customHeight="1">
      <c r="A34" s="158"/>
      <c r="B34" s="164"/>
      <c r="C34" s="530"/>
      <c r="D34" s="497"/>
      <c r="E34" s="496"/>
      <c r="F34" s="531"/>
      <c r="G34" s="532"/>
      <c r="H34" s="262">
        <f t="shared" si="0"/>
        <v>0</v>
      </c>
      <c r="I34" s="534"/>
      <c r="J34" s="534"/>
      <c r="K34" s="25">
        <f t="shared" si="1"/>
      </c>
      <c r="L34" s="26">
        <f t="shared" si="2"/>
      </c>
      <c r="M34" s="535"/>
      <c r="N34" s="535">
        <f t="shared" si="3"/>
      </c>
      <c r="O34" s="536">
        <f t="shared" si="4"/>
      </c>
      <c r="P34" s="535">
        <f t="shared" si="16"/>
      </c>
      <c r="Q34" s="332">
        <f t="shared" si="5"/>
        <v>3</v>
      </c>
      <c r="R34" s="336" t="str">
        <f t="shared" si="6"/>
        <v>--</v>
      </c>
      <c r="S34" s="342" t="str">
        <f t="shared" si="7"/>
        <v>--</v>
      </c>
      <c r="T34" s="351" t="str">
        <f t="shared" si="8"/>
        <v>--</v>
      </c>
      <c r="U34" s="352" t="str">
        <f t="shared" si="9"/>
        <v>--</v>
      </c>
      <c r="V34" s="360" t="str">
        <f t="shared" si="10"/>
        <v>--</v>
      </c>
      <c r="W34" s="361" t="str">
        <f t="shared" si="11"/>
        <v>--</v>
      </c>
      <c r="X34" s="366" t="str">
        <f t="shared" si="12"/>
        <v>--</v>
      </c>
      <c r="Y34" s="372" t="str">
        <f t="shared" si="13"/>
        <v>--</v>
      </c>
      <c r="Z34" s="24">
        <f t="shared" si="14"/>
      </c>
      <c r="AA34" s="60">
        <f t="shared" si="15"/>
      </c>
      <c r="AB34" s="37"/>
    </row>
    <row r="35" spans="1:28" s="10" customFormat="1" ht="16.5" customHeight="1">
      <c r="A35" s="158"/>
      <c r="B35" s="164"/>
      <c r="C35" s="530"/>
      <c r="D35" s="497"/>
      <c r="E35" s="496"/>
      <c r="F35" s="531"/>
      <c r="G35" s="532"/>
      <c r="H35" s="262">
        <f t="shared" si="0"/>
        <v>0</v>
      </c>
      <c r="I35" s="534"/>
      <c r="J35" s="534"/>
      <c r="K35" s="25">
        <f t="shared" si="1"/>
      </c>
      <c r="L35" s="26">
        <f t="shared" si="2"/>
      </c>
      <c r="M35" s="535"/>
      <c r="N35" s="535">
        <f t="shared" si="3"/>
      </c>
      <c r="O35" s="536">
        <f t="shared" si="4"/>
      </c>
      <c r="P35" s="535">
        <f t="shared" si="16"/>
      </c>
      <c r="Q35" s="332">
        <f t="shared" si="5"/>
        <v>3</v>
      </c>
      <c r="R35" s="336" t="str">
        <f t="shared" si="6"/>
        <v>--</v>
      </c>
      <c r="S35" s="342" t="str">
        <f t="shared" si="7"/>
        <v>--</v>
      </c>
      <c r="T35" s="351" t="str">
        <f t="shared" si="8"/>
        <v>--</v>
      </c>
      <c r="U35" s="352" t="str">
        <f t="shared" si="9"/>
        <v>--</v>
      </c>
      <c r="V35" s="360" t="str">
        <f t="shared" si="10"/>
        <v>--</v>
      </c>
      <c r="W35" s="361" t="str">
        <f t="shared" si="11"/>
        <v>--</v>
      </c>
      <c r="X35" s="366" t="str">
        <f t="shared" si="12"/>
        <v>--</v>
      </c>
      <c r="Y35" s="372" t="str">
        <f t="shared" si="13"/>
        <v>--</v>
      </c>
      <c r="Z35" s="24">
        <f t="shared" si="14"/>
      </c>
      <c r="AA35" s="60">
        <f t="shared" si="15"/>
      </c>
      <c r="AB35" s="37"/>
    </row>
    <row r="36" spans="1:28" s="10" customFormat="1" ht="16.5" customHeight="1">
      <c r="A36" s="158"/>
      <c r="B36" s="164"/>
      <c r="C36" s="530"/>
      <c r="D36" s="497"/>
      <c r="E36" s="496"/>
      <c r="F36" s="531"/>
      <c r="G36" s="532"/>
      <c r="H36" s="262">
        <f t="shared" si="0"/>
        <v>0</v>
      </c>
      <c r="I36" s="534"/>
      <c r="J36" s="534"/>
      <c r="K36" s="25">
        <f t="shared" si="1"/>
      </c>
      <c r="L36" s="26">
        <f t="shared" si="2"/>
      </c>
      <c r="M36" s="535"/>
      <c r="N36" s="535">
        <f t="shared" si="3"/>
      </c>
      <c r="O36" s="536">
        <f t="shared" si="4"/>
      </c>
      <c r="P36" s="535">
        <f t="shared" si="16"/>
      </c>
      <c r="Q36" s="332">
        <f t="shared" si="5"/>
        <v>3</v>
      </c>
      <c r="R36" s="336" t="str">
        <f t="shared" si="6"/>
        <v>--</v>
      </c>
      <c r="S36" s="342" t="str">
        <f t="shared" si="7"/>
        <v>--</v>
      </c>
      <c r="T36" s="351" t="str">
        <f t="shared" si="8"/>
        <v>--</v>
      </c>
      <c r="U36" s="352" t="str">
        <f t="shared" si="9"/>
        <v>--</v>
      </c>
      <c r="V36" s="360" t="str">
        <f t="shared" si="10"/>
        <v>--</v>
      </c>
      <c r="W36" s="361" t="str">
        <f t="shared" si="11"/>
        <v>--</v>
      </c>
      <c r="X36" s="366" t="str">
        <f t="shared" si="12"/>
        <v>--</v>
      </c>
      <c r="Y36" s="372" t="str">
        <f t="shared" si="13"/>
        <v>--</v>
      </c>
      <c r="Z36" s="24">
        <f t="shared" si="14"/>
      </c>
      <c r="AA36" s="60">
        <f t="shared" si="15"/>
      </c>
      <c r="AB36" s="37"/>
    </row>
    <row r="37" spans="1:28" s="10" customFormat="1" ht="16.5" customHeight="1">
      <c r="A37" s="158"/>
      <c r="B37" s="164"/>
      <c r="C37" s="530"/>
      <c r="D37" s="497"/>
      <c r="E37" s="496"/>
      <c r="F37" s="531"/>
      <c r="G37" s="532"/>
      <c r="H37" s="262">
        <f t="shared" si="0"/>
        <v>0</v>
      </c>
      <c r="I37" s="534"/>
      <c r="J37" s="534"/>
      <c r="K37" s="25">
        <f t="shared" si="1"/>
      </c>
      <c r="L37" s="26">
        <f t="shared" si="2"/>
      </c>
      <c r="M37" s="535"/>
      <c r="N37" s="535">
        <f t="shared" si="3"/>
      </c>
      <c r="O37" s="536">
        <f t="shared" si="4"/>
      </c>
      <c r="P37" s="535">
        <f t="shared" si="16"/>
      </c>
      <c r="Q37" s="332">
        <f t="shared" si="5"/>
        <v>3</v>
      </c>
      <c r="R37" s="336" t="str">
        <f t="shared" si="6"/>
        <v>--</v>
      </c>
      <c r="S37" s="342" t="str">
        <f t="shared" si="7"/>
        <v>--</v>
      </c>
      <c r="T37" s="351" t="str">
        <f t="shared" si="8"/>
        <v>--</v>
      </c>
      <c r="U37" s="352" t="str">
        <f t="shared" si="9"/>
        <v>--</v>
      </c>
      <c r="V37" s="360" t="str">
        <f t="shared" si="10"/>
        <v>--</v>
      </c>
      <c r="W37" s="361" t="str">
        <f t="shared" si="11"/>
        <v>--</v>
      </c>
      <c r="X37" s="366" t="str">
        <f t="shared" si="12"/>
        <v>--</v>
      </c>
      <c r="Y37" s="372" t="str">
        <f t="shared" si="13"/>
        <v>--</v>
      </c>
      <c r="Z37" s="24">
        <f t="shared" si="14"/>
      </c>
      <c r="AA37" s="60">
        <f t="shared" si="15"/>
      </c>
      <c r="AB37" s="37"/>
    </row>
    <row r="38" spans="1:28" s="10" customFormat="1" ht="16.5" customHeight="1">
      <c r="A38" s="158"/>
      <c r="B38" s="164"/>
      <c r="C38" s="530"/>
      <c r="D38" s="497"/>
      <c r="E38" s="496"/>
      <c r="F38" s="531"/>
      <c r="G38" s="532"/>
      <c r="H38" s="262">
        <f t="shared" si="0"/>
        <v>0</v>
      </c>
      <c r="I38" s="534"/>
      <c r="J38" s="534"/>
      <c r="K38" s="25">
        <f t="shared" si="1"/>
      </c>
      <c r="L38" s="26">
        <f t="shared" si="2"/>
      </c>
      <c r="M38" s="535"/>
      <c r="N38" s="535">
        <f t="shared" si="3"/>
      </c>
      <c r="O38" s="536">
        <f t="shared" si="4"/>
      </c>
      <c r="P38" s="535">
        <f t="shared" si="16"/>
      </c>
      <c r="Q38" s="332">
        <f t="shared" si="5"/>
        <v>3</v>
      </c>
      <c r="R38" s="336" t="str">
        <f t="shared" si="6"/>
        <v>--</v>
      </c>
      <c r="S38" s="342" t="str">
        <f t="shared" si="7"/>
        <v>--</v>
      </c>
      <c r="T38" s="351" t="str">
        <f t="shared" si="8"/>
        <v>--</v>
      </c>
      <c r="U38" s="352" t="str">
        <f t="shared" si="9"/>
        <v>--</v>
      </c>
      <c r="V38" s="360" t="str">
        <f t="shared" si="10"/>
        <v>--</v>
      </c>
      <c r="W38" s="361" t="str">
        <f t="shared" si="11"/>
        <v>--</v>
      </c>
      <c r="X38" s="366" t="str">
        <f t="shared" si="12"/>
        <v>--</v>
      </c>
      <c r="Y38" s="372" t="str">
        <f t="shared" si="13"/>
        <v>--</v>
      </c>
      <c r="Z38" s="24">
        <f t="shared" si="14"/>
      </c>
      <c r="AA38" s="60">
        <f t="shared" si="15"/>
      </c>
      <c r="AB38" s="37"/>
    </row>
    <row r="39" spans="1:28" s="10" customFormat="1" ht="16.5" customHeight="1">
      <c r="A39" s="158"/>
      <c r="B39" s="164"/>
      <c r="C39" s="530"/>
      <c r="D39" s="497"/>
      <c r="E39" s="496"/>
      <c r="F39" s="531"/>
      <c r="G39" s="532"/>
      <c r="H39" s="262">
        <f t="shared" si="0"/>
        <v>0</v>
      </c>
      <c r="I39" s="534"/>
      <c r="J39" s="534"/>
      <c r="K39" s="25">
        <f t="shared" si="1"/>
      </c>
      <c r="L39" s="26">
        <f t="shared" si="2"/>
      </c>
      <c r="M39" s="535"/>
      <c r="N39" s="535">
        <f t="shared" si="3"/>
      </c>
      <c r="O39" s="536">
        <f t="shared" si="4"/>
      </c>
      <c r="P39" s="535">
        <f t="shared" si="16"/>
      </c>
      <c r="Q39" s="332">
        <f t="shared" si="5"/>
        <v>3</v>
      </c>
      <c r="R39" s="336" t="str">
        <f t="shared" si="6"/>
        <v>--</v>
      </c>
      <c r="S39" s="342" t="str">
        <f t="shared" si="7"/>
        <v>--</v>
      </c>
      <c r="T39" s="351" t="str">
        <f t="shared" si="8"/>
        <v>--</v>
      </c>
      <c r="U39" s="352" t="str">
        <f t="shared" si="9"/>
        <v>--</v>
      </c>
      <c r="V39" s="360" t="str">
        <f t="shared" si="10"/>
        <v>--</v>
      </c>
      <c r="W39" s="361" t="str">
        <f t="shared" si="11"/>
        <v>--</v>
      </c>
      <c r="X39" s="366" t="str">
        <f t="shared" si="12"/>
        <v>--</v>
      </c>
      <c r="Y39" s="372" t="str">
        <f t="shared" si="13"/>
        <v>--</v>
      </c>
      <c r="Z39" s="24">
        <f t="shared" si="14"/>
      </c>
      <c r="AA39" s="60">
        <f t="shared" si="15"/>
      </c>
      <c r="AB39" s="37"/>
    </row>
    <row r="40" spans="1:28" s="10" customFormat="1" ht="16.5" customHeight="1" thickBot="1">
      <c r="A40" s="158"/>
      <c r="B40" s="164"/>
      <c r="C40" s="533"/>
      <c r="D40" s="533"/>
      <c r="E40" s="533"/>
      <c r="F40" s="533"/>
      <c r="G40" s="533"/>
      <c r="H40" s="266"/>
      <c r="I40" s="533"/>
      <c r="J40" s="533"/>
      <c r="K40" s="28"/>
      <c r="L40" s="28"/>
      <c r="M40" s="533"/>
      <c r="N40" s="533"/>
      <c r="O40" s="533"/>
      <c r="P40" s="533"/>
      <c r="Q40" s="333"/>
      <c r="R40" s="337"/>
      <c r="S40" s="343"/>
      <c r="T40" s="375"/>
      <c r="U40" s="376"/>
      <c r="V40" s="377"/>
      <c r="W40" s="378"/>
      <c r="X40" s="367"/>
      <c r="Y40" s="373"/>
      <c r="Z40" s="28"/>
      <c r="AA40" s="205"/>
      <c r="AB40" s="37"/>
    </row>
    <row r="41" spans="1:28" s="10" customFormat="1" ht="16.5" customHeight="1" thickBot="1" thickTop="1">
      <c r="A41" s="158"/>
      <c r="B41" s="164"/>
      <c r="C41" s="234" t="s">
        <v>68</v>
      </c>
      <c r="D41" s="235" t="s">
        <v>156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38">
        <f aca="true" t="shared" si="17" ref="R41:Y41">SUM(R18:R40)</f>
        <v>0</v>
      </c>
      <c r="S41" s="344">
        <f t="shared" si="17"/>
        <v>0</v>
      </c>
      <c r="T41" s="353">
        <f t="shared" si="17"/>
        <v>102.15</v>
      </c>
      <c r="U41" s="353">
        <f t="shared" si="17"/>
        <v>175.698</v>
      </c>
      <c r="V41" s="362">
        <f t="shared" si="17"/>
        <v>0</v>
      </c>
      <c r="W41" s="362">
        <f t="shared" si="17"/>
        <v>0</v>
      </c>
      <c r="X41" s="368">
        <f t="shared" si="17"/>
        <v>0</v>
      </c>
      <c r="Y41" s="374">
        <f t="shared" si="17"/>
        <v>0</v>
      </c>
      <c r="Z41" s="30"/>
      <c r="AA41" s="250">
        <f>ROUND(SUM(AA18:AA40),2)</f>
        <v>277.85</v>
      </c>
      <c r="AB41" s="37"/>
    </row>
    <row r="42" spans="1:28" s="252" customFormat="1" ht="9.75" thickTop="1">
      <c r="A42" s="253"/>
      <c r="B42" s="254"/>
      <c r="C42" s="236"/>
      <c r="D42" s="237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6"/>
      <c r="S42" s="256"/>
      <c r="T42" s="256"/>
      <c r="U42" s="256"/>
      <c r="V42" s="256"/>
      <c r="W42" s="256"/>
      <c r="X42" s="256"/>
      <c r="Y42" s="256"/>
      <c r="Z42" s="255"/>
      <c r="AA42" s="257"/>
      <c r="AB42" s="258"/>
    </row>
    <row r="43" spans="1:28" s="10" customFormat="1" ht="16.5" customHeight="1" thickBot="1">
      <c r="A43" s="158"/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4"/>
    </row>
    <row r="44" spans="2:28" ht="16.5" customHeight="1" thickTop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4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Roman,Cursiva"&amp;7&amp;Z&amp;F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75" zoomScaleNormal="75" zoomScalePageLayoutView="0" workbookViewId="0" topLeftCell="B4">
      <selection activeCell="H17" sqref="H1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140625" style="0" hidden="1" customWidth="1"/>
    <col min="15" max="15" width="16.8515625" style="0" hidden="1" customWidth="1"/>
    <col min="16" max="16" width="16.57421875" style="0" hidden="1" customWidth="1"/>
    <col min="17" max="18" width="15.57421875" style="0" hidden="1" customWidth="1"/>
    <col min="19" max="19" width="9.7109375" style="0" customWidth="1"/>
    <col min="20" max="21" width="15.7109375" style="0" customWidth="1"/>
  </cols>
  <sheetData>
    <row r="1" s="105" customFormat="1" ht="26.25">
      <c r="U1" s="399"/>
    </row>
    <row r="2" spans="2:21" s="105" customFormat="1" ht="26.25">
      <c r="B2" s="106" t="str">
        <f>+'TOT-0803'!B2</f>
        <v>ANEXO III al Memorándum D.T.E.E.   N°       587  /2013.-</v>
      </c>
      <c r="C2" s="107"/>
      <c r="D2" s="107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="10" customFormat="1" ht="12.75"/>
    <row r="4" spans="1:2" s="108" customFormat="1" ht="11.25">
      <c r="A4" s="125" t="s">
        <v>25</v>
      </c>
      <c r="B4" s="207"/>
    </row>
    <row r="5" spans="1:2" s="108" customFormat="1" ht="11.25">
      <c r="A5" s="125" t="s">
        <v>26</v>
      </c>
      <c r="B5" s="207"/>
    </row>
    <row r="6" s="10" customFormat="1" ht="13.5" thickBot="1"/>
    <row r="7" spans="2:21" s="10" customFormat="1" ht="13.5" thickTop="1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</row>
    <row r="8" spans="2:21" s="110" customFormat="1" ht="20.25">
      <c r="B8" s="109"/>
      <c r="C8" s="43"/>
      <c r="D8" s="20" t="s">
        <v>46</v>
      </c>
      <c r="N8" s="43"/>
      <c r="O8" s="43"/>
      <c r="P8" s="43"/>
      <c r="Q8" s="43"/>
      <c r="R8" s="43"/>
      <c r="S8" s="43"/>
      <c r="T8" s="43"/>
      <c r="U8" s="111"/>
    </row>
    <row r="9" spans="2:21" s="10" customFormat="1" ht="12.75">
      <c r="B9" s="42"/>
      <c r="C9" s="8"/>
      <c r="D9" s="8"/>
      <c r="E9" s="8"/>
      <c r="F9" s="8"/>
      <c r="G9" s="119"/>
      <c r="H9" s="119"/>
      <c r="I9" s="119"/>
      <c r="J9" s="119"/>
      <c r="K9" s="119"/>
      <c r="N9" s="8"/>
      <c r="O9" s="8"/>
      <c r="P9" s="8"/>
      <c r="Q9" s="8"/>
      <c r="R9" s="8"/>
      <c r="S9" s="8"/>
      <c r="T9" s="8"/>
      <c r="U9" s="11"/>
    </row>
    <row r="10" spans="2:21" s="110" customFormat="1" ht="20.25">
      <c r="B10" s="109"/>
      <c r="C10" s="43"/>
      <c r="D10" s="20" t="s">
        <v>82</v>
      </c>
      <c r="E10" s="20"/>
      <c r="F10" s="43"/>
      <c r="G10" s="20"/>
      <c r="H10" s="20"/>
      <c r="I10" s="20"/>
      <c r="J10" s="20"/>
      <c r="K10" s="20"/>
      <c r="N10" s="43"/>
      <c r="O10" s="43"/>
      <c r="P10" s="43"/>
      <c r="Q10" s="43"/>
      <c r="R10" s="43"/>
      <c r="S10" s="43"/>
      <c r="T10" s="43"/>
      <c r="U10" s="111"/>
    </row>
    <row r="11" spans="2:21" s="10" customFormat="1" ht="12.75">
      <c r="B11" s="42"/>
      <c r="C11" s="8"/>
      <c r="D11" s="175"/>
      <c r="E11" s="119"/>
      <c r="F11" s="8"/>
      <c r="G11" s="119"/>
      <c r="H11" s="119"/>
      <c r="I11" s="119"/>
      <c r="J11" s="119"/>
      <c r="K11" s="119"/>
      <c r="N11" s="8"/>
      <c r="O11" s="8"/>
      <c r="P11" s="8"/>
      <c r="Q11" s="8"/>
      <c r="R11" s="8"/>
      <c r="S11" s="8"/>
      <c r="T11" s="8"/>
      <c r="U11" s="11"/>
    </row>
    <row r="12" spans="2:21" s="110" customFormat="1" ht="20.25">
      <c r="B12" s="109"/>
      <c r="C12" s="43"/>
      <c r="D12" s="20" t="s">
        <v>83</v>
      </c>
      <c r="E12" s="20"/>
      <c r="F12" s="43"/>
      <c r="G12" s="20"/>
      <c r="H12" s="20"/>
      <c r="I12" s="20"/>
      <c r="J12" s="20"/>
      <c r="K12" s="20"/>
      <c r="N12" s="43"/>
      <c r="O12" s="43"/>
      <c r="P12" s="43"/>
      <c r="Q12" s="43"/>
      <c r="R12" s="43"/>
      <c r="S12" s="43"/>
      <c r="T12" s="43"/>
      <c r="U12" s="111"/>
    </row>
    <row r="13" spans="2:21" s="10" customFormat="1" ht="12.75">
      <c r="B13" s="42"/>
      <c r="C13" s="8"/>
      <c r="D13" s="121"/>
      <c r="E13" s="119"/>
      <c r="F13" s="8"/>
      <c r="G13" s="119"/>
      <c r="H13" s="119"/>
      <c r="I13" s="119"/>
      <c r="J13" s="119"/>
      <c r="K13" s="119"/>
      <c r="N13" s="8"/>
      <c r="O13" s="8"/>
      <c r="P13" s="8"/>
      <c r="Q13" s="8"/>
      <c r="R13" s="8"/>
      <c r="S13" s="8"/>
      <c r="T13" s="8"/>
      <c r="U13" s="11"/>
    </row>
    <row r="14" spans="2:21" s="117" customFormat="1" ht="19.5">
      <c r="B14" s="83" t="str">
        <f>+'TOT-0803'!B14</f>
        <v>Desde el 01 al 31 de marzo de 2008</v>
      </c>
      <c r="C14" s="113"/>
      <c r="D14" s="113"/>
      <c r="E14" s="113"/>
      <c r="F14" s="82"/>
      <c r="G14" s="113"/>
      <c r="H14" s="114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6"/>
    </row>
    <row r="15" spans="2:21" s="10" customFormat="1" ht="16.5" customHeight="1" thickBot="1">
      <c r="B15" s="42"/>
      <c r="C15" s="8"/>
      <c r="G15" s="118"/>
      <c r="I15" s="8"/>
      <c r="J15" s="8"/>
      <c r="K15" s="8"/>
      <c r="L15" s="118"/>
      <c r="M15" s="118"/>
      <c r="N15" s="118"/>
      <c r="O15" s="8"/>
      <c r="P15" s="8"/>
      <c r="Q15" s="8"/>
      <c r="R15" s="8"/>
      <c r="S15" s="8"/>
      <c r="T15" s="8"/>
      <c r="U15" s="11"/>
    </row>
    <row r="16" spans="2:21" s="10" customFormat="1" ht="16.5" customHeight="1" thickBot="1" thickTop="1">
      <c r="B16" s="42"/>
      <c r="C16" s="8"/>
      <c r="D16" s="213" t="s">
        <v>84</v>
      </c>
      <c r="E16" s="214">
        <v>7.577</v>
      </c>
      <c r="F16" s="89">
        <f>60*'TOT-0803'!B13</f>
        <v>60</v>
      </c>
      <c r="G16" s="118"/>
      <c r="H16" s="228" t="str">
        <f>IF(F16=60," ",IF(F16=120,"Coeficiente duplicado por tasa de falla &gt;4 Sal. x año/100 km.","REVISAR COEFICIENTE"))</f>
        <v> </v>
      </c>
      <c r="I16" s="8"/>
      <c r="J16" s="8"/>
      <c r="K16" s="8"/>
      <c r="L16" s="118"/>
      <c r="M16" s="118"/>
      <c r="N16" s="118"/>
      <c r="O16" s="8"/>
      <c r="P16" s="8"/>
      <c r="Q16" s="8"/>
      <c r="R16" s="8"/>
      <c r="S16" s="8"/>
      <c r="T16" s="8"/>
      <c r="U16" s="11"/>
    </row>
    <row r="17" spans="2:21" s="10" customFormat="1" ht="16.5" customHeight="1" thickBot="1" thickTop="1">
      <c r="B17" s="42"/>
      <c r="C17" s="8"/>
      <c r="D17" s="213" t="s">
        <v>85</v>
      </c>
      <c r="E17" s="214">
        <v>3.03</v>
      </c>
      <c r="F17" s="89">
        <f>50*'TOT-0803'!B13</f>
        <v>50</v>
      </c>
      <c r="H17" s="228" t="str">
        <f>IF(F17=50," ",IF(F17=100,"Coeficiente duplicado por tasa de falla &gt;4 Sal. x año/100 km.","REVISAR COEFICIENTE"))</f>
        <v> </v>
      </c>
      <c r="O17" s="268"/>
      <c r="Q17" s="8"/>
      <c r="R17" s="8"/>
      <c r="S17" s="8"/>
      <c r="T17" s="208"/>
      <c r="U17" s="11"/>
    </row>
    <row r="18" spans="2:21" s="10" customFormat="1" ht="16.5" customHeight="1" thickBot="1" thickTop="1">
      <c r="B18" s="42"/>
      <c r="C18" s="8"/>
      <c r="D18" s="215" t="s">
        <v>86</v>
      </c>
      <c r="E18" s="216">
        <v>2.274</v>
      </c>
      <c r="F18" s="217">
        <f>25*'TOT-0803'!B13</f>
        <v>25</v>
      </c>
      <c r="H18" s="228" t="str">
        <f>IF(F18=25," ",IF(F18=50,"Coeficiente duplicado por tasa de falla &gt;4 Sal. x año/100 km.","REVISAR COEFICIENTE"))</f>
        <v> </v>
      </c>
      <c r="I18" s="157"/>
      <c r="J18" s="157"/>
      <c r="K18" s="8"/>
      <c r="N18" s="209"/>
      <c r="O18" s="210"/>
      <c r="P18" s="35"/>
      <c r="Q18" s="8"/>
      <c r="R18" s="8"/>
      <c r="S18" s="8"/>
      <c r="T18" s="208"/>
      <c r="U18" s="11"/>
    </row>
    <row r="19" spans="2:21" s="10" customFormat="1" ht="16.5" customHeight="1" thickBot="1" thickTop="1">
      <c r="B19" s="42"/>
      <c r="C19" s="8"/>
      <c r="D19" s="218" t="s">
        <v>87</v>
      </c>
      <c r="E19" s="216">
        <v>2.274</v>
      </c>
      <c r="F19" s="219">
        <f>20*'TOT-0803'!B13</f>
        <v>20</v>
      </c>
      <c r="H19" s="228" t="str">
        <f>IF(F19=20," ",IF(F19=40,"Coeficiente duplicado por tasa de falla &gt;4 Sal. x año/100 km.","REVISAR COEFICIENTE"))</f>
        <v> </v>
      </c>
      <c r="I19" s="157"/>
      <c r="J19" s="157"/>
      <c r="K19" s="8"/>
      <c r="N19" s="209"/>
      <c r="O19" s="210"/>
      <c r="P19" s="35"/>
      <c r="Q19" s="8"/>
      <c r="R19" s="8"/>
      <c r="S19" s="8"/>
      <c r="T19" s="208"/>
      <c r="U19" s="11"/>
    </row>
    <row r="20" spans="2:21" s="10" customFormat="1" ht="16.5" customHeight="1" thickBot="1" thickTop="1">
      <c r="B20" s="42"/>
      <c r="C20" s="8"/>
      <c r="D20" s="211"/>
      <c r="E20" s="212"/>
      <c r="F20" s="35"/>
      <c r="G20" s="8"/>
      <c r="H20" s="35"/>
      <c r="I20" s="157"/>
      <c r="J20" s="157"/>
      <c r="K20" s="8"/>
      <c r="L20" s="8"/>
      <c r="M20" s="8"/>
      <c r="N20" s="209"/>
      <c r="O20" s="210"/>
      <c r="P20" s="35"/>
      <c r="Q20" s="8"/>
      <c r="R20" s="8"/>
      <c r="S20" s="8"/>
      <c r="T20" s="208"/>
      <c r="U20" s="11"/>
    </row>
    <row r="21" spans="2:21" s="10" customFormat="1" ht="33.75" customHeight="1" thickBot="1" thickTop="1">
      <c r="B21" s="42"/>
      <c r="C21" s="203" t="s">
        <v>50</v>
      </c>
      <c r="D21" s="201" t="s">
        <v>71</v>
      </c>
      <c r="E21" s="220" t="s">
        <v>23</v>
      </c>
      <c r="F21" s="223" t="s">
        <v>51</v>
      </c>
      <c r="G21" s="259" t="s">
        <v>53</v>
      </c>
      <c r="H21" s="197" t="s">
        <v>54</v>
      </c>
      <c r="I21" s="220" t="s">
        <v>55</v>
      </c>
      <c r="J21" s="222" t="s">
        <v>75</v>
      </c>
      <c r="K21" s="222" t="s">
        <v>76</v>
      </c>
      <c r="L21" s="101" t="s">
        <v>58</v>
      </c>
      <c r="M21" s="202" t="s">
        <v>77</v>
      </c>
      <c r="N21" s="380" t="s">
        <v>88</v>
      </c>
      <c r="O21" s="314" t="s">
        <v>60</v>
      </c>
      <c r="P21" s="354" t="s">
        <v>81</v>
      </c>
      <c r="Q21" s="355"/>
      <c r="R21" s="389" t="s">
        <v>64</v>
      </c>
      <c r="S21" s="199" t="s">
        <v>66</v>
      </c>
      <c r="T21" s="199" t="s">
        <v>67</v>
      </c>
      <c r="U21" s="37"/>
    </row>
    <row r="22" spans="2:21" s="10" customFormat="1" ht="16.5" customHeight="1" thickTop="1">
      <c r="B22" s="42"/>
      <c r="C22" s="19"/>
      <c r="D22" s="31"/>
      <c r="E22" s="31"/>
      <c r="F22" s="395"/>
      <c r="G22" s="267"/>
      <c r="H22" s="32"/>
      <c r="I22" s="33"/>
      <c r="J22" s="34"/>
      <c r="K22" s="61"/>
      <c r="L22" s="382"/>
      <c r="M22" s="382"/>
      <c r="N22" s="383"/>
      <c r="O22" s="384"/>
      <c r="P22" s="386"/>
      <c r="Q22" s="387"/>
      <c r="R22" s="390"/>
      <c r="S22" s="388"/>
      <c r="T22" s="398"/>
      <c r="U22" s="37"/>
    </row>
    <row r="23" spans="2:21" s="10" customFormat="1" ht="16.5" customHeight="1">
      <c r="B23" s="42"/>
      <c r="C23" s="19"/>
      <c r="D23" s="31"/>
      <c r="E23" s="31"/>
      <c r="F23" s="395"/>
      <c r="G23" s="267"/>
      <c r="H23" s="32"/>
      <c r="I23" s="33"/>
      <c r="J23" s="34"/>
      <c r="K23" s="61"/>
      <c r="L23" s="27"/>
      <c r="M23" s="27"/>
      <c r="N23" s="381"/>
      <c r="O23" s="385"/>
      <c r="P23" s="360"/>
      <c r="Q23" s="361"/>
      <c r="R23" s="391"/>
      <c r="S23" s="24"/>
      <c r="T23" s="221"/>
      <c r="U23" s="37"/>
    </row>
    <row r="24" spans="2:21" s="10" customFormat="1" ht="16.5" customHeight="1">
      <c r="B24" s="42"/>
      <c r="C24" s="542">
        <v>6</v>
      </c>
      <c r="D24" s="530" t="s">
        <v>9</v>
      </c>
      <c r="E24" s="530" t="s">
        <v>20</v>
      </c>
      <c r="F24" s="544">
        <v>13.2</v>
      </c>
      <c r="G24" s="267">
        <f aca="true" t="shared" si="0" ref="G24:G42">IF(F24=330,$E$16,IF(AND(F24&lt;=132,F24&gt;=66),$E$17,IF(AND(F24&lt;66,F24&gt;=33),$E$18,$E$19)))</f>
        <v>2.274</v>
      </c>
      <c r="H24" s="545">
        <v>39525.34166666667</v>
      </c>
      <c r="I24" s="546">
        <v>39525.41875</v>
      </c>
      <c r="J24" s="34">
        <f aca="true" t="shared" si="1" ref="J24:J42">IF(D24="","",(I24-H24)*24)</f>
        <v>1.8499999999185093</v>
      </c>
      <c r="K24" s="61">
        <f aca="true" t="shared" si="2" ref="K24:K42">IF(D24="","",ROUND((I24-H24)*24*60,0))</f>
        <v>111</v>
      </c>
      <c r="L24" s="547" t="s">
        <v>150</v>
      </c>
      <c r="M24" s="547" t="str">
        <f aca="true" t="shared" si="3" ref="M24:M42">IF(D24="","",IF(L24="P","--","NO"))</f>
        <v>--</v>
      </c>
      <c r="N24" s="548">
        <f aca="true" t="shared" si="4" ref="N24:N42">IF(F24=330,$F$16,IF(AND(F24&lt;=132,F24&gt;=66),$F$17,IF(AND(F24&lt;66,F24&gt;13.2),$F$18,$F$19)))</f>
        <v>20</v>
      </c>
      <c r="O24" s="549">
        <f aca="true" t="shared" si="5" ref="O24:O42">IF(L24="P",G24*N24*ROUND(K24/60,2)*0.1,"--")</f>
        <v>8.4138</v>
      </c>
      <c r="P24" s="537" t="str">
        <f aca="true" t="shared" si="6" ref="P24:P42">IF(AND(L24="F",M24="NO"),G24*N24,"--")</f>
        <v>--</v>
      </c>
      <c r="Q24" s="538" t="str">
        <f aca="true" t="shared" si="7" ref="Q24:Q42">IF(L24="F",G24*N24*ROUND(K24/60,2),"--")</f>
        <v>--</v>
      </c>
      <c r="R24" s="550" t="str">
        <f aca="true" t="shared" si="8" ref="R24:R42">IF(L24="RF",G24*N24*ROUND(K24/60,2),"--")</f>
        <v>--</v>
      </c>
      <c r="S24" s="535" t="str">
        <f aca="true" t="shared" si="9" ref="S24:S42">IF(D24="","","SI")</f>
        <v>SI</v>
      </c>
      <c r="T24" s="62">
        <f aca="true" t="shared" si="10" ref="T24:T42">IF(D24="","",SUM(O24:R24)*IF(S24="SI",1,2)*IF(F24="500/220",0,1))</f>
        <v>8.4138</v>
      </c>
      <c r="U24" s="37"/>
    </row>
    <row r="25" spans="2:21" s="10" customFormat="1" ht="16.5" customHeight="1">
      <c r="B25" s="42"/>
      <c r="C25" s="542">
        <v>7</v>
      </c>
      <c r="D25" s="530" t="s">
        <v>9</v>
      </c>
      <c r="E25" s="530" t="s">
        <v>19</v>
      </c>
      <c r="F25" s="544">
        <v>13.2</v>
      </c>
      <c r="G25" s="267">
        <f t="shared" si="0"/>
        <v>2.274</v>
      </c>
      <c r="H25" s="545">
        <v>39525.436111111114</v>
      </c>
      <c r="I25" s="546">
        <v>39525.527083333334</v>
      </c>
      <c r="J25" s="34">
        <f t="shared" si="1"/>
        <v>2.1833333332906477</v>
      </c>
      <c r="K25" s="61">
        <f t="shared" si="2"/>
        <v>131</v>
      </c>
      <c r="L25" s="547" t="s">
        <v>150</v>
      </c>
      <c r="M25" s="547" t="str">
        <f t="shared" si="3"/>
        <v>--</v>
      </c>
      <c r="N25" s="548">
        <f t="shared" si="4"/>
        <v>20</v>
      </c>
      <c r="O25" s="549">
        <f t="shared" si="5"/>
        <v>9.914640000000002</v>
      </c>
      <c r="P25" s="537" t="str">
        <f t="shared" si="6"/>
        <v>--</v>
      </c>
      <c r="Q25" s="538" t="str">
        <f t="shared" si="7"/>
        <v>--</v>
      </c>
      <c r="R25" s="550" t="str">
        <f t="shared" si="8"/>
        <v>--</v>
      </c>
      <c r="S25" s="535" t="str">
        <f t="shared" si="9"/>
        <v>SI</v>
      </c>
      <c r="T25" s="62">
        <f t="shared" si="10"/>
        <v>9.914640000000002</v>
      </c>
      <c r="U25" s="37"/>
    </row>
    <row r="26" spans="2:21" s="10" customFormat="1" ht="16.5" customHeight="1">
      <c r="B26" s="42"/>
      <c r="C26" s="542">
        <v>8</v>
      </c>
      <c r="D26" s="530" t="s">
        <v>154</v>
      </c>
      <c r="E26" s="530" t="s">
        <v>153</v>
      </c>
      <c r="F26" s="544">
        <v>10.4</v>
      </c>
      <c r="G26" s="267">
        <f t="shared" si="0"/>
        <v>2.274</v>
      </c>
      <c r="H26" s="545">
        <v>39526.354166666664</v>
      </c>
      <c r="I26" s="546">
        <v>39526.430555555555</v>
      </c>
      <c r="J26" s="34">
        <f t="shared" si="1"/>
        <v>1.8333333333721384</v>
      </c>
      <c r="K26" s="61">
        <f t="shared" si="2"/>
        <v>110</v>
      </c>
      <c r="L26" s="547" t="s">
        <v>150</v>
      </c>
      <c r="M26" s="547" t="str">
        <f t="shared" si="3"/>
        <v>--</v>
      </c>
      <c r="N26" s="548">
        <f t="shared" si="4"/>
        <v>20</v>
      </c>
      <c r="O26" s="549">
        <f t="shared" si="5"/>
        <v>8.322840000000001</v>
      </c>
      <c r="P26" s="537" t="str">
        <f t="shared" si="6"/>
        <v>--</v>
      </c>
      <c r="Q26" s="538" t="str">
        <f t="shared" si="7"/>
        <v>--</v>
      </c>
      <c r="R26" s="550" t="str">
        <f t="shared" si="8"/>
        <v>--</v>
      </c>
      <c r="S26" s="535" t="str">
        <f t="shared" si="9"/>
        <v>SI</v>
      </c>
      <c r="T26" s="62">
        <f t="shared" si="10"/>
        <v>8.322840000000001</v>
      </c>
      <c r="U26" s="37"/>
    </row>
    <row r="27" spans="2:21" s="10" customFormat="1" ht="16.5" customHeight="1">
      <c r="B27" s="42"/>
      <c r="C27" s="542"/>
      <c r="D27" s="543"/>
      <c r="E27" s="543"/>
      <c r="F27" s="544"/>
      <c r="G27" s="267">
        <f t="shared" si="0"/>
        <v>2.274</v>
      </c>
      <c r="H27" s="545"/>
      <c r="I27" s="546"/>
      <c r="J27" s="34">
        <f t="shared" si="1"/>
      </c>
      <c r="K27" s="61">
        <f t="shared" si="2"/>
      </c>
      <c r="L27" s="547"/>
      <c r="M27" s="547">
        <f t="shared" si="3"/>
      </c>
      <c r="N27" s="548">
        <f t="shared" si="4"/>
        <v>20</v>
      </c>
      <c r="O27" s="549" t="str">
        <f t="shared" si="5"/>
        <v>--</v>
      </c>
      <c r="P27" s="537" t="str">
        <f t="shared" si="6"/>
        <v>--</v>
      </c>
      <c r="Q27" s="538" t="str">
        <f t="shared" si="7"/>
        <v>--</v>
      </c>
      <c r="R27" s="550" t="str">
        <f t="shared" si="8"/>
        <v>--</v>
      </c>
      <c r="S27" s="535">
        <f t="shared" si="9"/>
      </c>
      <c r="T27" s="62">
        <f t="shared" si="10"/>
      </c>
      <c r="U27" s="37"/>
    </row>
    <row r="28" spans="2:21" s="10" customFormat="1" ht="16.5" customHeight="1">
      <c r="B28" s="42"/>
      <c r="C28" s="542"/>
      <c r="D28" s="543"/>
      <c r="E28" s="543"/>
      <c r="F28" s="544"/>
      <c r="G28" s="267">
        <f t="shared" si="0"/>
        <v>2.274</v>
      </c>
      <c r="H28" s="545"/>
      <c r="I28" s="546"/>
      <c r="J28" s="34">
        <f t="shared" si="1"/>
      </c>
      <c r="K28" s="61">
        <f t="shared" si="2"/>
      </c>
      <c r="L28" s="547"/>
      <c r="M28" s="547">
        <f t="shared" si="3"/>
      </c>
      <c r="N28" s="548">
        <f t="shared" si="4"/>
        <v>20</v>
      </c>
      <c r="O28" s="549" t="str">
        <f t="shared" si="5"/>
        <v>--</v>
      </c>
      <c r="P28" s="537" t="str">
        <f t="shared" si="6"/>
        <v>--</v>
      </c>
      <c r="Q28" s="538" t="str">
        <f t="shared" si="7"/>
        <v>--</v>
      </c>
      <c r="R28" s="550" t="str">
        <f t="shared" si="8"/>
        <v>--</v>
      </c>
      <c r="S28" s="535">
        <f t="shared" si="9"/>
      </c>
      <c r="T28" s="62">
        <f t="shared" si="10"/>
      </c>
      <c r="U28" s="37"/>
    </row>
    <row r="29" spans="2:21" s="10" customFormat="1" ht="16.5" customHeight="1">
      <c r="B29" s="42"/>
      <c r="C29" s="542"/>
      <c r="D29" s="543"/>
      <c r="E29" s="543"/>
      <c r="F29" s="544"/>
      <c r="G29" s="267">
        <f t="shared" si="0"/>
        <v>2.274</v>
      </c>
      <c r="H29" s="545"/>
      <c r="I29" s="546"/>
      <c r="J29" s="34">
        <f t="shared" si="1"/>
      </c>
      <c r="K29" s="61">
        <f t="shared" si="2"/>
      </c>
      <c r="L29" s="547"/>
      <c r="M29" s="547">
        <f t="shared" si="3"/>
      </c>
      <c r="N29" s="548">
        <f t="shared" si="4"/>
        <v>20</v>
      </c>
      <c r="O29" s="549" t="str">
        <f t="shared" si="5"/>
        <v>--</v>
      </c>
      <c r="P29" s="537" t="str">
        <f t="shared" si="6"/>
        <v>--</v>
      </c>
      <c r="Q29" s="538" t="str">
        <f t="shared" si="7"/>
        <v>--</v>
      </c>
      <c r="R29" s="550" t="str">
        <f t="shared" si="8"/>
        <v>--</v>
      </c>
      <c r="S29" s="535">
        <f t="shared" si="9"/>
      </c>
      <c r="T29" s="62">
        <f t="shared" si="10"/>
      </c>
      <c r="U29" s="37"/>
    </row>
    <row r="30" spans="2:21" s="10" customFormat="1" ht="16.5" customHeight="1">
      <c r="B30" s="42"/>
      <c r="C30" s="542"/>
      <c r="D30" s="543"/>
      <c r="E30" s="543"/>
      <c r="F30" s="544"/>
      <c r="G30" s="267">
        <f t="shared" si="0"/>
        <v>2.274</v>
      </c>
      <c r="H30" s="545"/>
      <c r="I30" s="546"/>
      <c r="J30" s="34">
        <f t="shared" si="1"/>
      </c>
      <c r="K30" s="61">
        <f t="shared" si="2"/>
      </c>
      <c r="L30" s="547"/>
      <c r="M30" s="547">
        <f t="shared" si="3"/>
      </c>
      <c r="N30" s="548">
        <f t="shared" si="4"/>
        <v>20</v>
      </c>
      <c r="O30" s="549" t="str">
        <f t="shared" si="5"/>
        <v>--</v>
      </c>
      <c r="P30" s="537" t="str">
        <f t="shared" si="6"/>
        <v>--</v>
      </c>
      <c r="Q30" s="538" t="str">
        <f t="shared" si="7"/>
        <v>--</v>
      </c>
      <c r="R30" s="550" t="str">
        <f t="shared" si="8"/>
        <v>--</v>
      </c>
      <c r="S30" s="535">
        <f t="shared" si="9"/>
      </c>
      <c r="T30" s="62">
        <f t="shared" si="10"/>
      </c>
      <c r="U30" s="37"/>
    </row>
    <row r="31" spans="2:21" s="10" customFormat="1" ht="16.5" customHeight="1">
      <c r="B31" s="42"/>
      <c r="C31" s="542"/>
      <c r="D31" s="543"/>
      <c r="E31" s="543"/>
      <c r="F31" s="544"/>
      <c r="G31" s="267">
        <f t="shared" si="0"/>
        <v>2.274</v>
      </c>
      <c r="H31" s="545"/>
      <c r="I31" s="546"/>
      <c r="J31" s="34">
        <f t="shared" si="1"/>
      </c>
      <c r="K31" s="61">
        <f t="shared" si="2"/>
      </c>
      <c r="L31" s="547"/>
      <c r="M31" s="547">
        <f t="shared" si="3"/>
      </c>
      <c r="N31" s="548">
        <f t="shared" si="4"/>
        <v>20</v>
      </c>
      <c r="O31" s="549" t="str">
        <f t="shared" si="5"/>
        <v>--</v>
      </c>
      <c r="P31" s="537" t="str">
        <f t="shared" si="6"/>
        <v>--</v>
      </c>
      <c r="Q31" s="538" t="str">
        <f t="shared" si="7"/>
        <v>--</v>
      </c>
      <c r="R31" s="550" t="str">
        <f t="shared" si="8"/>
        <v>--</v>
      </c>
      <c r="S31" s="535">
        <f t="shared" si="9"/>
      </c>
      <c r="T31" s="62">
        <f t="shared" si="10"/>
      </c>
      <c r="U31" s="37"/>
    </row>
    <row r="32" spans="2:21" s="10" customFormat="1" ht="16.5" customHeight="1">
      <c r="B32" s="42"/>
      <c r="C32" s="542"/>
      <c r="D32" s="543"/>
      <c r="E32" s="543"/>
      <c r="F32" s="544"/>
      <c r="G32" s="267">
        <f t="shared" si="0"/>
        <v>2.274</v>
      </c>
      <c r="H32" s="545"/>
      <c r="I32" s="546"/>
      <c r="J32" s="34">
        <f t="shared" si="1"/>
      </c>
      <c r="K32" s="61">
        <f t="shared" si="2"/>
      </c>
      <c r="L32" s="547"/>
      <c r="M32" s="547">
        <f t="shared" si="3"/>
      </c>
      <c r="N32" s="548">
        <f t="shared" si="4"/>
        <v>20</v>
      </c>
      <c r="O32" s="549" t="str">
        <f t="shared" si="5"/>
        <v>--</v>
      </c>
      <c r="P32" s="537" t="str">
        <f t="shared" si="6"/>
        <v>--</v>
      </c>
      <c r="Q32" s="538" t="str">
        <f t="shared" si="7"/>
        <v>--</v>
      </c>
      <c r="R32" s="550" t="str">
        <f t="shared" si="8"/>
        <v>--</v>
      </c>
      <c r="S32" s="535">
        <f t="shared" si="9"/>
      </c>
      <c r="T32" s="62">
        <f t="shared" si="10"/>
      </c>
      <c r="U32" s="37"/>
    </row>
    <row r="33" spans="2:21" s="10" customFormat="1" ht="16.5" customHeight="1">
      <c r="B33" s="42"/>
      <c r="C33" s="542"/>
      <c r="D33" s="543"/>
      <c r="E33" s="543"/>
      <c r="F33" s="544"/>
      <c r="G33" s="267">
        <f t="shared" si="0"/>
        <v>2.274</v>
      </c>
      <c r="H33" s="545"/>
      <c r="I33" s="546"/>
      <c r="J33" s="34">
        <f t="shared" si="1"/>
      </c>
      <c r="K33" s="61">
        <f t="shared" si="2"/>
      </c>
      <c r="L33" s="547"/>
      <c r="M33" s="547">
        <f t="shared" si="3"/>
      </c>
      <c r="N33" s="548">
        <f t="shared" si="4"/>
        <v>20</v>
      </c>
      <c r="O33" s="549" t="str">
        <f t="shared" si="5"/>
        <v>--</v>
      </c>
      <c r="P33" s="537" t="str">
        <f t="shared" si="6"/>
        <v>--</v>
      </c>
      <c r="Q33" s="538" t="str">
        <f t="shared" si="7"/>
        <v>--</v>
      </c>
      <c r="R33" s="550" t="str">
        <f t="shared" si="8"/>
        <v>--</v>
      </c>
      <c r="S33" s="535">
        <f t="shared" si="9"/>
      </c>
      <c r="T33" s="62">
        <f t="shared" si="10"/>
      </c>
      <c r="U33" s="37"/>
    </row>
    <row r="34" spans="2:21" s="10" customFormat="1" ht="16.5" customHeight="1">
      <c r="B34" s="42"/>
      <c r="C34" s="542"/>
      <c r="D34" s="543"/>
      <c r="E34" s="543"/>
      <c r="F34" s="544"/>
      <c r="G34" s="267">
        <f t="shared" si="0"/>
        <v>2.274</v>
      </c>
      <c r="H34" s="545"/>
      <c r="I34" s="546"/>
      <c r="J34" s="34">
        <f t="shared" si="1"/>
      </c>
      <c r="K34" s="61">
        <f t="shared" si="2"/>
      </c>
      <c r="L34" s="547"/>
      <c r="M34" s="547">
        <f t="shared" si="3"/>
      </c>
      <c r="N34" s="548">
        <f t="shared" si="4"/>
        <v>20</v>
      </c>
      <c r="O34" s="549" t="str">
        <f t="shared" si="5"/>
        <v>--</v>
      </c>
      <c r="P34" s="537" t="str">
        <f t="shared" si="6"/>
        <v>--</v>
      </c>
      <c r="Q34" s="538" t="str">
        <f t="shared" si="7"/>
        <v>--</v>
      </c>
      <c r="R34" s="550" t="str">
        <f t="shared" si="8"/>
        <v>--</v>
      </c>
      <c r="S34" s="535">
        <f t="shared" si="9"/>
      </c>
      <c r="T34" s="62">
        <f t="shared" si="10"/>
      </c>
      <c r="U34" s="37"/>
    </row>
    <row r="35" spans="2:21" s="10" customFormat="1" ht="16.5" customHeight="1">
      <c r="B35" s="42"/>
      <c r="C35" s="542"/>
      <c r="D35" s="543"/>
      <c r="E35" s="543"/>
      <c r="F35" s="544"/>
      <c r="G35" s="267">
        <f t="shared" si="0"/>
        <v>2.274</v>
      </c>
      <c r="H35" s="545"/>
      <c r="I35" s="546"/>
      <c r="J35" s="34">
        <f t="shared" si="1"/>
      </c>
      <c r="K35" s="61">
        <f t="shared" si="2"/>
      </c>
      <c r="L35" s="547"/>
      <c r="M35" s="547">
        <f t="shared" si="3"/>
      </c>
      <c r="N35" s="548">
        <f t="shared" si="4"/>
        <v>20</v>
      </c>
      <c r="O35" s="549" t="str">
        <f t="shared" si="5"/>
        <v>--</v>
      </c>
      <c r="P35" s="537" t="str">
        <f t="shared" si="6"/>
        <v>--</v>
      </c>
      <c r="Q35" s="538" t="str">
        <f t="shared" si="7"/>
        <v>--</v>
      </c>
      <c r="R35" s="550" t="str">
        <f t="shared" si="8"/>
        <v>--</v>
      </c>
      <c r="S35" s="535">
        <f t="shared" si="9"/>
      </c>
      <c r="T35" s="62">
        <f t="shared" si="10"/>
      </c>
      <c r="U35" s="37"/>
    </row>
    <row r="36" spans="2:21" s="10" customFormat="1" ht="16.5" customHeight="1">
      <c r="B36" s="42"/>
      <c r="C36" s="542"/>
      <c r="D36" s="543"/>
      <c r="E36" s="543"/>
      <c r="F36" s="544"/>
      <c r="G36" s="267">
        <f t="shared" si="0"/>
        <v>2.274</v>
      </c>
      <c r="H36" s="545"/>
      <c r="I36" s="546"/>
      <c r="J36" s="34">
        <f t="shared" si="1"/>
      </c>
      <c r="K36" s="61">
        <f t="shared" si="2"/>
      </c>
      <c r="L36" s="547"/>
      <c r="M36" s="547">
        <f t="shared" si="3"/>
      </c>
      <c r="N36" s="548">
        <f t="shared" si="4"/>
        <v>20</v>
      </c>
      <c r="O36" s="549" t="str">
        <f t="shared" si="5"/>
        <v>--</v>
      </c>
      <c r="P36" s="537" t="str">
        <f t="shared" si="6"/>
        <v>--</v>
      </c>
      <c r="Q36" s="538" t="str">
        <f t="shared" si="7"/>
        <v>--</v>
      </c>
      <c r="R36" s="550" t="str">
        <f t="shared" si="8"/>
        <v>--</v>
      </c>
      <c r="S36" s="535">
        <f t="shared" si="9"/>
      </c>
      <c r="T36" s="62">
        <f t="shared" si="10"/>
      </c>
      <c r="U36" s="37"/>
    </row>
    <row r="37" spans="2:21" s="10" customFormat="1" ht="16.5" customHeight="1">
      <c r="B37" s="42"/>
      <c r="C37" s="542"/>
      <c r="D37" s="543"/>
      <c r="E37" s="543"/>
      <c r="F37" s="544"/>
      <c r="G37" s="267">
        <f t="shared" si="0"/>
        <v>2.274</v>
      </c>
      <c r="H37" s="545"/>
      <c r="I37" s="546"/>
      <c r="J37" s="34">
        <f t="shared" si="1"/>
      </c>
      <c r="K37" s="61">
        <f t="shared" si="2"/>
      </c>
      <c r="L37" s="547"/>
      <c r="M37" s="547">
        <f t="shared" si="3"/>
      </c>
      <c r="N37" s="548">
        <f t="shared" si="4"/>
        <v>20</v>
      </c>
      <c r="O37" s="549" t="str">
        <f t="shared" si="5"/>
        <v>--</v>
      </c>
      <c r="P37" s="537" t="str">
        <f t="shared" si="6"/>
        <v>--</v>
      </c>
      <c r="Q37" s="538" t="str">
        <f t="shared" si="7"/>
        <v>--</v>
      </c>
      <c r="R37" s="550" t="str">
        <f t="shared" si="8"/>
        <v>--</v>
      </c>
      <c r="S37" s="535">
        <f t="shared" si="9"/>
      </c>
      <c r="T37" s="62">
        <f t="shared" si="10"/>
      </c>
      <c r="U37" s="37"/>
    </row>
    <row r="38" spans="2:21" s="10" customFormat="1" ht="16.5" customHeight="1">
      <c r="B38" s="42"/>
      <c r="C38" s="542"/>
      <c r="D38" s="543"/>
      <c r="E38" s="543"/>
      <c r="F38" s="544"/>
      <c r="G38" s="267">
        <f t="shared" si="0"/>
        <v>2.274</v>
      </c>
      <c r="H38" s="545"/>
      <c r="I38" s="546"/>
      <c r="J38" s="34">
        <f t="shared" si="1"/>
      </c>
      <c r="K38" s="61">
        <f t="shared" si="2"/>
      </c>
      <c r="L38" s="547"/>
      <c r="M38" s="547">
        <f t="shared" si="3"/>
      </c>
      <c r="N38" s="548">
        <f t="shared" si="4"/>
        <v>20</v>
      </c>
      <c r="O38" s="549" t="str">
        <f t="shared" si="5"/>
        <v>--</v>
      </c>
      <c r="P38" s="537" t="str">
        <f t="shared" si="6"/>
        <v>--</v>
      </c>
      <c r="Q38" s="538" t="str">
        <f t="shared" si="7"/>
        <v>--</v>
      </c>
      <c r="R38" s="550" t="str">
        <f t="shared" si="8"/>
        <v>--</v>
      </c>
      <c r="S38" s="535">
        <f t="shared" si="9"/>
      </c>
      <c r="T38" s="62">
        <f t="shared" si="10"/>
      </c>
      <c r="U38" s="37"/>
    </row>
    <row r="39" spans="2:21" s="10" customFormat="1" ht="16.5" customHeight="1">
      <c r="B39" s="42"/>
      <c r="C39" s="542"/>
      <c r="D39" s="543"/>
      <c r="E39" s="543"/>
      <c r="F39" s="544"/>
      <c r="G39" s="267">
        <f t="shared" si="0"/>
        <v>2.274</v>
      </c>
      <c r="H39" s="545"/>
      <c r="I39" s="546"/>
      <c r="J39" s="34">
        <f t="shared" si="1"/>
      </c>
      <c r="K39" s="61">
        <f t="shared" si="2"/>
      </c>
      <c r="L39" s="547"/>
      <c r="M39" s="547">
        <f t="shared" si="3"/>
      </c>
      <c r="N39" s="548">
        <f t="shared" si="4"/>
        <v>20</v>
      </c>
      <c r="O39" s="549" t="str">
        <f t="shared" si="5"/>
        <v>--</v>
      </c>
      <c r="P39" s="537" t="str">
        <f t="shared" si="6"/>
        <v>--</v>
      </c>
      <c r="Q39" s="538" t="str">
        <f t="shared" si="7"/>
        <v>--</v>
      </c>
      <c r="R39" s="550" t="str">
        <f t="shared" si="8"/>
        <v>--</v>
      </c>
      <c r="S39" s="535">
        <f t="shared" si="9"/>
      </c>
      <c r="T39" s="62">
        <f t="shared" si="10"/>
      </c>
      <c r="U39" s="37"/>
    </row>
    <row r="40" spans="2:21" s="10" customFormat="1" ht="16.5" customHeight="1">
      <c r="B40" s="42"/>
      <c r="C40" s="542"/>
      <c r="D40" s="543"/>
      <c r="E40" s="543"/>
      <c r="F40" s="544"/>
      <c r="G40" s="267">
        <f t="shared" si="0"/>
        <v>2.274</v>
      </c>
      <c r="H40" s="545"/>
      <c r="I40" s="546"/>
      <c r="J40" s="34">
        <f t="shared" si="1"/>
      </c>
      <c r="K40" s="61">
        <f t="shared" si="2"/>
      </c>
      <c r="L40" s="547"/>
      <c r="M40" s="547">
        <f t="shared" si="3"/>
      </c>
      <c r="N40" s="548">
        <f t="shared" si="4"/>
        <v>20</v>
      </c>
      <c r="O40" s="549" t="str">
        <f t="shared" si="5"/>
        <v>--</v>
      </c>
      <c r="P40" s="537" t="str">
        <f t="shared" si="6"/>
        <v>--</v>
      </c>
      <c r="Q40" s="538" t="str">
        <f t="shared" si="7"/>
        <v>--</v>
      </c>
      <c r="R40" s="550" t="str">
        <f t="shared" si="8"/>
        <v>--</v>
      </c>
      <c r="S40" s="535">
        <f t="shared" si="9"/>
      </c>
      <c r="T40" s="62">
        <f t="shared" si="10"/>
      </c>
      <c r="U40" s="37"/>
    </row>
    <row r="41" spans="2:21" s="10" customFormat="1" ht="16.5" customHeight="1">
      <c r="B41" s="42"/>
      <c r="C41" s="542"/>
      <c r="D41" s="543"/>
      <c r="E41" s="543"/>
      <c r="F41" s="544"/>
      <c r="G41" s="267">
        <f t="shared" si="0"/>
        <v>2.274</v>
      </c>
      <c r="H41" s="545"/>
      <c r="I41" s="546"/>
      <c r="J41" s="34">
        <f t="shared" si="1"/>
      </c>
      <c r="K41" s="61">
        <f t="shared" si="2"/>
      </c>
      <c r="L41" s="547"/>
      <c r="M41" s="547">
        <f t="shared" si="3"/>
      </c>
      <c r="N41" s="548">
        <f t="shared" si="4"/>
        <v>20</v>
      </c>
      <c r="O41" s="549" t="str">
        <f t="shared" si="5"/>
        <v>--</v>
      </c>
      <c r="P41" s="537" t="str">
        <f t="shared" si="6"/>
        <v>--</v>
      </c>
      <c r="Q41" s="538" t="str">
        <f t="shared" si="7"/>
        <v>--</v>
      </c>
      <c r="R41" s="550" t="str">
        <f t="shared" si="8"/>
        <v>--</v>
      </c>
      <c r="S41" s="535">
        <f t="shared" si="9"/>
      </c>
      <c r="T41" s="62">
        <f t="shared" si="10"/>
      </c>
      <c r="U41" s="37"/>
    </row>
    <row r="42" spans="2:21" s="10" customFormat="1" ht="16.5" customHeight="1">
      <c r="B42" s="42"/>
      <c r="C42" s="542"/>
      <c r="D42" s="543"/>
      <c r="E42" s="543"/>
      <c r="F42" s="544"/>
      <c r="G42" s="267">
        <f t="shared" si="0"/>
        <v>2.274</v>
      </c>
      <c r="H42" s="545"/>
      <c r="I42" s="546"/>
      <c r="J42" s="34">
        <f t="shared" si="1"/>
      </c>
      <c r="K42" s="61">
        <f t="shared" si="2"/>
      </c>
      <c r="L42" s="547"/>
      <c r="M42" s="547">
        <f t="shared" si="3"/>
      </c>
      <c r="N42" s="548">
        <f t="shared" si="4"/>
        <v>20</v>
      </c>
      <c r="O42" s="549" t="str">
        <f t="shared" si="5"/>
        <v>--</v>
      </c>
      <c r="P42" s="537" t="str">
        <f t="shared" si="6"/>
        <v>--</v>
      </c>
      <c r="Q42" s="538" t="str">
        <f t="shared" si="7"/>
        <v>--</v>
      </c>
      <c r="R42" s="550" t="str">
        <f t="shared" si="8"/>
        <v>--</v>
      </c>
      <c r="S42" s="535">
        <f t="shared" si="9"/>
      </c>
      <c r="T42" s="62">
        <f t="shared" si="10"/>
      </c>
      <c r="U42" s="37"/>
    </row>
    <row r="43" spans="2:21" s="10" customFormat="1" ht="16.5" customHeight="1" thickBot="1">
      <c r="B43" s="42"/>
      <c r="C43" s="533"/>
      <c r="D43" s="533"/>
      <c r="E43" s="533"/>
      <c r="F43" s="533"/>
      <c r="G43" s="266"/>
      <c r="H43" s="533"/>
      <c r="I43" s="533"/>
      <c r="J43" s="28"/>
      <c r="K43" s="28"/>
      <c r="L43" s="533"/>
      <c r="M43" s="533"/>
      <c r="N43" s="551"/>
      <c r="O43" s="552"/>
      <c r="P43" s="540"/>
      <c r="Q43" s="541"/>
      <c r="R43" s="539"/>
      <c r="S43" s="533"/>
      <c r="T43" s="205"/>
      <c r="U43" s="37"/>
    </row>
    <row r="44" spans="2:21" s="10" customFormat="1" ht="16.5" customHeight="1" thickBot="1" thickTop="1">
      <c r="B44" s="42"/>
      <c r="C44" s="234" t="s">
        <v>68</v>
      </c>
      <c r="D44" s="235" t="s">
        <v>152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92">
        <f>SUM(O22:O43)</f>
        <v>26.65128</v>
      </c>
      <c r="P44" s="321">
        <f>SUM(P22:P43)</f>
        <v>0</v>
      </c>
      <c r="Q44" s="321">
        <f>SUM(Q22:Q43)</f>
        <v>0</v>
      </c>
      <c r="R44" s="393">
        <f>SUM(R22:R43)</f>
        <v>0</v>
      </c>
      <c r="S44" s="63"/>
      <c r="T44" s="250">
        <f>ROUND(SUM(T22:T43),2)</f>
        <v>26.65</v>
      </c>
      <c r="U44" s="37"/>
    </row>
    <row r="45" spans="2:21" s="252" customFormat="1" ht="9.75" thickTop="1">
      <c r="B45" s="251"/>
      <c r="C45" s="236"/>
      <c r="D45" s="237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6"/>
      <c r="T45" s="257"/>
      <c r="U45" s="258"/>
    </row>
    <row r="46" spans="1:21" s="10" customFormat="1" ht="16.5" customHeight="1" thickBot="1">
      <c r="A46" s="11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1:21" ht="13.5" thickTop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3:4" ht="12.75">
      <c r="C48" s="6"/>
      <c r="D48" s="6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Roman,Cursiva"&amp;7&amp;Z&amp;F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B10">
      <selection activeCell="H31" sqref="H3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140625" style="0" hidden="1" customWidth="1"/>
    <col min="15" max="15" width="16.8515625" style="0" hidden="1" customWidth="1"/>
    <col min="16" max="16" width="16.57421875" style="0" hidden="1" customWidth="1"/>
    <col min="17" max="18" width="15.57421875" style="0" hidden="1" customWidth="1"/>
    <col min="19" max="19" width="9.7109375" style="0" customWidth="1"/>
    <col min="20" max="21" width="15.7109375" style="0" customWidth="1"/>
  </cols>
  <sheetData>
    <row r="1" s="105" customFormat="1" ht="26.25">
      <c r="U1" s="399"/>
    </row>
    <row r="2" spans="2:21" s="105" customFormat="1" ht="26.25">
      <c r="B2" s="106" t="str">
        <f>'TOT-0803'!B2</f>
        <v>ANEXO III al Memorándum D.T.E.E.   N°       587  /2013.-</v>
      </c>
      <c r="C2" s="107"/>
      <c r="D2" s="107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="10" customFormat="1" ht="12.75"/>
    <row r="4" spans="1:2" s="108" customFormat="1" ht="11.25">
      <c r="A4" s="125" t="s">
        <v>25</v>
      </c>
      <c r="B4" s="207"/>
    </row>
    <row r="5" spans="1:2" s="108" customFormat="1" ht="11.25">
      <c r="A5" s="125" t="s">
        <v>26</v>
      </c>
      <c r="B5" s="207"/>
    </row>
    <row r="6" s="10" customFormat="1" ht="13.5" thickBot="1"/>
    <row r="7" spans="2:21" s="10" customFormat="1" ht="13.5" thickTop="1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</row>
    <row r="8" spans="2:21" s="110" customFormat="1" ht="20.25">
      <c r="B8" s="109"/>
      <c r="C8" s="43"/>
      <c r="D8" s="20" t="s">
        <v>46</v>
      </c>
      <c r="N8" s="43"/>
      <c r="O8" s="43"/>
      <c r="P8" s="43"/>
      <c r="Q8" s="43"/>
      <c r="R8" s="43"/>
      <c r="S8" s="43"/>
      <c r="T8" s="43"/>
      <c r="U8" s="111"/>
    </row>
    <row r="9" spans="2:21" s="10" customFormat="1" ht="12.75">
      <c r="B9" s="42"/>
      <c r="C9" s="8"/>
      <c r="D9" s="8"/>
      <c r="E9" s="8"/>
      <c r="F9" s="8"/>
      <c r="G9" s="119"/>
      <c r="H9" s="119"/>
      <c r="I9" s="119"/>
      <c r="J9" s="119"/>
      <c r="K9" s="119"/>
      <c r="N9" s="8"/>
      <c r="O9" s="8"/>
      <c r="P9" s="8"/>
      <c r="Q9" s="8"/>
      <c r="R9" s="8"/>
      <c r="S9" s="8"/>
      <c r="T9" s="8"/>
      <c r="U9" s="11"/>
    </row>
    <row r="10" spans="2:21" s="110" customFormat="1" ht="20.25">
      <c r="B10" s="109"/>
      <c r="C10" s="43"/>
      <c r="D10" s="20" t="s">
        <v>159</v>
      </c>
      <c r="E10" s="20"/>
      <c r="F10" s="43"/>
      <c r="G10" s="20"/>
      <c r="H10" s="20"/>
      <c r="I10" s="20"/>
      <c r="J10" s="20"/>
      <c r="K10" s="20"/>
      <c r="N10" s="43"/>
      <c r="O10" s="43"/>
      <c r="P10" s="43"/>
      <c r="Q10" s="43"/>
      <c r="R10" s="43"/>
      <c r="S10" s="43"/>
      <c r="T10" s="43"/>
      <c r="U10" s="111"/>
    </row>
    <row r="11" spans="2:21" s="10" customFormat="1" ht="12.75">
      <c r="B11" s="42"/>
      <c r="C11" s="8"/>
      <c r="D11" s="121"/>
      <c r="E11" s="119"/>
      <c r="F11" s="8"/>
      <c r="G11" s="119"/>
      <c r="H11" s="119"/>
      <c r="I11" s="119"/>
      <c r="J11" s="119"/>
      <c r="K11" s="119"/>
      <c r="N11" s="8"/>
      <c r="O11" s="8"/>
      <c r="P11" s="8"/>
      <c r="Q11" s="8"/>
      <c r="R11" s="8"/>
      <c r="S11" s="8"/>
      <c r="T11" s="8"/>
      <c r="U11" s="11"/>
    </row>
    <row r="12" spans="2:21" s="117" customFormat="1" ht="19.5">
      <c r="B12" s="83" t="str">
        <f>'TOT-0803'!B14</f>
        <v>Desde el 01 al 31 de marzo de 2008</v>
      </c>
      <c r="C12" s="113"/>
      <c r="D12" s="113"/>
      <c r="E12" s="113"/>
      <c r="F12" s="82"/>
      <c r="G12" s="113"/>
      <c r="H12" s="114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6"/>
    </row>
    <row r="13" spans="2:21" s="10" customFormat="1" ht="16.5" customHeight="1" thickBot="1">
      <c r="B13" s="42"/>
      <c r="C13" s="8"/>
      <c r="G13" s="118"/>
      <c r="I13" s="8"/>
      <c r="J13" s="8"/>
      <c r="K13" s="8"/>
      <c r="L13" s="118"/>
      <c r="M13" s="118"/>
      <c r="N13" s="118"/>
      <c r="O13" s="8"/>
      <c r="P13" s="8"/>
      <c r="Q13" s="8"/>
      <c r="R13" s="8"/>
      <c r="S13" s="8"/>
      <c r="T13" s="8"/>
      <c r="U13" s="11"/>
    </row>
    <row r="14" spans="2:21" s="10" customFormat="1" ht="16.5" customHeight="1" thickBot="1" thickTop="1">
      <c r="B14" s="42"/>
      <c r="C14" s="8"/>
      <c r="D14" s="213" t="s">
        <v>84</v>
      </c>
      <c r="E14" s="214">
        <v>7.577</v>
      </c>
      <c r="F14" s="89">
        <f>60*'TOT-0803'!B13</f>
        <v>60</v>
      </c>
      <c r="G14" s="118"/>
      <c r="H14" s="228" t="str">
        <f>IF(F14=60," ",IF(F14=120,"Coeficiente duplicado por tasa de falla &gt;4 Sal. x año/100 km.","REVISAR COEFICIENTE"))</f>
        <v> </v>
      </c>
      <c r="I14" s="8"/>
      <c r="J14" s="8"/>
      <c r="K14" s="8"/>
      <c r="L14" s="118"/>
      <c r="M14" s="118"/>
      <c r="N14" s="118"/>
      <c r="O14" s="8"/>
      <c r="P14" s="8"/>
      <c r="Q14" s="8"/>
      <c r="R14" s="8"/>
      <c r="S14" s="8"/>
      <c r="T14" s="8"/>
      <c r="U14" s="11"/>
    </row>
    <row r="15" spans="2:21" s="10" customFormat="1" ht="16.5" customHeight="1" thickBot="1" thickTop="1">
      <c r="B15" s="42"/>
      <c r="C15" s="8"/>
      <c r="D15" s="213" t="s">
        <v>85</v>
      </c>
      <c r="E15" s="214">
        <v>3.03</v>
      </c>
      <c r="F15" s="89">
        <f>50*'TOT-0803'!$B$13</f>
        <v>50</v>
      </c>
      <c r="H15" s="228" t="str">
        <f>IF(F15=50," ",IF(F15=100,"Coeficiente duplicado por tasa de falla &gt;4 Sal. x año/100 km.","REVISAR COEFICIENTE"))</f>
        <v> </v>
      </c>
      <c r="O15" s="268"/>
      <c r="Q15" s="8"/>
      <c r="R15" s="8"/>
      <c r="S15" s="8"/>
      <c r="T15" s="208"/>
      <c r="U15" s="11"/>
    </row>
    <row r="16" spans="2:21" s="10" customFormat="1" ht="16.5" customHeight="1" thickBot="1" thickTop="1">
      <c r="B16" s="42"/>
      <c r="C16" s="8"/>
      <c r="D16" s="215" t="s">
        <v>86</v>
      </c>
      <c r="E16" s="216">
        <v>2.274</v>
      </c>
      <c r="F16" s="217">
        <f>25*'TOT-0803'!B13</f>
        <v>25</v>
      </c>
      <c r="H16" s="228" t="str">
        <f>IF(F16=25," ",IF(F16=50,"Coeficiente duplicado por tasa de falla &gt;4 Sal. x año/100 km.","REVISAR COEFICIENTE"))</f>
        <v> </v>
      </c>
      <c r="I16" s="157"/>
      <c r="J16" s="157"/>
      <c r="K16" s="8"/>
      <c r="N16" s="209"/>
      <c r="O16" s="210"/>
      <c r="P16" s="35"/>
      <c r="Q16" s="8"/>
      <c r="R16" s="8"/>
      <c r="S16" s="8"/>
      <c r="T16" s="208"/>
      <c r="U16" s="11"/>
    </row>
    <row r="17" spans="2:21" s="10" customFormat="1" ht="16.5" customHeight="1" thickBot="1" thickTop="1">
      <c r="B17" s="42"/>
      <c r="C17" s="8"/>
      <c r="D17" s="218" t="s">
        <v>87</v>
      </c>
      <c r="E17" s="216">
        <v>2.274</v>
      </c>
      <c r="F17" s="219">
        <f>20*'TOT-0803'!B13</f>
        <v>20</v>
      </c>
      <c r="H17" s="228" t="str">
        <f>IF(F17=20," ",IF(F17=40,"Coeficiente duplicado por tasa de falla &gt;4 Sal. x año/100 km.","REVISAR COEFICIENTE"))</f>
        <v> </v>
      </c>
      <c r="I17" s="157"/>
      <c r="J17" s="157"/>
      <c r="K17" s="8"/>
      <c r="N17" s="209"/>
      <c r="O17" s="210"/>
      <c r="P17" s="35"/>
      <c r="Q17" s="8"/>
      <c r="R17" s="8"/>
      <c r="S17" s="8"/>
      <c r="T17" s="208"/>
      <c r="U17" s="11"/>
    </row>
    <row r="18" spans="2:21" s="10" customFormat="1" ht="16.5" customHeight="1" thickBot="1" thickTop="1">
      <c r="B18" s="42"/>
      <c r="C18" s="8"/>
      <c r="D18" s="211"/>
      <c r="E18" s="212"/>
      <c r="F18" s="35"/>
      <c r="G18" s="8"/>
      <c r="H18" s="35"/>
      <c r="I18" s="157"/>
      <c r="J18" s="157"/>
      <c r="K18" s="8"/>
      <c r="L18" s="8"/>
      <c r="M18" s="8"/>
      <c r="N18" s="209"/>
      <c r="O18" s="210"/>
      <c r="P18" s="35"/>
      <c r="Q18" s="8"/>
      <c r="R18" s="8"/>
      <c r="S18" s="8"/>
      <c r="T18" s="208"/>
      <c r="U18" s="11"/>
    </row>
    <row r="19" spans="2:21" s="10" customFormat="1" ht="33.75" customHeight="1" thickBot="1" thickTop="1">
      <c r="B19" s="42"/>
      <c r="C19" s="203" t="s">
        <v>50</v>
      </c>
      <c r="D19" s="201" t="s">
        <v>71</v>
      </c>
      <c r="E19" s="220" t="s">
        <v>23</v>
      </c>
      <c r="F19" s="223" t="s">
        <v>51</v>
      </c>
      <c r="G19" s="259" t="s">
        <v>53</v>
      </c>
      <c r="H19" s="197" t="s">
        <v>54</v>
      </c>
      <c r="I19" s="220" t="s">
        <v>55</v>
      </c>
      <c r="J19" s="222" t="s">
        <v>75</v>
      </c>
      <c r="K19" s="222" t="s">
        <v>76</v>
      </c>
      <c r="L19" s="101" t="s">
        <v>58</v>
      </c>
      <c r="M19" s="202" t="s">
        <v>77</v>
      </c>
      <c r="N19" s="380" t="s">
        <v>88</v>
      </c>
      <c r="O19" s="314" t="s">
        <v>60</v>
      </c>
      <c r="P19" s="354" t="s">
        <v>81</v>
      </c>
      <c r="Q19" s="355"/>
      <c r="R19" s="389" t="s">
        <v>64</v>
      </c>
      <c r="S19" s="199" t="s">
        <v>66</v>
      </c>
      <c r="T19" s="199" t="s">
        <v>67</v>
      </c>
      <c r="U19" s="37"/>
    </row>
    <row r="20" spans="2:21" s="10" customFormat="1" ht="16.5" customHeight="1" thickTop="1">
      <c r="B20" s="42"/>
      <c r="C20" s="19"/>
      <c r="D20" s="31"/>
      <c r="E20" s="31"/>
      <c r="F20" s="585"/>
      <c r="G20" s="267"/>
      <c r="H20" s="32"/>
      <c r="I20" s="33"/>
      <c r="J20" s="34"/>
      <c r="K20" s="61"/>
      <c r="L20" s="382"/>
      <c r="M20" s="382"/>
      <c r="N20" s="383"/>
      <c r="O20" s="384"/>
      <c r="P20" s="386"/>
      <c r="Q20" s="387"/>
      <c r="R20" s="390"/>
      <c r="S20" s="388"/>
      <c r="T20" s="586"/>
      <c r="U20" s="37"/>
    </row>
    <row r="21" spans="2:21" s="10" customFormat="1" ht="16.5" customHeight="1">
      <c r="B21" s="42"/>
      <c r="C21" s="19"/>
      <c r="D21" s="587"/>
      <c r="E21" s="587"/>
      <c r="F21" s="588"/>
      <c r="G21" s="267"/>
      <c r="H21" s="32"/>
      <c r="I21" s="33"/>
      <c r="J21" s="34"/>
      <c r="K21" s="61"/>
      <c r="L21" s="27"/>
      <c r="M21" s="27"/>
      <c r="N21" s="381"/>
      <c r="O21" s="385"/>
      <c r="P21" s="360"/>
      <c r="Q21" s="361"/>
      <c r="R21" s="391"/>
      <c r="S21" s="24"/>
      <c r="T21" s="221"/>
      <c r="U21" s="37"/>
    </row>
    <row r="22" spans="2:23" s="10" customFormat="1" ht="16.5" customHeight="1">
      <c r="B22" s="42"/>
      <c r="C22" s="542">
        <v>15</v>
      </c>
      <c r="D22" s="530" t="s">
        <v>157</v>
      </c>
      <c r="E22" s="530" t="s">
        <v>158</v>
      </c>
      <c r="F22" s="544">
        <v>33</v>
      </c>
      <c r="G22" s="267">
        <f aca="true" t="shared" si="0" ref="G22:G41">IF(F22=330,$E$14,IF(AND(F22&lt;=132,F22&gt;=66),$E$15,IF(AND(F22&lt;66,F22&gt;=33),$E$16,$E$17)))</f>
        <v>2.274</v>
      </c>
      <c r="H22" s="545">
        <v>39532.07013888889</v>
      </c>
      <c r="I22" s="546">
        <v>39532.97430555556</v>
      </c>
      <c r="J22" s="34">
        <f aca="true" t="shared" si="1" ref="J22:J41">IF(D22="","",(I22-H22)*24)</f>
        <v>21.70000000001164</v>
      </c>
      <c r="K22" s="61">
        <f aca="true" t="shared" si="2" ref="K22:K41">IF(D22="","",ROUND((I22-H22)*24*60,0))</f>
        <v>1302</v>
      </c>
      <c r="L22" s="547" t="s">
        <v>135</v>
      </c>
      <c r="M22" s="547" t="str">
        <f aca="true" t="shared" si="3" ref="M22:M41">IF(D22="","",IF(L22="P","--","NO"))</f>
        <v>NO</v>
      </c>
      <c r="N22" s="548">
        <f aca="true" t="shared" si="4" ref="N22:N41">IF(F22=330,$F$14,IF(AND(F22&lt;=132,F22&gt;=66),$F$15,IF(AND(F22&lt;66,F22&gt;13.2),$F$16,$F$17)))</f>
        <v>25</v>
      </c>
      <c r="O22" s="549" t="str">
        <f aca="true" t="shared" si="5" ref="O22:O41">IF(L22="P",G22*N22*ROUND(K22/60,2)*0.1,"--")</f>
        <v>--</v>
      </c>
      <c r="P22" s="537">
        <f aca="true" t="shared" si="6" ref="P22:P41">IF(AND(L22="F",M22="NO"),G22*N22,"--")</f>
        <v>56.85</v>
      </c>
      <c r="Q22" s="538">
        <f aca="true" t="shared" si="7" ref="Q22:Q41">IF(L22="F",G22*N22*ROUND(K22/60,2),"--")</f>
        <v>1233.645</v>
      </c>
      <c r="R22" s="550" t="str">
        <f aca="true" t="shared" si="8" ref="R22:R41">IF(L22="RF",G22*N22*ROUND(K22/60,2),"--")</f>
        <v>--</v>
      </c>
      <c r="S22" s="535" t="str">
        <f aca="true" t="shared" si="9" ref="S22:S41">IF(D22="","","SI")</f>
        <v>SI</v>
      </c>
      <c r="T22" s="62">
        <f aca="true" t="shared" si="10" ref="T22:T41">IF(D22="","",SUM(O22:R22)*IF(S22="SI",1,2)*IF(F22="500/220",0,1))</f>
        <v>1290.495</v>
      </c>
      <c r="U22" s="37"/>
      <c r="W22" s="592"/>
    </row>
    <row r="23" spans="2:23" s="10" customFormat="1" ht="16.5" customHeight="1">
      <c r="B23" s="42"/>
      <c r="C23" s="542"/>
      <c r="D23" s="589"/>
      <c r="E23" s="590"/>
      <c r="F23" s="591"/>
      <c r="G23" s="267">
        <f t="shared" si="0"/>
        <v>2.274</v>
      </c>
      <c r="H23" s="545"/>
      <c r="I23" s="546"/>
      <c r="J23" s="34">
        <f t="shared" si="1"/>
      </c>
      <c r="K23" s="61">
        <f t="shared" si="2"/>
      </c>
      <c r="L23" s="547"/>
      <c r="M23" s="547">
        <f t="shared" si="3"/>
      </c>
      <c r="N23" s="548">
        <f t="shared" si="4"/>
        <v>20</v>
      </c>
      <c r="O23" s="549" t="str">
        <f t="shared" si="5"/>
        <v>--</v>
      </c>
      <c r="P23" s="537" t="str">
        <f t="shared" si="6"/>
        <v>--</v>
      </c>
      <c r="Q23" s="538" t="str">
        <f t="shared" si="7"/>
        <v>--</v>
      </c>
      <c r="R23" s="550" t="str">
        <f t="shared" si="8"/>
        <v>--</v>
      </c>
      <c r="S23" s="535">
        <f t="shared" si="9"/>
      </c>
      <c r="T23" s="62">
        <f t="shared" si="10"/>
      </c>
      <c r="U23" s="37"/>
      <c r="W23" s="592"/>
    </row>
    <row r="24" spans="2:21" s="10" customFormat="1" ht="16.5" customHeight="1">
      <c r="B24" s="42"/>
      <c r="C24" s="542"/>
      <c r="D24" s="543"/>
      <c r="E24" s="543"/>
      <c r="F24" s="593"/>
      <c r="G24" s="267">
        <f t="shared" si="0"/>
        <v>2.274</v>
      </c>
      <c r="H24" s="545"/>
      <c r="I24" s="546"/>
      <c r="J24" s="34">
        <f t="shared" si="1"/>
      </c>
      <c r="K24" s="61">
        <f t="shared" si="2"/>
      </c>
      <c r="L24" s="547"/>
      <c r="M24" s="547">
        <f t="shared" si="3"/>
      </c>
      <c r="N24" s="548">
        <f t="shared" si="4"/>
        <v>20</v>
      </c>
      <c r="O24" s="549" t="str">
        <f t="shared" si="5"/>
        <v>--</v>
      </c>
      <c r="P24" s="537" t="str">
        <f t="shared" si="6"/>
        <v>--</v>
      </c>
      <c r="Q24" s="538" t="str">
        <f t="shared" si="7"/>
        <v>--</v>
      </c>
      <c r="R24" s="550" t="str">
        <f t="shared" si="8"/>
        <v>--</v>
      </c>
      <c r="S24" s="535">
        <f t="shared" si="9"/>
      </c>
      <c r="T24" s="62">
        <f t="shared" si="10"/>
      </c>
      <c r="U24" s="37"/>
    </row>
    <row r="25" spans="2:21" s="10" customFormat="1" ht="16.5" customHeight="1">
      <c r="B25" s="42"/>
      <c r="C25" s="542"/>
      <c r="D25" s="543"/>
      <c r="E25" s="543"/>
      <c r="F25" s="593"/>
      <c r="G25" s="267">
        <f t="shared" si="0"/>
        <v>2.274</v>
      </c>
      <c r="H25" s="545"/>
      <c r="I25" s="546"/>
      <c r="J25" s="34">
        <f t="shared" si="1"/>
      </c>
      <c r="K25" s="61">
        <f t="shared" si="2"/>
      </c>
      <c r="L25" s="547"/>
      <c r="M25" s="547">
        <f t="shared" si="3"/>
      </c>
      <c r="N25" s="548">
        <f t="shared" si="4"/>
        <v>20</v>
      </c>
      <c r="O25" s="549" t="str">
        <f t="shared" si="5"/>
        <v>--</v>
      </c>
      <c r="P25" s="537" t="str">
        <f t="shared" si="6"/>
        <v>--</v>
      </c>
      <c r="Q25" s="538" t="str">
        <f t="shared" si="7"/>
        <v>--</v>
      </c>
      <c r="R25" s="550" t="str">
        <f t="shared" si="8"/>
        <v>--</v>
      </c>
      <c r="S25" s="535">
        <f t="shared" si="9"/>
      </c>
      <c r="T25" s="62">
        <f t="shared" si="10"/>
      </c>
      <c r="U25" s="37"/>
    </row>
    <row r="26" spans="2:21" s="10" customFormat="1" ht="16.5" customHeight="1">
      <c r="B26" s="42"/>
      <c r="C26" s="542"/>
      <c r="D26" s="543"/>
      <c r="E26" s="543"/>
      <c r="F26" s="593"/>
      <c r="G26" s="267">
        <f t="shared" si="0"/>
        <v>2.274</v>
      </c>
      <c r="H26" s="545"/>
      <c r="I26" s="546"/>
      <c r="J26" s="34">
        <f t="shared" si="1"/>
      </c>
      <c r="K26" s="61">
        <f t="shared" si="2"/>
      </c>
      <c r="L26" s="547"/>
      <c r="M26" s="547">
        <f t="shared" si="3"/>
      </c>
      <c r="N26" s="548">
        <f t="shared" si="4"/>
        <v>20</v>
      </c>
      <c r="O26" s="549" t="str">
        <f t="shared" si="5"/>
        <v>--</v>
      </c>
      <c r="P26" s="537" t="str">
        <f t="shared" si="6"/>
        <v>--</v>
      </c>
      <c r="Q26" s="538" t="str">
        <f t="shared" si="7"/>
        <v>--</v>
      </c>
      <c r="R26" s="550" t="str">
        <f t="shared" si="8"/>
        <v>--</v>
      </c>
      <c r="S26" s="535">
        <f t="shared" si="9"/>
      </c>
      <c r="T26" s="62">
        <f t="shared" si="10"/>
      </c>
      <c r="U26" s="37"/>
    </row>
    <row r="27" spans="2:21" s="10" customFormat="1" ht="16.5" customHeight="1">
      <c r="B27" s="42"/>
      <c r="C27" s="542"/>
      <c r="D27" s="543"/>
      <c r="E27" s="543"/>
      <c r="F27" s="593"/>
      <c r="G27" s="267">
        <f t="shared" si="0"/>
        <v>2.274</v>
      </c>
      <c r="H27" s="545"/>
      <c r="I27" s="546"/>
      <c r="J27" s="34">
        <f t="shared" si="1"/>
      </c>
      <c r="K27" s="61">
        <f t="shared" si="2"/>
      </c>
      <c r="L27" s="547"/>
      <c r="M27" s="547">
        <f t="shared" si="3"/>
      </c>
      <c r="N27" s="548">
        <f t="shared" si="4"/>
        <v>20</v>
      </c>
      <c r="O27" s="549" t="str">
        <f t="shared" si="5"/>
        <v>--</v>
      </c>
      <c r="P27" s="537" t="str">
        <f t="shared" si="6"/>
        <v>--</v>
      </c>
      <c r="Q27" s="538" t="str">
        <f t="shared" si="7"/>
        <v>--</v>
      </c>
      <c r="R27" s="550" t="str">
        <f t="shared" si="8"/>
        <v>--</v>
      </c>
      <c r="S27" s="535">
        <f t="shared" si="9"/>
      </c>
      <c r="T27" s="62">
        <f t="shared" si="10"/>
      </c>
      <c r="U27" s="37"/>
    </row>
    <row r="28" spans="2:21" s="10" customFormat="1" ht="16.5" customHeight="1">
      <c r="B28" s="42"/>
      <c r="C28" s="542"/>
      <c r="D28" s="543"/>
      <c r="E28" s="543"/>
      <c r="F28" s="593"/>
      <c r="G28" s="267">
        <f t="shared" si="0"/>
        <v>2.274</v>
      </c>
      <c r="H28" s="545"/>
      <c r="I28" s="546"/>
      <c r="J28" s="34">
        <f t="shared" si="1"/>
      </c>
      <c r="K28" s="61">
        <f t="shared" si="2"/>
      </c>
      <c r="L28" s="547"/>
      <c r="M28" s="547">
        <f t="shared" si="3"/>
      </c>
      <c r="N28" s="548">
        <f t="shared" si="4"/>
        <v>20</v>
      </c>
      <c r="O28" s="549" t="str">
        <f t="shared" si="5"/>
        <v>--</v>
      </c>
      <c r="P28" s="537" t="str">
        <f t="shared" si="6"/>
        <v>--</v>
      </c>
      <c r="Q28" s="538" t="str">
        <f t="shared" si="7"/>
        <v>--</v>
      </c>
      <c r="R28" s="550" t="str">
        <f t="shared" si="8"/>
        <v>--</v>
      </c>
      <c r="S28" s="535">
        <f t="shared" si="9"/>
      </c>
      <c r="T28" s="62">
        <f t="shared" si="10"/>
      </c>
      <c r="U28" s="37"/>
    </row>
    <row r="29" spans="2:21" s="10" customFormat="1" ht="16.5" customHeight="1">
      <c r="B29" s="42"/>
      <c r="C29" s="542"/>
      <c r="D29" s="543"/>
      <c r="E29" s="543"/>
      <c r="F29" s="593"/>
      <c r="G29" s="267">
        <f t="shared" si="0"/>
        <v>2.274</v>
      </c>
      <c r="H29" s="545"/>
      <c r="I29" s="546"/>
      <c r="J29" s="34">
        <f t="shared" si="1"/>
      </c>
      <c r="K29" s="61">
        <f t="shared" si="2"/>
      </c>
      <c r="L29" s="547"/>
      <c r="M29" s="547">
        <f t="shared" si="3"/>
      </c>
      <c r="N29" s="548">
        <f t="shared" si="4"/>
        <v>20</v>
      </c>
      <c r="O29" s="549" t="str">
        <f t="shared" si="5"/>
        <v>--</v>
      </c>
      <c r="P29" s="537" t="str">
        <f t="shared" si="6"/>
        <v>--</v>
      </c>
      <c r="Q29" s="538" t="str">
        <f t="shared" si="7"/>
        <v>--</v>
      </c>
      <c r="R29" s="550" t="str">
        <f t="shared" si="8"/>
        <v>--</v>
      </c>
      <c r="S29" s="535">
        <f t="shared" si="9"/>
      </c>
      <c r="T29" s="62">
        <f t="shared" si="10"/>
      </c>
      <c r="U29" s="37"/>
    </row>
    <row r="30" spans="2:21" s="10" customFormat="1" ht="16.5" customHeight="1">
      <c r="B30" s="42"/>
      <c r="C30" s="542"/>
      <c r="D30" s="543"/>
      <c r="E30" s="543"/>
      <c r="F30" s="593"/>
      <c r="G30" s="267">
        <f t="shared" si="0"/>
        <v>2.274</v>
      </c>
      <c r="H30" s="545"/>
      <c r="I30" s="546"/>
      <c r="J30" s="34">
        <f t="shared" si="1"/>
      </c>
      <c r="K30" s="61">
        <f t="shared" si="2"/>
      </c>
      <c r="L30" s="547"/>
      <c r="M30" s="547">
        <f t="shared" si="3"/>
      </c>
      <c r="N30" s="548">
        <f t="shared" si="4"/>
        <v>20</v>
      </c>
      <c r="O30" s="549" t="str">
        <f t="shared" si="5"/>
        <v>--</v>
      </c>
      <c r="P30" s="537" t="str">
        <f t="shared" si="6"/>
        <v>--</v>
      </c>
      <c r="Q30" s="538" t="str">
        <f t="shared" si="7"/>
        <v>--</v>
      </c>
      <c r="R30" s="550" t="str">
        <f t="shared" si="8"/>
        <v>--</v>
      </c>
      <c r="S30" s="535">
        <f t="shared" si="9"/>
      </c>
      <c r="T30" s="62">
        <f t="shared" si="10"/>
      </c>
      <c r="U30" s="37"/>
    </row>
    <row r="31" spans="2:21" s="10" customFormat="1" ht="16.5" customHeight="1">
      <c r="B31" s="42"/>
      <c r="C31" s="542"/>
      <c r="D31" s="543"/>
      <c r="E31" s="543"/>
      <c r="F31" s="593"/>
      <c r="G31" s="267">
        <f t="shared" si="0"/>
        <v>2.274</v>
      </c>
      <c r="H31" s="545"/>
      <c r="I31" s="546"/>
      <c r="J31" s="34">
        <f t="shared" si="1"/>
      </c>
      <c r="K31" s="61">
        <f t="shared" si="2"/>
      </c>
      <c r="L31" s="547"/>
      <c r="M31" s="547">
        <f t="shared" si="3"/>
      </c>
      <c r="N31" s="548">
        <f t="shared" si="4"/>
        <v>20</v>
      </c>
      <c r="O31" s="549" t="str">
        <f t="shared" si="5"/>
        <v>--</v>
      </c>
      <c r="P31" s="537" t="str">
        <f t="shared" si="6"/>
        <v>--</v>
      </c>
      <c r="Q31" s="538" t="str">
        <f t="shared" si="7"/>
        <v>--</v>
      </c>
      <c r="R31" s="550" t="str">
        <f t="shared" si="8"/>
        <v>--</v>
      </c>
      <c r="S31" s="535">
        <f t="shared" si="9"/>
      </c>
      <c r="T31" s="62">
        <f t="shared" si="10"/>
      </c>
      <c r="U31" s="37"/>
    </row>
    <row r="32" spans="2:21" s="10" customFormat="1" ht="16.5" customHeight="1">
      <c r="B32" s="42"/>
      <c r="C32" s="542"/>
      <c r="D32" s="543"/>
      <c r="E32" s="543"/>
      <c r="F32" s="593"/>
      <c r="G32" s="267">
        <f t="shared" si="0"/>
        <v>2.274</v>
      </c>
      <c r="H32" s="545"/>
      <c r="I32" s="546"/>
      <c r="J32" s="34">
        <f t="shared" si="1"/>
      </c>
      <c r="K32" s="61">
        <f t="shared" si="2"/>
      </c>
      <c r="L32" s="547"/>
      <c r="M32" s="547">
        <f t="shared" si="3"/>
      </c>
      <c r="N32" s="548">
        <f t="shared" si="4"/>
        <v>20</v>
      </c>
      <c r="O32" s="549" t="str">
        <f t="shared" si="5"/>
        <v>--</v>
      </c>
      <c r="P32" s="537" t="str">
        <f t="shared" si="6"/>
        <v>--</v>
      </c>
      <c r="Q32" s="538" t="str">
        <f t="shared" si="7"/>
        <v>--</v>
      </c>
      <c r="R32" s="550" t="str">
        <f t="shared" si="8"/>
        <v>--</v>
      </c>
      <c r="S32" s="535">
        <f t="shared" si="9"/>
      </c>
      <c r="T32" s="62">
        <f t="shared" si="10"/>
      </c>
      <c r="U32" s="37"/>
    </row>
    <row r="33" spans="2:21" s="10" customFormat="1" ht="16.5" customHeight="1">
      <c r="B33" s="42"/>
      <c r="C33" s="542"/>
      <c r="D33" s="543"/>
      <c r="E33" s="543"/>
      <c r="F33" s="593"/>
      <c r="G33" s="267">
        <f t="shared" si="0"/>
        <v>2.274</v>
      </c>
      <c r="H33" s="545"/>
      <c r="I33" s="546"/>
      <c r="J33" s="34">
        <f t="shared" si="1"/>
      </c>
      <c r="K33" s="61">
        <f t="shared" si="2"/>
      </c>
      <c r="L33" s="547"/>
      <c r="M33" s="547">
        <f t="shared" si="3"/>
      </c>
      <c r="N33" s="548">
        <f t="shared" si="4"/>
        <v>20</v>
      </c>
      <c r="O33" s="549" t="str">
        <f t="shared" si="5"/>
        <v>--</v>
      </c>
      <c r="P33" s="537" t="str">
        <f t="shared" si="6"/>
        <v>--</v>
      </c>
      <c r="Q33" s="538" t="str">
        <f t="shared" si="7"/>
        <v>--</v>
      </c>
      <c r="R33" s="550" t="str">
        <f t="shared" si="8"/>
        <v>--</v>
      </c>
      <c r="S33" s="535">
        <f t="shared" si="9"/>
      </c>
      <c r="T33" s="62">
        <f t="shared" si="10"/>
      </c>
      <c r="U33" s="37"/>
    </row>
    <row r="34" spans="2:21" s="10" customFormat="1" ht="16.5" customHeight="1">
      <c r="B34" s="42"/>
      <c r="C34" s="542"/>
      <c r="D34" s="543"/>
      <c r="E34" s="543"/>
      <c r="F34" s="593"/>
      <c r="G34" s="267">
        <f t="shared" si="0"/>
        <v>2.274</v>
      </c>
      <c r="H34" s="545"/>
      <c r="I34" s="546"/>
      <c r="J34" s="34">
        <f t="shared" si="1"/>
      </c>
      <c r="K34" s="61">
        <f t="shared" si="2"/>
      </c>
      <c r="L34" s="547"/>
      <c r="M34" s="547">
        <f t="shared" si="3"/>
      </c>
      <c r="N34" s="548">
        <f t="shared" si="4"/>
        <v>20</v>
      </c>
      <c r="O34" s="549" t="str">
        <f t="shared" si="5"/>
        <v>--</v>
      </c>
      <c r="P34" s="537" t="str">
        <f t="shared" si="6"/>
        <v>--</v>
      </c>
      <c r="Q34" s="538" t="str">
        <f t="shared" si="7"/>
        <v>--</v>
      </c>
      <c r="R34" s="550" t="str">
        <f t="shared" si="8"/>
        <v>--</v>
      </c>
      <c r="S34" s="535">
        <f t="shared" si="9"/>
      </c>
      <c r="T34" s="62">
        <f t="shared" si="10"/>
      </c>
      <c r="U34" s="37"/>
    </row>
    <row r="35" spans="2:21" s="10" customFormat="1" ht="16.5" customHeight="1">
      <c r="B35" s="42"/>
      <c r="C35" s="542"/>
      <c r="D35" s="543"/>
      <c r="E35" s="543"/>
      <c r="F35" s="593"/>
      <c r="G35" s="267">
        <f t="shared" si="0"/>
        <v>2.274</v>
      </c>
      <c r="H35" s="545"/>
      <c r="I35" s="546"/>
      <c r="J35" s="34">
        <f t="shared" si="1"/>
      </c>
      <c r="K35" s="61">
        <f t="shared" si="2"/>
      </c>
      <c r="L35" s="547"/>
      <c r="M35" s="547">
        <f t="shared" si="3"/>
      </c>
      <c r="N35" s="548">
        <f t="shared" si="4"/>
        <v>20</v>
      </c>
      <c r="O35" s="549" t="str">
        <f t="shared" si="5"/>
        <v>--</v>
      </c>
      <c r="P35" s="537" t="str">
        <f t="shared" si="6"/>
        <v>--</v>
      </c>
      <c r="Q35" s="538" t="str">
        <f t="shared" si="7"/>
        <v>--</v>
      </c>
      <c r="R35" s="550" t="str">
        <f t="shared" si="8"/>
        <v>--</v>
      </c>
      <c r="S35" s="535">
        <f t="shared" si="9"/>
      </c>
      <c r="T35" s="62">
        <f t="shared" si="10"/>
      </c>
      <c r="U35" s="37"/>
    </row>
    <row r="36" spans="2:21" s="10" customFormat="1" ht="16.5" customHeight="1">
      <c r="B36" s="42"/>
      <c r="C36" s="542"/>
      <c r="D36" s="543"/>
      <c r="E36" s="543"/>
      <c r="F36" s="593"/>
      <c r="G36" s="267">
        <f t="shared" si="0"/>
        <v>2.274</v>
      </c>
      <c r="H36" s="545"/>
      <c r="I36" s="546"/>
      <c r="J36" s="34">
        <f t="shared" si="1"/>
      </c>
      <c r="K36" s="61">
        <f t="shared" si="2"/>
      </c>
      <c r="L36" s="547"/>
      <c r="M36" s="547">
        <f t="shared" si="3"/>
      </c>
      <c r="N36" s="548">
        <f t="shared" si="4"/>
        <v>20</v>
      </c>
      <c r="O36" s="549" t="str">
        <f t="shared" si="5"/>
        <v>--</v>
      </c>
      <c r="P36" s="537" t="str">
        <f t="shared" si="6"/>
        <v>--</v>
      </c>
      <c r="Q36" s="538" t="str">
        <f t="shared" si="7"/>
        <v>--</v>
      </c>
      <c r="R36" s="550" t="str">
        <f t="shared" si="8"/>
        <v>--</v>
      </c>
      <c r="S36" s="535">
        <f t="shared" si="9"/>
      </c>
      <c r="T36" s="62">
        <f t="shared" si="10"/>
      </c>
      <c r="U36" s="37"/>
    </row>
    <row r="37" spans="2:21" s="10" customFormat="1" ht="16.5" customHeight="1">
      <c r="B37" s="42"/>
      <c r="C37" s="542"/>
      <c r="D37" s="543"/>
      <c r="E37" s="543"/>
      <c r="F37" s="593"/>
      <c r="G37" s="267">
        <f t="shared" si="0"/>
        <v>2.274</v>
      </c>
      <c r="H37" s="545"/>
      <c r="I37" s="546"/>
      <c r="J37" s="34">
        <f t="shared" si="1"/>
      </c>
      <c r="K37" s="61">
        <f t="shared" si="2"/>
      </c>
      <c r="L37" s="547"/>
      <c r="M37" s="547">
        <f t="shared" si="3"/>
      </c>
      <c r="N37" s="548">
        <f t="shared" si="4"/>
        <v>20</v>
      </c>
      <c r="O37" s="549" t="str">
        <f t="shared" si="5"/>
        <v>--</v>
      </c>
      <c r="P37" s="537" t="str">
        <f t="shared" si="6"/>
        <v>--</v>
      </c>
      <c r="Q37" s="538" t="str">
        <f t="shared" si="7"/>
        <v>--</v>
      </c>
      <c r="R37" s="550" t="str">
        <f t="shared" si="8"/>
        <v>--</v>
      </c>
      <c r="S37" s="535">
        <f t="shared" si="9"/>
      </c>
      <c r="T37" s="62">
        <f t="shared" si="10"/>
      </c>
      <c r="U37" s="37"/>
    </row>
    <row r="38" spans="2:21" s="10" customFormat="1" ht="16.5" customHeight="1">
      <c r="B38" s="42"/>
      <c r="C38" s="542"/>
      <c r="D38" s="543"/>
      <c r="E38" s="543"/>
      <c r="F38" s="593"/>
      <c r="G38" s="267">
        <f t="shared" si="0"/>
        <v>2.274</v>
      </c>
      <c r="H38" s="545"/>
      <c r="I38" s="546"/>
      <c r="J38" s="34">
        <f t="shared" si="1"/>
      </c>
      <c r="K38" s="61">
        <f t="shared" si="2"/>
      </c>
      <c r="L38" s="547"/>
      <c r="M38" s="547">
        <f t="shared" si="3"/>
      </c>
      <c r="N38" s="548">
        <f t="shared" si="4"/>
        <v>20</v>
      </c>
      <c r="O38" s="549" t="str">
        <f t="shared" si="5"/>
        <v>--</v>
      </c>
      <c r="P38" s="537" t="str">
        <f t="shared" si="6"/>
        <v>--</v>
      </c>
      <c r="Q38" s="538" t="str">
        <f t="shared" si="7"/>
        <v>--</v>
      </c>
      <c r="R38" s="550" t="str">
        <f t="shared" si="8"/>
        <v>--</v>
      </c>
      <c r="S38" s="535">
        <f t="shared" si="9"/>
      </c>
      <c r="T38" s="62">
        <f t="shared" si="10"/>
      </c>
      <c r="U38" s="37"/>
    </row>
    <row r="39" spans="2:21" s="10" customFormat="1" ht="16.5" customHeight="1">
      <c r="B39" s="42"/>
      <c r="C39" s="542"/>
      <c r="D39" s="543"/>
      <c r="E39" s="543"/>
      <c r="F39" s="593"/>
      <c r="G39" s="267">
        <f t="shared" si="0"/>
        <v>2.274</v>
      </c>
      <c r="H39" s="545"/>
      <c r="I39" s="546"/>
      <c r="J39" s="34">
        <f t="shared" si="1"/>
      </c>
      <c r="K39" s="61">
        <f t="shared" si="2"/>
      </c>
      <c r="L39" s="547"/>
      <c r="M39" s="547">
        <f t="shared" si="3"/>
      </c>
      <c r="N39" s="548">
        <f t="shared" si="4"/>
        <v>20</v>
      </c>
      <c r="O39" s="549" t="str">
        <f t="shared" si="5"/>
        <v>--</v>
      </c>
      <c r="P39" s="537" t="str">
        <f t="shared" si="6"/>
        <v>--</v>
      </c>
      <c r="Q39" s="538" t="str">
        <f t="shared" si="7"/>
        <v>--</v>
      </c>
      <c r="R39" s="550" t="str">
        <f t="shared" si="8"/>
        <v>--</v>
      </c>
      <c r="S39" s="535">
        <f t="shared" si="9"/>
      </c>
      <c r="T39" s="62">
        <f t="shared" si="10"/>
      </c>
      <c r="U39" s="37"/>
    </row>
    <row r="40" spans="2:21" s="10" customFormat="1" ht="16.5" customHeight="1">
      <c r="B40" s="42"/>
      <c r="C40" s="542"/>
      <c r="D40" s="543"/>
      <c r="E40" s="543"/>
      <c r="F40" s="593"/>
      <c r="G40" s="267">
        <f t="shared" si="0"/>
        <v>2.274</v>
      </c>
      <c r="H40" s="545"/>
      <c r="I40" s="546"/>
      <c r="J40" s="34">
        <f t="shared" si="1"/>
      </c>
      <c r="K40" s="61">
        <f t="shared" si="2"/>
      </c>
      <c r="L40" s="547"/>
      <c r="M40" s="547">
        <f t="shared" si="3"/>
      </c>
      <c r="N40" s="548">
        <f t="shared" si="4"/>
        <v>20</v>
      </c>
      <c r="O40" s="549" t="str">
        <f t="shared" si="5"/>
        <v>--</v>
      </c>
      <c r="P40" s="537" t="str">
        <f t="shared" si="6"/>
        <v>--</v>
      </c>
      <c r="Q40" s="538" t="str">
        <f t="shared" si="7"/>
        <v>--</v>
      </c>
      <c r="R40" s="550" t="str">
        <f t="shared" si="8"/>
        <v>--</v>
      </c>
      <c r="S40" s="535">
        <f t="shared" si="9"/>
      </c>
      <c r="T40" s="62">
        <f t="shared" si="10"/>
      </c>
      <c r="U40" s="37"/>
    </row>
    <row r="41" spans="2:21" s="10" customFormat="1" ht="16.5" customHeight="1">
      <c r="B41" s="42"/>
      <c r="C41" s="542"/>
      <c r="D41" s="543"/>
      <c r="E41" s="543"/>
      <c r="F41" s="593"/>
      <c r="G41" s="267">
        <f t="shared" si="0"/>
        <v>2.274</v>
      </c>
      <c r="H41" s="545"/>
      <c r="I41" s="546"/>
      <c r="J41" s="34">
        <f t="shared" si="1"/>
      </c>
      <c r="K41" s="61">
        <f t="shared" si="2"/>
      </c>
      <c r="L41" s="547"/>
      <c r="M41" s="547">
        <f t="shared" si="3"/>
      </c>
      <c r="N41" s="548">
        <f t="shared" si="4"/>
        <v>20</v>
      </c>
      <c r="O41" s="549" t="str">
        <f t="shared" si="5"/>
        <v>--</v>
      </c>
      <c r="P41" s="537" t="str">
        <f t="shared" si="6"/>
        <v>--</v>
      </c>
      <c r="Q41" s="538" t="str">
        <f t="shared" si="7"/>
        <v>--</v>
      </c>
      <c r="R41" s="550" t="str">
        <f t="shared" si="8"/>
        <v>--</v>
      </c>
      <c r="S41" s="535">
        <f t="shared" si="9"/>
      </c>
      <c r="T41" s="62">
        <f t="shared" si="10"/>
      </c>
      <c r="U41" s="37"/>
    </row>
    <row r="42" spans="2:21" s="10" customFormat="1" ht="16.5" customHeight="1" thickBot="1">
      <c r="B42" s="42"/>
      <c r="C42" s="533"/>
      <c r="D42" s="533"/>
      <c r="E42" s="533"/>
      <c r="F42" s="533"/>
      <c r="G42" s="266"/>
      <c r="H42" s="533"/>
      <c r="I42" s="533"/>
      <c r="J42" s="28"/>
      <c r="K42" s="28"/>
      <c r="L42" s="533"/>
      <c r="M42" s="533"/>
      <c r="N42" s="551"/>
      <c r="O42" s="552"/>
      <c r="P42" s="540"/>
      <c r="Q42" s="541"/>
      <c r="R42" s="539"/>
      <c r="S42" s="533"/>
      <c r="T42" s="205"/>
      <c r="U42" s="37"/>
    </row>
    <row r="43" spans="2:23" s="10" customFormat="1" ht="16.5" customHeight="1" thickBot="1" thickTop="1">
      <c r="B43" s="42"/>
      <c r="C43" s="234" t="s">
        <v>68</v>
      </c>
      <c r="D43" s="235" t="s">
        <v>156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92">
        <f>ROUND(SUM(O20:O42),2)</f>
        <v>0</v>
      </c>
      <c r="P43" s="321">
        <f>SUM(P20:P42)</f>
        <v>56.85</v>
      </c>
      <c r="Q43" s="321">
        <f>SUM(Q20:Q42)</f>
        <v>1233.645</v>
      </c>
      <c r="R43" s="393">
        <f>SUM(R20:R42)</f>
        <v>0</v>
      </c>
      <c r="S43" s="63"/>
      <c r="T43" s="250">
        <f>SUM(T20:T42)</f>
        <v>1290.495</v>
      </c>
      <c r="U43" s="37"/>
      <c r="W43" s="592"/>
    </row>
    <row r="44" spans="2:21" s="252" customFormat="1" ht="9.75" thickTop="1">
      <c r="B44" s="251"/>
      <c r="C44" s="236"/>
      <c r="D44" s="237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6"/>
      <c r="T44" s="257"/>
      <c r="U44" s="258"/>
    </row>
    <row r="45" spans="1:21" s="10" customFormat="1" ht="16.5" customHeight="1" thickBot="1">
      <c r="A45" s="11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4"/>
    </row>
    <row r="46" spans="1:21" ht="13.5" thickTop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3:4" ht="12.75">
      <c r="C47" s="6"/>
      <c r="D47" s="6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Roman,Cursiva"&amp;7&amp;Z&amp;F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60" zoomScaleNormal="60" zoomScalePageLayoutView="0" workbookViewId="0" topLeftCell="B7">
      <selection activeCell="D23" sqref="D23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3.421875" style="0" customWidth="1"/>
    <col min="5" max="5" width="16.0039062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5.7109375" style="0" customWidth="1"/>
    <col min="11" max="11" width="14.57421875" style="0" customWidth="1"/>
    <col min="12" max="12" width="40.140625" style="0" customWidth="1"/>
    <col min="13" max="13" width="9.851562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105" customFormat="1" ht="39.75" customHeight="1">
      <c r="P1" s="399"/>
    </row>
    <row r="2" spans="2:16" s="105" customFormat="1" ht="26.25">
      <c r="B2" s="106" t="str">
        <f>+'TOT-0803'!B2</f>
        <v>ANEXO III al Memorándum D.T.E.E.   N°       587  /2013.-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" s="108" customFormat="1" ht="11.25">
      <c r="A3" s="124" t="s">
        <v>25</v>
      </c>
      <c r="B3" s="400"/>
    </row>
    <row r="4" spans="1:2" s="108" customFormat="1" ht="11.25">
      <c r="A4" s="124" t="s">
        <v>26</v>
      </c>
      <c r="B4" s="400"/>
    </row>
    <row r="5" s="10" customFormat="1" ht="13.5" thickBot="1"/>
    <row r="6" spans="1:16" s="10" customFormat="1" ht="13.5" thickTop="1">
      <c r="A6" s="8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s="110" customFormat="1" ht="20.25">
      <c r="A7" s="43"/>
      <c r="B7" s="109"/>
      <c r="C7" s="43"/>
      <c r="D7" s="20" t="s">
        <v>46</v>
      </c>
      <c r="G7" s="43"/>
      <c r="H7" s="43"/>
      <c r="I7" s="43"/>
      <c r="J7" s="43"/>
      <c r="K7" s="43"/>
      <c r="L7" s="43"/>
      <c r="M7" s="43"/>
      <c r="N7" s="43"/>
      <c r="O7" s="43"/>
      <c r="P7" s="111"/>
    </row>
    <row r="8" spans="1:16" ht="15">
      <c r="A8" s="1"/>
      <c r="B8" s="269"/>
      <c r="C8" s="70"/>
      <c r="D8" s="401"/>
      <c r="E8" s="70"/>
      <c r="F8" s="68"/>
      <c r="G8" s="70"/>
      <c r="H8" s="70"/>
      <c r="I8" s="70"/>
      <c r="J8" s="70"/>
      <c r="K8" s="70"/>
      <c r="L8" s="70"/>
      <c r="M8" s="70"/>
      <c r="N8" s="70"/>
      <c r="O8" s="70"/>
      <c r="P8" s="273"/>
    </row>
    <row r="9" spans="1:19" s="110" customFormat="1" ht="20.25">
      <c r="A9" s="43"/>
      <c r="B9" s="402"/>
      <c r="C9"/>
      <c r="D9" s="21" t="s">
        <v>142</v>
      </c>
      <c r="E9" s="403"/>
      <c r="F9" s="403"/>
      <c r="G9" s="403"/>
      <c r="H9" s="404"/>
      <c r="I9" s="403"/>
      <c r="J9" s="403"/>
      <c r="K9" s="403"/>
      <c r="L9" s="403"/>
      <c r="M9" s="403"/>
      <c r="N9" s="403"/>
      <c r="O9" s="403"/>
      <c r="P9" s="405"/>
      <c r="Q9" s="224"/>
      <c r="R9" s="166"/>
      <c r="S9" s="166"/>
    </row>
    <row r="10" spans="1:19" s="10" customFormat="1" ht="12.75">
      <c r="A10" s="8"/>
      <c r="B10" s="42"/>
      <c r="C10" s="8"/>
      <c r="D10" s="64"/>
      <c r="E10" s="29"/>
      <c r="F10" s="29"/>
      <c r="G10" s="29"/>
      <c r="H10" s="158"/>
      <c r="I10" s="29"/>
      <c r="J10" s="29"/>
      <c r="K10" s="29"/>
      <c r="L10" s="29"/>
      <c r="M10" s="29"/>
      <c r="N10" s="29"/>
      <c r="O10" s="29"/>
      <c r="P10" s="37"/>
      <c r="Q10" s="29"/>
      <c r="R10" s="29"/>
      <c r="S10" s="165"/>
    </row>
    <row r="11" spans="1:19" s="117" customFormat="1" ht="19.5">
      <c r="A11" s="44"/>
      <c r="B11" s="227" t="str">
        <f>+'TOT-0803'!B14</f>
        <v>Desde el 01 al 31 de marzo de 2008</v>
      </c>
      <c r="C11" s="135"/>
      <c r="D11" s="184"/>
      <c r="E11" s="184"/>
      <c r="F11" s="184"/>
      <c r="G11" s="184"/>
      <c r="H11" s="184"/>
      <c r="I11" s="135"/>
      <c r="J11" s="184"/>
      <c r="K11" s="184"/>
      <c r="L11" s="184"/>
      <c r="M11" s="184"/>
      <c r="N11" s="184"/>
      <c r="O11" s="184"/>
      <c r="P11" s="406"/>
      <c r="Q11" s="407"/>
      <c r="R11" s="407"/>
      <c r="S11" s="407"/>
    </row>
    <row r="12" spans="1:19" ht="15">
      <c r="A12" s="1"/>
      <c r="B12" s="269"/>
      <c r="C12" s="70"/>
      <c r="D12" s="66"/>
      <c r="E12" s="66"/>
      <c r="F12" s="66"/>
      <c r="G12" s="66"/>
      <c r="H12" s="408"/>
      <c r="I12" s="70"/>
      <c r="J12" s="66"/>
      <c r="K12" s="66"/>
      <c r="L12" s="66"/>
      <c r="M12" s="66"/>
      <c r="N12" s="66"/>
      <c r="O12" s="66"/>
      <c r="P12" s="67"/>
      <c r="Q12" s="4"/>
      <c r="R12" s="4"/>
      <c r="S12" s="409"/>
    </row>
    <row r="13" spans="1:19" ht="18" customHeight="1">
      <c r="A13" s="1"/>
      <c r="B13" s="269"/>
      <c r="C13" s="70"/>
      <c r="D13" s="66"/>
      <c r="E13" s="66"/>
      <c r="F13" s="66"/>
      <c r="G13" s="66"/>
      <c r="H13" s="78"/>
      <c r="I13" s="78"/>
      <c r="J13" s="66"/>
      <c r="K13" s="66"/>
      <c r="P13" s="67"/>
      <c r="Q13" s="4"/>
      <c r="R13" s="4"/>
      <c r="S13" s="409"/>
    </row>
    <row r="14" spans="1:19" ht="18" customHeight="1">
      <c r="A14" s="1"/>
      <c r="B14" s="269"/>
      <c r="C14" s="70"/>
      <c r="D14" s="65"/>
      <c r="E14" s="410"/>
      <c r="F14" s="66"/>
      <c r="G14" s="66"/>
      <c r="H14" s="78"/>
      <c r="I14" s="78"/>
      <c r="J14" s="66"/>
      <c r="K14" s="66"/>
      <c r="P14" s="67"/>
      <c r="Q14" s="4"/>
      <c r="R14" s="4"/>
      <c r="S14" s="409"/>
    </row>
    <row r="15" spans="1:16" ht="16.5" thickBot="1">
      <c r="A15" s="1"/>
      <c r="B15" s="269"/>
      <c r="C15" s="411" t="s">
        <v>89</v>
      </c>
      <c r="D15" s="68"/>
      <c r="E15" s="270"/>
      <c r="F15" s="271"/>
      <c r="G15" s="70"/>
      <c r="H15" s="70"/>
      <c r="I15" s="70"/>
      <c r="J15" s="69"/>
      <c r="K15" s="69"/>
      <c r="L15" s="272"/>
      <c r="M15" s="70"/>
      <c r="N15" s="70"/>
      <c r="O15" s="70"/>
      <c r="P15" s="273"/>
    </row>
    <row r="16" spans="1:16" ht="16.5" thickBot="1">
      <c r="A16" s="1"/>
      <c r="B16" s="269"/>
      <c r="C16" s="274"/>
      <c r="D16" s="68"/>
      <c r="E16" s="270"/>
      <c r="F16" s="271"/>
      <c r="G16" s="70"/>
      <c r="H16" s="70"/>
      <c r="L16" s="412" t="s">
        <v>85</v>
      </c>
      <c r="M16" s="413">
        <v>3.03</v>
      </c>
      <c r="N16" s="414"/>
      <c r="O16" s="70"/>
      <c r="P16" s="273"/>
    </row>
    <row r="17" spans="1:16" ht="15.75">
      <c r="A17" s="1"/>
      <c r="B17" s="269"/>
      <c r="C17" s="274"/>
      <c r="D17" s="69" t="s">
        <v>90</v>
      </c>
      <c r="E17" s="275">
        <f>MID(B11,16,2)*24</f>
        <v>744</v>
      </c>
      <c r="F17" s="70" t="s">
        <v>91</v>
      </c>
      <c r="G17" s="66"/>
      <c r="H17" s="415"/>
      <c r="I17" s="416" t="s">
        <v>92</v>
      </c>
      <c r="J17" s="417">
        <v>65.168</v>
      </c>
      <c r="K17" s="396"/>
      <c r="L17" s="418" t="s">
        <v>86</v>
      </c>
      <c r="M17" s="419">
        <v>2.274</v>
      </c>
      <c r="N17" s="420"/>
      <c r="O17" s="70"/>
      <c r="P17" s="273"/>
    </row>
    <row r="18" spans="1:16" ht="16.5" thickBot="1">
      <c r="A18" s="1"/>
      <c r="B18" s="269"/>
      <c r="C18" s="274"/>
      <c r="D18" s="69" t="s">
        <v>93</v>
      </c>
      <c r="E18" s="277">
        <v>0.025</v>
      </c>
      <c r="F18" s="66"/>
      <c r="G18" s="66"/>
      <c r="H18" s="421"/>
      <c r="I18" s="422" t="s">
        <v>94</v>
      </c>
      <c r="J18" s="423">
        <v>0.227</v>
      </c>
      <c r="K18" s="424"/>
      <c r="L18" s="425" t="s">
        <v>87</v>
      </c>
      <c r="M18" s="426">
        <v>2.274</v>
      </c>
      <c r="N18" s="427"/>
      <c r="O18" s="70"/>
      <c r="P18" s="273"/>
    </row>
    <row r="19" spans="1:16" ht="15.75">
      <c r="A19" s="1"/>
      <c r="B19" s="269"/>
      <c r="C19" s="274"/>
      <c r="D19" s="69"/>
      <c r="E19" s="277"/>
      <c r="F19" s="66"/>
      <c r="G19" s="66"/>
      <c r="H19" s="66"/>
      <c r="I19" s="66"/>
      <c r="L19" s="272"/>
      <c r="M19" s="70"/>
      <c r="N19" s="70"/>
      <c r="O19" s="70"/>
      <c r="P19" s="273"/>
    </row>
    <row r="20" spans="1:16" ht="15">
      <c r="A20" s="1"/>
      <c r="B20" s="269"/>
      <c r="C20" s="65" t="s">
        <v>95</v>
      </c>
      <c r="D20" s="73"/>
      <c r="E20" s="270"/>
      <c r="F20" s="271"/>
      <c r="G20" s="70"/>
      <c r="H20" s="70"/>
      <c r="I20" s="70"/>
      <c r="J20" s="69"/>
      <c r="K20" s="69"/>
      <c r="L20" s="272"/>
      <c r="M20" s="70"/>
      <c r="N20" s="70"/>
      <c r="O20" s="70"/>
      <c r="P20" s="273"/>
    </row>
    <row r="21" spans="1:16" ht="15">
      <c r="A21" s="1"/>
      <c r="B21" s="269"/>
      <c r="C21" s="70"/>
      <c r="D21" s="70"/>
      <c r="E21" s="70"/>
      <c r="F21" s="70"/>
      <c r="G21" s="70"/>
      <c r="H21" s="278"/>
      <c r="I21" s="70"/>
      <c r="J21" s="70"/>
      <c r="K21" s="70"/>
      <c r="L21" s="70"/>
      <c r="M21" s="70"/>
      <c r="N21" s="70"/>
      <c r="O21" s="70"/>
      <c r="P21" s="273"/>
    </row>
    <row r="22" spans="1:16" ht="15">
      <c r="A22" s="1"/>
      <c r="B22" s="269"/>
      <c r="C22" s="70"/>
      <c r="D22" s="69" t="s">
        <v>96</v>
      </c>
      <c r="E22" s="70"/>
      <c r="F22" s="278" t="s">
        <v>28</v>
      </c>
      <c r="G22" s="70"/>
      <c r="H22" s="68"/>
      <c r="I22" s="428">
        <v>0</v>
      </c>
      <c r="J22" s="70"/>
      <c r="K22" s="70"/>
      <c r="L22" s="429"/>
      <c r="M22" s="70"/>
      <c r="N22" s="70"/>
      <c r="O22" s="70"/>
      <c r="P22" s="273"/>
    </row>
    <row r="23" spans="1:16" ht="15">
      <c r="A23" s="1"/>
      <c r="B23" s="269"/>
      <c r="C23" s="70"/>
      <c r="D23" s="70"/>
      <c r="E23" s="70"/>
      <c r="F23" s="278" t="s">
        <v>97</v>
      </c>
      <c r="G23" s="70"/>
      <c r="H23" s="68"/>
      <c r="I23" s="428">
        <f>+'TR-0803 (EDERSA)'!AA41</f>
        <v>277.85</v>
      </c>
      <c r="J23" s="70"/>
      <c r="K23" s="70"/>
      <c r="L23" s="429"/>
      <c r="M23" s="70"/>
      <c r="N23" s="70"/>
      <c r="O23" s="70"/>
      <c r="P23" s="273"/>
    </row>
    <row r="24" spans="1:16" ht="15">
      <c r="A24" s="1"/>
      <c r="B24" s="269"/>
      <c r="C24" s="70"/>
      <c r="D24" s="70"/>
      <c r="E24" s="70"/>
      <c r="F24" s="278" t="s">
        <v>3</v>
      </c>
      <c r="G24" s="70"/>
      <c r="H24" s="68"/>
      <c r="I24" s="430">
        <f>' SA-0803(EDERSA)'!T43</f>
        <v>1290.495</v>
      </c>
      <c r="J24" s="70"/>
      <c r="K24" s="70"/>
      <c r="L24" s="429"/>
      <c r="M24" s="70"/>
      <c r="N24" s="70"/>
      <c r="O24" s="70"/>
      <c r="P24" s="273"/>
    </row>
    <row r="25" spans="1:16" ht="15.75" thickBot="1">
      <c r="A25" s="1"/>
      <c r="B25" s="269"/>
      <c r="C25" s="70"/>
      <c r="D25" s="70"/>
      <c r="E25" s="70"/>
      <c r="F25" s="70"/>
      <c r="G25" s="70"/>
      <c r="H25" s="278"/>
      <c r="I25" s="70"/>
      <c r="J25" s="70"/>
      <c r="K25" s="70"/>
      <c r="L25" s="70"/>
      <c r="M25" s="70"/>
      <c r="N25" s="70"/>
      <c r="O25" s="70"/>
      <c r="P25" s="273"/>
    </row>
    <row r="26" spans="2:16" ht="20.25" thickBot="1" thickTop="1">
      <c r="B26" s="269"/>
      <c r="C26" s="77"/>
      <c r="H26" s="431" t="s">
        <v>98</v>
      </c>
      <c r="I26" s="146">
        <f>SUM(I22:I25)</f>
        <v>1568.3449999999998</v>
      </c>
      <c r="L26" s="74"/>
      <c r="M26" s="74"/>
      <c r="N26" s="75"/>
      <c r="O26" s="76"/>
      <c r="P26" s="279"/>
    </row>
    <row r="27" spans="2:16" ht="15.75" thickTop="1">
      <c r="B27" s="269"/>
      <c r="C27" s="77"/>
      <c r="D27" s="73"/>
      <c r="E27" s="73"/>
      <c r="F27" s="79"/>
      <c r="G27" s="74"/>
      <c r="H27" s="74"/>
      <c r="I27" s="74"/>
      <c r="J27" s="74"/>
      <c r="K27" s="74"/>
      <c r="L27" s="74"/>
      <c r="M27" s="74"/>
      <c r="N27" s="75"/>
      <c r="O27" s="76"/>
      <c r="P27" s="279"/>
    </row>
    <row r="28" spans="2:16" ht="15">
      <c r="B28" s="269"/>
      <c r="C28" s="65" t="s">
        <v>99</v>
      </c>
      <c r="D28" s="73"/>
      <c r="E28" s="73"/>
      <c r="F28" s="79"/>
      <c r="G28" s="74"/>
      <c r="H28" s="74"/>
      <c r="I28" s="74"/>
      <c r="J28" s="74"/>
      <c r="K28" s="74"/>
      <c r="L28" s="74"/>
      <c r="M28" s="74"/>
      <c r="N28" s="75"/>
      <c r="O28" s="76"/>
      <c r="P28" s="279"/>
    </row>
    <row r="29" spans="2:16" ht="15">
      <c r="B29" s="269"/>
      <c r="C29" s="77"/>
      <c r="D29" s="73"/>
      <c r="E29" s="73"/>
      <c r="F29" s="79"/>
      <c r="G29" s="74"/>
      <c r="H29" s="74"/>
      <c r="I29" s="74"/>
      <c r="J29" s="74"/>
      <c r="K29" s="74"/>
      <c r="L29" s="74"/>
      <c r="M29" s="74"/>
      <c r="N29" s="75"/>
      <c r="O29" s="76"/>
      <c r="P29" s="279"/>
    </row>
    <row r="30" spans="2:16" ht="15.75">
      <c r="B30" s="269"/>
      <c r="C30" s="77"/>
      <c r="D30" s="432" t="s">
        <v>100</v>
      </c>
      <c r="E30" s="433" t="s">
        <v>24</v>
      </c>
      <c r="F30" s="434" t="s">
        <v>101</v>
      </c>
      <c r="G30" s="435"/>
      <c r="H30" s="560" t="s">
        <v>137</v>
      </c>
      <c r="I30" s="559" t="s">
        <v>136</v>
      </c>
      <c r="J30" s="555"/>
      <c r="K30" s="460"/>
      <c r="L30" s="438" t="s">
        <v>2</v>
      </c>
      <c r="N30" s="75"/>
      <c r="O30" s="76"/>
      <c r="P30" s="279"/>
    </row>
    <row r="31" spans="2:16" ht="15.75">
      <c r="B31" s="269"/>
      <c r="C31" s="77"/>
      <c r="D31" s="439" t="s">
        <v>5</v>
      </c>
      <c r="E31" s="440">
        <v>132</v>
      </c>
      <c r="F31" s="441">
        <v>31</v>
      </c>
      <c r="G31" s="442"/>
      <c r="H31" s="443">
        <f>F31*$J$17*$E$17/100</f>
        <v>15030.347520000001</v>
      </c>
      <c r="I31" s="444">
        <v>0</v>
      </c>
      <c r="J31" s="557" t="s">
        <v>167</v>
      </c>
      <c r="K31" s="446"/>
      <c r="L31" s="447">
        <f>SUM(H31:K31)</f>
        <v>15030.347520000001</v>
      </c>
      <c r="M31" s="74"/>
      <c r="N31" s="75"/>
      <c r="O31" s="76"/>
      <c r="P31" s="279"/>
    </row>
    <row r="32" spans="2:16" ht="15.75">
      <c r="B32" s="269"/>
      <c r="C32" s="77"/>
      <c r="D32" s="467" t="s">
        <v>6</v>
      </c>
      <c r="E32" s="73">
        <v>132</v>
      </c>
      <c r="F32" s="79">
        <v>110.3</v>
      </c>
      <c r="G32" s="74"/>
      <c r="H32" s="284">
        <f>F32*$J$17*$E$17/100</f>
        <v>53478.946176000005</v>
      </c>
      <c r="I32" s="484">
        <v>0</v>
      </c>
      <c r="J32" s="556" t="s">
        <v>167</v>
      </c>
      <c r="K32" s="276"/>
      <c r="L32" s="468">
        <f>SUM(H32:K32)</f>
        <v>53478.946176000005</v>
      </c>
      <c r="M32" s="74"/>
      <c r="N32" s="75"/>
      <c r="O32" s="76"/>
      <c r="P32" s="279"/>
    </row>
    <row r="33" spans="2:16" ht="15.75">
      <c r="B33" s="269"/>
      <c r="C33" s="77"/>
      <c r="D33" s="467" t="s">
        <v>7</v>
      </c>
      <c r="E33" s="73">
        <v>132</v>
      </c>
      <c r="F33" s="79">
        <v>185.6</v>
      </c>
      <c r="G33" s="74"/>
      <c r="H33" s="284">
        <f>F33*$J$17*$E$17/100</f>
        <v>89988.145152</v>
      </c>
      <c r="I33" s="484">
        <v>0</v>
      </c>
      <c r="J33" s="556" t="s">
        <v>167</v>
      </c>
      <c r="K33" s="276"/>
      <c r="L33" s="468">
        <f>SUM(H33:K33)</f>
        <v>89988.145152</v>
      </c>
      <c r="M33" s="74"/>
      <c r="N33" s="75"/>
      <c r="O33" s="76"/>
      <c r="P33" s="279"/>
    </row>
    <row r="34" spans="2:16" ht="15.75">
      <c r="B34" s="269"/>
      <c r="C34" s="77"/>
      <c r="D34" s="448" t="s">
        <v>8</v>
      </c>
      <c r="E34" s="449">
        <v>132</v>
      </c>
      <c r="F34" s="450">
        <v>7</v>
      </c>
      <c r="G34" s="451"/>
      <c r="H34" s="452">
        <f>F34*$J$17*$E$17/100</f>
        <v>3393.9494400000003</v>
      </c>
      <c r="I34" s="453">
        <v>0</v>
      </c>
      <c r="J34" s="558" t="s">
        <v>167</v>
      </c>
      <c r="K34" s="455"/>
      <c r="L34" s="456">
        <f>SUM(H34:K34)</f>
        <v>3393.9494400000003</v>
      </c>
      <c r="M34" s="74"/>
      <c r="N34" s="75"/>
      <c r="O34" s="76"/>
      <c r="P34" s="279"/>
    </row>
    <row r="35" spans="2:16" ht="15">
      <c r="B35" s="269"/>
      <c r="C35" s="77"/>
      <c r="D35" s="73"/>
      <c r="E35" s="73"/>
      <c r="F35" s="280"/>
      <c r="G35" s="74"/>
      <c r="I35" s="80"/>
      <c r="J35" s="276"/>
      <c r="K35" s="276"/>
      <c r="L35" s="457">
        <f>SUM(L31:L34)</f>
        <v>161891.38828800002</v>
      </c>
      <c r="M35" s="74"/>
      <c r="N35" s="75"/>
      <c r="O35" s="76"/>
      <c r="P35" s="279"/>
    </row>
    <row r="36" spans="2:16" ht="15">
      <c r="B36" s="269"/>
      <c r="C36" s="77"/>
      <c r="D36" s="73"/>
      <c r="E36" s="73"/>
      <c r="F36" s="280"/>
      <c r="G36" s="74"/>
      <c r="I36" s="80"/>
      <c r="J36" s="276"/>
      <c r="K36" s="276"/>
      <c r="L36" s="281"/>
      <c r="M36" s="74"/>
      <c r="N36" s="75"/>
      <c r="O36" s="76"/>
      <c r="P36" s="279"/>
    </row>
    <row r="37" spans="2:16" ht="15.75">
      <c r="B37" s="269"/>
      <c r="C37" s="77"/>
      <c r="D37" s="432" t="s">
        <v>102</v>
      </c>
      <c r="E37" s="433" t="s">
        <v>103</v>
      </c>
      <c r="F37" s="485" t="s">
        <v>115</v>
      </c>
      <c r="G37" s="486"/>
      <c r="H37" s="561" t="s">
        <v>138</v>
      </c>
      <c r="J37" s="458" t="s">
        <v>105</v>
      </c>
      <c r="K37" s="459"/>
      <c r="L37" s="460" t="s">
        <v>54</v>
      </c>
      <c r="M37" s="433" t="s">
        <v>24</v>
      </c>
      <c r="N37" s="461" t="s">
        <v>106</v>
      </c>
      <c r="O37" s="462"/>
      <c r="P37" s="279"/>
    </row>
    <row r="38" spans="2:16" ht="15">
      <c r="B38" s="269"/>
      <c r="C38" s="77"/>
      <c r="D38" s="439" t="s">
        <v>14</v>
      </c>
      <c r="E38" s="440" t="s">
        <v>122</v>
      </c>
      <c r="F38" s="487">
        <v>30</v>
      </c>
      <c r="G38" s="488"/>
      <c r="H38" s="447">
        <f>+F38*$J$18*$E$17</f>
        <v>5066.64</v>
      </c>
      <c r="J38" s="463" t="s">
        <v>116</v>
      </c>
      <c r="K38" s="445"/>
      <c r="L38" s="442" t="s">
        <v>117</v>
      </c>
      <c r="M38" s="464">
        <v>132</v>
      </c>
      <c r="N38" s="465">
        <f>M16*E17</f>
        <v>2254.3199999999997</v>
      </c>
      <c r="O38" s="466"/>
      <c r="P38" s="279"/>
    </row>
    <row r="39" spans="2:16" ht="15">
      <c r="B39" s="269"/>
      <c r="C39" s="77"/>
      <c r="D39" s="467" t="s">
        <v>17</v>
      </c>
      <c r="E39" s="73" t="s">
        <v>118</v>
      </c>
      <c r="F39" s="489">
        <v>88</v>
      </c>
      <c r="G39" s="490"/>
      <c r="H39" s="468">
        <f>+F39*$J$18*$E$17</f>
        <v>14862.144</v>
      </c>
      <c r="J39" s="469" t="s">
        <v>15</v>
      </c>
      <c r="K39" s="470"/>
      <c r="L39" s="74" t="s">
        <v>119</v>
      </c>
      <c r="M39" s="75">
        <v>33</v>
      </c>
      <c r="N39" s="471">
        <f>+M17*E17*2</f>
        <v>3383.712</v>
      </c>
      <c r="O39" s="472"/>
      <c r="P39" s="279"/>
    </row>
    <row r="40" spans="2:16" ht="15">
      <c r="B40" s="269"/>
      <c r="C40" s="77"/>
      <c r="D40" s="467" t="s">
        <v>15</v>
      </c>
      <c r="E40" s="73" t="s">
        <v>12</v>
      </c>
      <c r="F40" s="489">
        <v>7.5</v>
      </c>
      <c r="G40" s="490"/>
      <c r="H40" s="468">
        <f>+F40*$J$18*$E$17</f>
        <v>1266.66</v>
      </c>
      <c r="J40" s="469" t="s">
        <v>16</v>
      </c>
      <c r="K40" s="470"/>
      <c r="L40" s="74" t="s">
        <v>120</v>
      </c>
      <c r="M40" s="75">
        <v>33</v>
      </c>
      <c r="N40" s="471">
        <f>3*M17*E17</f>
        <v>5075.568</v>
      </c>
      <c r="O40" s="472"/>
      <c r="P40" s="279"/>
    </row>
    <row r="41" spans="2:16" ht="15">
      <c r="B41" s="269"/>
      <c r="C41" s="77"/>
      <c r="D41" s="467" t="s">
        <v>16</v>
      </c>
      <c r="E41" s="73" t="s">
        <v>12</v>
      </c>
      <c r="F41" s="489">
        <v>15</v>
      </c>
      <c r="G41" s="490"/>
      <c r="H41" s="468">
        <f>+F41*$J$18*$E$17</f>
        <v>2533.32</v>
      </c>
      <c r="J41" s="469" t="s">
        <v>18</v>
      </c>
      <c r="K41" s="470"/>
      <c r="L41" s="74" t="s">
        <v>121</v>
      </c>
      <c r="M41" s="75">
        <v>13.2</v>
      </c>
      <c r="N41" s="471">
        <f>+M18*E17*6</f>
        <v>10151.136</v>
      </c>
      <c r="O41" s="472"/>
      <c r="P41" s="279"/>
    </row>
    <row r="42" spans="2:16" ht="15">
      <c r="B42" s="269"/>
      <c r="C42" s="77"/>
      <c r="D42" s="448" t="s">
        <v>18</v>
      </c>
      <c r="E42" s="449" t="s">
        <v>122</v>
      </c>
      <c r="F42" s="491">
        <v>30</v>
      </c>
      <c r="G42" s="492"/>
      <c r="H42" s="468">
        <f>+F42*$J$18*$E$17</f>
        <v>5066.64</v>
      </c>
      <c r="J42" s="469" t="s">
        <v>14</v>
      </c>
      <c r="K42" s="470"/>
      <c r="L42" s="74" t="s">
        <v>123</v>
      </c>
      <c r="M42" s="75"/>
      <c r="N42" s="471">
        <f>+M17*E17+M18*E17*2</f>
        <v>5075.568</v>
      </c>
      <c r="O42" s="472"/>
      <c r="P42" s="279"/>
    </row>
    <row r="43" spans="2:16" ht="15">
      <c r="B43" s="269"/>
      <c r="C43" s="77"/>
      <c r="D43" s="73"/>
      <c r="E43" s="73"/>
      <c r="F43" s="280"/>
      <c r="G43" s="74"/>
      <c r="H43" s="457">
        <f>SUM(H38:H42)</f>
        <v>28795.404</v>
      </c>
      <c r="J43" s="473" t="s">
        <v>17</v>
      </c>
      <c r="K43" s="454"/>
      <c r="L43" s="451" t="s">
        <v>124</v>
      </c>
      <c r="M43" s="474"/>
      <c r="N43" s="475">
        <f>(M16+M17+M18*5)*E17</f>
        <v>12405.456</v>
      </c>
      <c r="O43" s="476"/>
      <c r="P43" s="279"/>
    </row>
    <row r="44" spans="2:16" ht="15">
      <c r="B44" s="269"/>
      <c r="C44" s="77"/>
      <c r="D44" s="73"/>
      <c r="E44" s="73"/>
      <c r="F44" s="280"/>
      <c r="G44" s="74"/>
      <c r="I44" s="80"/>
      <c r="J44" s="276"/>
      <c r="K44" s="276"/>
      <c r="L44" s="281"/>
      <c r="M44" s="74"/>
      <c r="N44" s="477">
        <f>SUM(N38:N43)</f>
        <v>38345.759999999995</v>
      </c>
      <c r="O44" s="462"/>
      <c r="P44" s="279"/>
    </row>
    <row r="45" spans="2:16" ht="12.75" customHeight="1" thickBot="1">
      <c r="B45" s="269"/>
      <c r="C45" s="77"/>
      <c r="D45" s="73"/>
      <c r="E45" s="73"/>
      <c r="F45" s="79"/>
      <c r="G45" s="74"/>
      <c r="H45" s="80"/>
      <c r="I45" s="73"/>
      <c r="J45" s="73"/>
      <c r="K45" s="73"/>
      <c r="L45" s="74"/>
      <c r="M45" s="74"/>
      <c r="N45" s="75"/>
      <c r="O45" s="76"/>
      <c r="P45" s="279"/>
    </row>
    <row r="46" spans="2:16" ht="20.25" thickBot="1" thickTop="1">
      <c r="B46" s="269"/>
      <c r="C46" s="77"/>
      <c r="D46" s="73"/>
      <c r="E46" s="73"/>
      <c r="F46" s="79"/>
      <c r="G46" s="74"/>
      <c r="H46" s="478" t="s">
        <v>107</v>
      </c>
      <c r="I46" s="479">
        <f>+H43+N44+L35</f>
        <v>229032.552288</v>
      </c>
      <c r="J46" s="73"/>
      <c r="K46" s="594"/>
      <c r="L46" s="595"/>
      <c r="M46" s="74"/>
      <c r="N46" s="75"/>
      <c r="O46" s="76"/>
      <c r="P46" s="279"/>
    </row>
    <row r="47" spans="2:16" ht="15.75" thickTop="1">
      <c r="B47" s="269"/>
      <c r="C47" s="77"/>
      <c r="D47" s="73"/>
      <c r="E47" s="73"/>
      <c r="F47" s="79"/>
      <c r="G47" s="74"/>
      <c r="H47" s="80"/>
      <c r="I47" s="73"/>
      <c r="J47" s="73"/>
      <c r="K47" s="73"/>
      <c r="L47" s="74"/>
      <c r="M47" s="74"/>
      <c r="N47" s="75"/>
      <c r="O47" s="76"/>
      <c r="P47" s="279"/>
    </row>
    <row r="48" spans="2:16" ht="15.75">
      <c r="B48" s="269"/>
      <c r="C48" s="480" t="s">
        <v>108</v>
      </c>
      <c r="D48" s="73"/>
      <c r="E48" s="73"/>
      <c r="F48" s="79"/>
      <c r="G48" s="74"/>
      <c r="H48" s="80"/>
      <c r="I48" s="73"/>
      <c r="J48" s="73"/>
      <c r="K48" s="73"/>
      <c r="L48" s="74"/>
      <c r="M48" s="74"/>
      <c r="N48" s="75"/>
      <c r="O48" s="76"/>
      <c r="P48" s="279"/>
    </row>
    <row r="49" spans="2:16" ht="15.75" thickBot="1">
      <c r="B49" s="269"/>
      <c r="C49" s="77"/>
      <c r="D49" s="73"/>
      <c r="E49" s="73"/>
      <c r="F49" s="79"/>
      <c r="G49" s="74"/>
      <c r="H49" s="80"/>
      <c r="I49" s="73"/>
      <c r="J49" s="73"/>
      <c r="K49" s="73"/>
      <c r="L49" s="74"/>
      <c r="M49" s="74"/>
      <c r="N49" s="75"/>
      <c r="O49" s="76"/>
      <c r="P49" s="279"/>
    </row>
    <row r="50" spans="2:16" ht="20.25" thickBot="1" thickTop="1">
      <c r="B50" s="269"/>
      <c r="C50" s="77"/>
      <c r="D50" s="225" t="s">
        <v>109</v>
      </c>
      <c r="F50" s="282"/>
      <c r="G50" s="70"/>
      <c r="H50" s="145" t="s">
        <v>110</v>
      </c>
      <c r="I50" s="481">
        <f>+E18*I46</f>
        <v>5725.8138072</v>
      </c>
      <c r="J50" s="66"/>
      <c r="K50" s="66"/>
      <c r="O50" s="66"/>
      <c r="P50" s="279"/>
    </row>
    <row r="51" spans="2:16" ht="21.75" thickTop="1">
      <c r="B51" s="269"/>
      <c r="C51" s="77"/>
      <c r="F51" s="283"/>
      <c r="G51" s="43"/>
      <c r="I51" s="66"/>
      <c r="J51" s="66"/>
      <c r="K51" s="66"/>
      <c r="O51" s="66"/>
      <c r="P51" s="279"/>
    </row>
    <row r="52" spans="2:16" ht="15">
      <c r="B52" s="269"/>
      <c r="C52" s="65" t="s">
        <v>111</v>
      </c>
      <c r="E52" s="66"/>
      <c r="F52" s="66"/>
      <c r="G52" s="66"/>
      <c r="H52" s="66"/>
      <c r="I52" s="74"/>
      <c r="J52" s="74"/>
      <c r="K52" s="74"/>
      <c r="L52" s="74"/>
      <c r="M52" s="74"/>
      <c r="N52" s="75"/>
      <c r="O52" s="76"/>
      <c r="P52" s="279"/>
    </row>
    <row r="53" spans="2:16" ht="15">
      <c r="B53" s="269"/>
      <c r="C53" s="77"/>
      <c r="D53" s="72" t="s">
        <v>112</v>
      </c>
      <c r="E53" s="284">
        <f>10*I26*I50/I46</f>
        <v>392.08624999999995</v>
      </c>
      <c r="F53" s="482"/>
      <c r="H53" s="66"/>
      <c r="I53" s="74"/>
      <c r="J53" s="74"/>
      <c r="K53" s="74"/>
      <c r="L53" s="74"/>
      <c r="M53" s="74"/>
      <c r="N53" s="75"/>
      <c r="O53" s="76"/>
      <c r="P53" s="279"/>
    </row>
    <row r="54" spans="2:16" ht="15">
      <c r="B54" s="269"/>
      <c r="C54" s="77"/>
      <c r="D54" s="66"/>
      <c r="E54" s="66"/>
      <c r="J54" s="74"/>
      <c r="K54" s="74"/>
      <c r="L54" s="74"/>
      <c r="M54" s="74"/>
      <c r="N54" s="75"/>
      <c r="O54" s="76"/>
      <c r="P54" s="279"/>
    </row>
    <row r="55" spans="2:16" ht="15">
      <c r="B55" s="269"/>
      <c r="C55" s="77"/>
      <c r="D55" s="66" t="s">
        <v>125</v>
      </c>
      <c r="E55" s="66"/>
      <c r="F55" s="66"/>
      <c r="G55" s="66"/>
      <c r="H55" s="66"/>
      <c r="M55" s="74"/>
      <c r="N55" s="75"/>
      <c r="O55" s="76"/>
      <c r="P55" s="279"/>
    </row>
    <row r="56" spans="2:16" ht="15.75" thickBot="1">
      <c r="B56" s="269"/>
      <c r="C56" s="77"/>
      <c r="D56" s="66"/>
      <c r="E56" s="66"/>
      <c r="F56" s="66"/>
      <c r="G56" s="66"/>
      <c r="H56" s="66"/>
      <c r="M56" s="74"/>
      <c r="N56" s="75"/>
      <c r="O56" s="76"/>
      <c r="P56" s="279"/>
    </row>
    <row r="57" spans="2:16" ht="20.25" thickBot="1" thickTop="1">
      <c r="B57" s="269"/>
      <c r="C57" s="77"/>
      <c r="D57" s="73"/>
      <c r="E57" s="73"/>
      <c r="F57" s="79"/>
      <c r="G57" s="74"/>
      <c r="H57" s="226" t="s">
        <v>114</v>
      </c>
      <c r="I57" s="483">
        <f>IF($E$53&gt;3*I50,3*I50,$E$53)</f>
        <v>392.08624999999995</v>
      </c>
      <c r="J57" s="74"/>
      <c r="K57" s="74"/>
      <c r="L57" s="74"/>
      <c r="M57" s="74"/>
      <c r="N57" s="75"/>
      <c r="O57" s="76"/>
      <c r="P57" s="279"/>
    </row>
    <row r="58" spans="2:16" ht="16.5" thickBot="1" thickTop="1">
      <c r="B58" s="285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7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9" r:id="rId4"/>
  <headerFooter alignWithMargins="0">
    <oddFooter>&amp;L&amp;"Times New Roman,Cursiva"&amp;7&amp;Z&amp;F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="60" zoomScaleNormal="60" zoomScalePageLayoutView="0" workbookViewId="0" topLeftCell="A7">
      <selection activeCell="C15" sqref="C15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3.57421875" style="0" customWidth="1"/>
    <col min="5" max="5" width="12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140625" style="0" customWidth="1"/>
    <col min="11" max="11" width="9.281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105" customFormat="1" ht="39.75" customHeight="1">
      <c r="P1" s="399"/>
    </row>
    <row r="2" spans="2:16" s="105" customFormat="1" ht="26.25">
      <c r="B2" s="106" t="str">
        <f>+'TOT-0803'!B2</f>
        <v>ANEXO III al Memorándum D.T.E.E.   N°       587  /2013.-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" s="108" customFormat="1" ht="11.25">
      <c r="A3" s="124" t="s">
        <v>25</v>
      </c>
      <c r="B3" s="400"/>
    </row>
    <row r="4" spans="1:2" s="108" customFormat="1" ht="11.25">
      <c r="A4" s="124" t="s">
        <v>26</v>
      </c>
      <c r="B4" s="400"/>
    </row>
    <row r="5" s="10" customFormat="1" ht="13.5" thickBot="1"/>
    <row r="6" spans="1:16" s="10" customFormat="1" ht="13.5" thickTop="1">
      <c r="A6" s="8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s="110" customFormat="1" ht="20.25">
      <c r="A7" s="43"/>
      <c r="B7" s="109"/>
      <c r="C7" s="43"/>
      <c r="D7" s="20" t="s">
        <v>46</v>
      </c>
      <c r="G7" s="43"/>
      <c r="H7" s="43"/>
      <c r="I7" s="43"/>
      <c r="J7" s="43"/>
      <c r="K7" s="43"/>
      <c r="L7" s="43"/>
      <c r="M7" s="43"/>
      <c r="N7" s="43"/>
      <c r="O7" s="43"/>
      <c r="P7" s="111"/>
    </row>
    <row r="8" spans="1:16" ht="15">
      <c r="A8" s="1"/>
      <c r="B8" s="269"/>
      <c r="C8" s="70"/>
      <c r="D8" s="401"/>
      <c r="E8" s="70"/>
      <c r="F8" s="68"/>
      <c r="G8" s="70"/>
      <c r="H8" s="70"/>
      <c r="I8" s="70"/>
      <c r="J8" s="70"/>
      <c r="K8" s="70"/>
      <c r="L8" s="70"/>
      <c r="M8" s="70"/>
      <c r="N8" s="70"/>
      <c r="O8" s="70"/>
      <c r="P8" s="273"/>
    </row>
    <row r="9" spans="1:19" s="110" customFormat="1" ht="20.25">
      <c r="A9" s="43"/>
      <c r="B9" s="402"/>
      <c r="C9"/>
      <c r="D9" s="21" t="s">
        <v>143</v>
      </c>
      <c r="E9" s="403"/>
      <c r="F9" s="403"/>
      <c r="G9" s="403"/>
      <c r="H9" s="404"/>
      <c r="I9" s="403"/>
      <c r="J9" s="403"/>
      <c r="K9" s="403"/>
      <c r="L9" s="403"/>
      <c r="M9" s="403"/>
      <c r="N9" s="403"/>
      <c r="O9" s="403"/>
      <c r="P9" s="405"/>
      <c r="Q9" s="224"/>
      <c r="R9" s="166"/>
      <c r="S9" s="166"/>
    </row>
    <row r="10" spans="1:19" s="10" customFormat="1" ht="12.75">
      <c r="A10" s="8"/>
      <c r="B10" s="42"/>
      <c r="C10" s="8"/>
      <c r="D10" s="64"/>
      <c r="E10" s="29"/>
      <c r="F10" s="29"/>
      <c r="G10" s="29"/>
      <c r="H10" s="158"/>
      <c r="I10" s="29"/>
      <c r="J10" s="29"/>
      <c r="K10" s="29"/>
      <c r="L10" s="29"/>
      <c r="M10" s="29"/>
      <c r="N10" s="29"/>
      <c r="O10" s="29"/>
      <c r="P10" s="37"/>
      <c r="Q10" s="29"/>
      <c r="R10" s="29"/>
      <c r="S10" s="165"/>
    </row>
    <row r="11" spans="1:19" s="117" customFormat="1" ht="19.5">
      <c r="A11" s="44"/>
      <c r="B11" s="227" t="str">
        <f>+'TOT-0803'!B14</f>
        <v>Desde el 01 al 31 de marzo de 2008</v>
      </c>
      <c r="C11" s="135"/>
      <c r="D11" s="184"/>
      <c r="E11" s="184"/>
      <c r="F11" s="184"/>
      <c r="G11" s="184"/>
      <c r="H11" s="184"/>
      <c r="I11" s="135"/>
      <c r="J11" s="184"/>
      <c r="K11" s="184"/>
      <c r="L11" s="184"/>
      <c r="M11" s="184"/>
      <c r="N11" s="184"/>
      <c r="O11" s="184"/>
      <c r="P11" s="406"/>
      <c r="Q11" s="407"/>
      <c r="R11" s="407"/>
      <c r="S11" s="407"/>
    </row>
    <row r="12" spans="1:19" ht="15">
      <c r="A12" s="1"/>
      <c r="B12" s="269"/>
      <c r="C12" s="70"/>
      <c r="D12" s="66"/>
      <c r="E12" s="66"/>
      <c r="F12" s="66"/>
      <c r="G12" s="66"/>
      <c r="H12" s="408"/>
      <c r="I12" s="70"/>
      <c r="J12" s="66"/>
      <c r="K12" s="66"/>
      <c r="L12" s="66"/>
      <c r="M12" s="66"/>
      <c r="N12" s="66"/>
      <c r="O12" s="66"/>
      <c r="P12" s="67"/>
      <c r="Q12" s="4"/>
      <c r="R12" s="4"/>
      <c r="S12" s="409"/>
    </row>
    <row r="13" spans="1:19" ht="18" customHeight="1">
      <c r="A13" s="1"/>
      <c r="B13" s="269"/>
      <c r="C13" s="70"/>
      <c r="D13" s="66"/>
      <c r="E13" s="66"/>
      <c r="F13" s="66"/>
      <c r="G13" s="66"/>
      <c r="H13" s="78"/>
      <c r="I13" s="78"/>
      <c r="J13" s="66"/>
      <c r="K13" s="66"/>
      <c r="P13" s="67"/>
      <c r="Q13" s="4"/>
      <c r="R13" s="4"/>
      <c r="S13" s="409"/>
    </row>
    <row r="14" spans="1:19" ht="18" customHeight="1">
      <c r="A14" s="1"/>
      <c r="B14" s="269"/>
      <c r="C14" s="70"/>
      <c r="D14" s="65"/>
      <c r="E14" s="410"/>
      <c r="F14" s="66"/>
      <c r="G14" s="66"/>
      <c r="H14" s="78"/>
      <c r="I14" s="78"/>
      <c r="J14" s="66"/>
      <c r="K14" s="66"/>
      <c r="P14" s="67"/>
      <c r="Q14" s="4"/>
      <c r="R14" s="4"/>
      <c r="S14" s="409"/>
    </row>
    <row r="15" spans="1:16" ht="16.5" thickBot="1">
      <c r="A15" s="1"/>
      <c r="B15" s="269"/>
      <c r="C15" s="411" t="s">
        <v>89</v>
      </c>
      <c r="D15" s="68"/>
      <c r="E15" s="270"/>
      <c r="F15" s="271"/>
      <c r="G15" s="70"/>
      <c r="H15" s="70"/>
      <c r="I15" s="70"/>
      <c r="J15" s="69"/>
      <c r="K15" s="69"/>
      <c r="L15" s="272"/>
      <c r="M15" s="70"/>
      <c r="N15" s="70"/>
      <c r="O15" s="70"/>
      <c r="P15" s="273"/>
    </row>
    <row r="16" spans="1:16" ht="16.5" thickBot="1">
      <c r="A16" s="1"/>
      <c r="B16" s="269"/>
      <c r="C16" s="274"/>
      <c r="D16" s="68"/>
      <c r="E16" s="270"/>
      <c r="F16" s="271"/>
      <c r="G16" s="70"/>
      <c r="H16" s="70"/>
      <c r="L16" s="412" t="s">
        <v>85</v>
      </c>
      <c r="M16" s="413">
        <v>3.03</v>
      </c>
      <c r="N16" s="414"/>
      <c r="O16" s="70"/>
      <c r="P16" s="273"/>
    </row>
    <row r="17" spans="1:16" ht="15.75">
      <c r="A17" s="1"/>
      <c r="B17" s="269"/>
      <c r="C17" s="274"/>
      <c r="D17" s="69" t="s">
        <v>90</v>
      </c>
      <c r="E17" s="275">
        <f>MID(B11,16,2)*24</f>
        <v>744</v>
      </c>
      <c r="F17" s="70" t="s">
        <v>91</v>
      </c>
      <c r="G17" s="66"/>
      <c r="H17" s="415"/>
      <c r="I17" s="416" t="s">
        <v>92</v>
      </c>
      <c r="J17" s="417">
        <v>65.168</v>
      </c>
      <c r="K17" s="396"/>
      <c r="L17" s="418" t="s">
        <v>86</v>
      </c>
      <c r="M17" s="419">
        <v>2.274</v>
      </c>
      <c r="N17" s="420"/>
      <c r="O17" s="70"/>
      <c r="P17" s="273"/>
    </row>
    <row r="18" spans="1:16" ht="16.5" thickBot="1">
      <c r="A18" s="1"/>
      <c r="B18" s="269"/>
      <c r="C18" s="274"/>
      <c r="D18" s="69" t="s">
        <v>93</v>
      </c>
      <c r="E18" s="277">
        <v>0.025</v>
      </c>
      <c r="F18" s="66"/>
      <c r="G18" s="66"/>
      <c r="H18" s="421"/>
      <c r="I18" s="422" t="s">
        <v>94</v>
      </c>
      <c r="J18" s="423">
        <v>0.227</v>
      </c>
      <c r="K18" s="424"/>
      <c r="L18" s="425" t="s">
        <v>87</v>
      </c>
      <c r="M18" s="426">
        <v>2.274</v>
      </c>
      <c r="N18" s="427"/>
      <c r="O18" s="70"/>
      <c r="P18" s="273"/>
    </row>
    <row r="19" spans="1:16" ht="15.75">
      <c r="A19" s="1"/>
      <c r="B19" s="269"/>
      <c r="C19" s="274"/>
      <c r="D19" s="69"/>
      <c r="E19" s="277"/>
      <c r="F19" s="66"/>
      <c r="G19" s="66"/>
      <c r="H19" s="66"/>
      <c r="I19" s="66"/>
      <c r="L19" s="272"/>
      <c r="M19" s="70"/>
      <c r="N19" s="70"/>
      <c r="O19" s="70"/>
      <c r="P19" s="273"/>
    </row>
    <row r="20" spans="1:16" ht="15">
      <c r="A20" s="1"/>
      <c r="B20" s="269"/>
      <c r="C20" s="65" t="s">
        <v>95</v>
      </c>
      <c r="D20" s="73"/>
      <c r="E20" s="270"/>
      <c r="F20" s="271"/>
      <c r="G20" s="70"/>
      <c r="H20" s="70"/>
      <c r="I20" s="70"/>
      <c r="J20" s="69"/>
      <c r="K20" s="69"/>
      <c r="L20" s="272"/>
      <c r="M20" s="70"/>
      <c r="N20" s="70"/>
      <c r="O20" s="70"/>
      <c r="P20" s="273"/>
    </row>
    <row r="21" spans="1:16" ht="15">
      <c r="A21" s="1"/>
      <c r="B21" s="269"/>
      <c r="C21" s="70"/>
      <c r="D21" s="70"/>
      <c r="E21" s="70"/>
      <c r="F21" s="70"/>
      <c r="G21" s="70"/>
      <c r="H21" s="278"/>
      <c r="I21" s="70"/>
      <c r="J21" s="70"/>
      <c r="K21" s="70"/>
      <c r="L21" s="70"/>
      <c r="M21" s="70"/>
      <c r="N21" s="70"/>
      <c r="O21" s="70"/>
      <c r="P21" s="273"/>
    </row>
    <row r="22" spans="1:16" ht="15">
      <c r="A22" s="1"/>
      <c r="B22" s="269"/>
      <c r="C22" s="70"/>
      <c r="D22" s="69" t="s">
        <v>96</v>
      </c>
      <c r="E22" s="70"/>
      <c r="F22" s="278" t="s">
        <v>28</v>
      </c>
      <c r="G22" s="70"/>
      <c r="H22" s="68"/>
      <c r="I22" s="428">
        <f>+'LI-0803 (SPSE)'!Y41</f>
        <v>36046.99</v>
      </c>
      <c r="J22" s="70"/>
      <c r="K22" s="70"/>
      <c r="L22" s="429"/>
      <c r="M22" s="70"/>
      <c r="N22" s="70"/>
      <c r="O22" s="70"/>
      <c r="P22" s="273"/>
    </row>
    <row r="23" spans="1:16" ht="15">
      <c r="A23" s="1"/>
      <c r="B23" s="269"/>
      <c r="C23" s="70"/>
      <c r="D23" s="70"/>
      <c r="E23" s="70"/>
      <c r="F23" s="278" t="s">
        <v>97</v>
      </c>
      <c r="G23" s="70"/>
      <c r="H23" s="68"/>
      <c r="I23" s="428">
        <v>0</v>
      </c>
      <c r="J23" s="70"/>
      <c r="K23" s="70"/>
      <c r="L23" s="429"/>
      <c r="M23" s="70"/>
      <c r="N23" s="70"/>
      <c r="O23" s="70"/>
      <c r="P23" s="273"/>
    </row>
    <row r="24" spans="1:16" ht="15">
      <c r="A24" s="1"/>
      <c r="B24" s="269"/>
      <c r="C24" s="70"/>
      <c r="D24" s="70"/>
      <c r="E24" s="70"/>
      <c r="F24" s="278" t="s">
        <v>3</v>
      </c>
      <c r="G24" s="70"/>
      <c r="H24" s="68"/>
      <c r="I24" s="430">
        <v>0</v>
      </c>
      <c r="J24" s="70"/>
      <c r="K24" s="70"/>
      <c r="L24" s="429"/>
      <c r="M24" s="70"/>
      <c r="N24" s="70"/>
      <c r="O24" s="70"/>
      <c r="P24" s="273"/>
    </row>
    <row r="25" spans="1:16" ht="15.75" thickBot="1">
      <c r="A25" s="1"/>
      <c r="B25" s="269"/>
      <c r="C25" s="70"/>
      <c r="D25" s="70"/>
      <c r="E25" s="70"/>
      <c r="F25" s="70"/>
      <c r="G25" s="70"/>
      <c r="H25" s="278"/>
      <c r="I25" s="70"/>
      <c r="J25" s="70"/>
      <c r="K25" s="70"/>
      <c r="L25" s="70"/>
      <c r="M25" s="70"/>
      <c r="N25" s="70"/>
      <c r="O25" s="70"/>
      <c r="P25" s="273"/>
    </row>
    <row r="26" spans="2:16" ht="20.25" thickBot="1" thickTop="1">
      <c r="B26" s="269"/>
      <c r="C26" s="77"/>
      <c r="H26" s="431" t="s">
        <v>98</v>
      </c>
      <c r="I26" s="146">
        <f>SUM(I22:I25)</f>
        <v>36046.99</v>
      </c>
      <c r="L26" s="74"/>
      <c r="M26" s="74"/>
      <c r="N26" s="75"/>
      <c r="O26" s="76"/>
      <c r="P26" s="279"/>
    </row>
    <row r="27" spans="2:16" ht="15.75" thickTop="1">
      <c r="B27" s="269"/>
      <c r="C27" s="77"/>
      <c r="D27" s="73"/>
      <c r="E27" s="73"/>
      <c r="F27" s="79"/>
      <c r="G27" s="74"/>
      <c r="H27" s="74"/>
      <c r="I27" s="74"/>
      <c r="J27" s="74"/>
      <c r="K27" s="74"/>
      <c r="L27" s="74"/>
      <c r="M27" s="74"/>
      <c r="N27" s="75"/>
      <c r="O27" s="76"/>
      <c r="P27" s="279"/>
    </row>
    <row r="28" spans="2:16" ht="15">
      <c r="B28" s="269"/>
      <c r="C28" s="65" t="s">
        <v>99</v>
      </c>
      <c r="D28" s="73"/>
      <c r="E28" s="73"/>
      <c r="F28" s="79"/>
      <c r="G28" s="74"/>
      <c r="H28" s="74"/>
      <c r="I28" s="74"/>
      <c r="J28" s="74"/>
      <c r="K28" s="74"/>
      <c r="L28" s="74"/>
      <c r="M28" s="74"/>
      <c r="N28" s="75"/>
      <c r="O28" s="76"/>
      <c r="P28" s="279"/>
    </row>
    <row r="29" spans="2:16" ht="15">
      <c r="B29" s="269"/>
      <c r="C29" s="77"/>
      <c r="D29" s="73"/>
      <c r="E29" s="73"/>
      <c r="F29" s="79"/>
      <c r="G29" s="74"/>
      <c r="H29" s="74"/>
      <c r="I29" s="74"/>
      <c r="J29" s="74"/>
      <c r="K29" s="74"/>
      <c r="L29" s="74"/>
      <c r="M29" s="74"/>
      <c r="N29" s="75"/>
      <c r="O29" s="76"/>
      <c r="P29" s="279"/>
    </row>
    <row r="30" spans="2:16" ht="15.75">
      <c r="B30" s="269"/>
      <c r="C30" s="77"/>
      <c r="D30" s="432" t="s">
        <v>100</v>
      </c>
      <c r="E30" s="433" t="s">
        <v>24</v>
      </c>
      <c r="F30" s="434" t="s">
        <v>101</v>
      </c>
      <c r="G30" s="435"/>
      <c r="H30" s="560" t="s">
        <v>137</v>
      </c>
      <c r="I30" s="559" t="s">
        <v>136</v>
      </c>
      <c r="J30" s="436"/>
      <c r="K30" s="437"/>
      <c r="L30" s="438" t="s">
        <v>2</v>
      </c>
      <c r="N30" s="75"/>
      <c r="O30" s="76"/>
      <c r="P30" s="279"/>
    </row>
    <row r="31" spans="2:16" ht="15">
      <c r="B31" s="269"/>
      <c r="C31" s="77"/>
      <c r="D31" s="439" t="s">
        <v>4</v>
      </c>
      <c r="E31" s="440">
        <v>132</v>
      </c>
      <c r="F31" s="441">
        <v>209</v>
      </c>
      <c r="G31" s="442"/>
      <c r="H31" s="443">
        <f>F31*$J$17*$E$17/100</f>
        <v>101333.63328000001</v>
      </c>
      <c r="I31" s="444">
        <v>0</v>
      </c>
      <c r="J31" s="445" t="s">
        <v>167</v>
      </c>
      <c r="K31" s="446"/>
      <c r="L31" s="447">
        <f>SUM(H31:K31)</f>
        <v>101333.63328000001</v>
      </c>
      <c r="M31" s="74"/>
      <c r="N31" s="75"/>
      <c r="O31" s="76"/>
      <c r="P31" s="279"/>
    </row>
    <row r="32" spans="2:16" ht="15">
      <c r="B32" s="269"/>
      <c r="C32" s="77"/>
      <c r="D32" s="448"/>
      <c r="E32" s="449"/>
      <c r="F32" s="450"/>
      <c r="G32" s="451"/>
      <c r="H32" s="452"/>
      <c r="I32" s="453"/>
      <c r="J32" s="454"/>
      <c r="K32" s="455"/>
      <c r="L32" s="456"/>
      <c r="M32" s="74"/>
      <c r="N32" s="75"/>
      <c r="O32" s="76"/>
      <c r="P32" s="279"/>
    </row>
    <row r="33" spans="2:16" ht="15">
      <c r="B33" s="269"/>
      <c r="C33" s="77"/>
      <c r="D33" s="73"/>
      <c r="E33" s="73"/>
      <c r="F33" s="280"/>
      <c r="G33" s="74"/>
      <c r="I33" s="80"/>
      <c r="J33" s="276"/>
      <c r="K33" s="276"/>
      <c r="L33" s="457">
        <f>SUM(L31:L32)</f>
        <v>101333.63328000001</v>
      </c>
      <c r="M33" s="74"/>
      <c r="N33" s="75"/>
      <c r="O33" s="76"/>
      <c r="P33" s="279"/>
    </row>
    <row r="34" spans="2:16" ht="15">
      <c r="B34" s="269"/>
      <c r="C34" s="77"/>
      <c r="D34" s="73"/>
      <c r="E34" s="73"/>
      <c r="F34" s="280"/>
      <c r="G34" s="74"/>
      <c r="I34" s="80"/>
      <c r="J34" s="276"/>
      <c r="K34" s="276"/>
      <c r="L34" s="281"/>
      <c r="M34" s="74"/>
      <c r="N34" s="75"/>
      <c r="O34" s="76"/>
      <c r="P34" s="279"/>
    </row>
    <row r="35" spans="2:16" ht="15.75">
      <c r="B35" s="269"/>
      <c r="C35" s="77"/>
      <c r="D35" s="432" t="s">
        <v>102</v>
      </c>
      <c r="E35" s="433" t="s">
        <v>103</v>
      </c>
      <c r="F35" s="434" t="s">
        <v>104</v>
      </c>
      <c r="G35" s="583" t="s">
        <v>137</v>
      </c>
      <c r="H35" s="577"/>
      <c r="J35" s="458" t="s">
        <v>105</v>
      </c>
      <c r="K35" s="459"/>
      <c r="L35" s="460" t="s">
        <v>54</v>
      </c>
      <c r="M35" s="433" t="s">
        <v>24</v>
      </c>
      <c r="N35" s="461" t="s">
        <v>106</v>
      </c>
      <c r="O35" s="462"/>
      <c r="P35" s="279"/>
    </row>
    <row r="36" spans="2:16" ht="15">
      <c r="B36" s="269"/>
      <c r="C36" s="77"/>
      <c r="D36" s="439" t="s">
        <v>13</v>
      </c>
      <c r="E36" s="440" t="s">
        <v>12</v>
      </c>
      <c r="F36" s="441">
        <v>5</v>
      </c>
      <c r="G36" s="578"/>
      <c r="H36" s="579">
        <f>+F36*$J$18*$E$17</f>
        <v>844.44</v>
      </c>
      <c r="J36" s="575" t="s">
        <v>13</v>
      </c>
      <c r="K36" s="571"/>
      <c r="L36" s="572" t="s">
        <v>21</v>
      </c>
      <c r="M36" s="464">
        <v>13.2</v>
      </c>
      <c r="N36" s="465">
        <f>M18*$E$17</f>
        <v>1691.856</v>
      </c>
      <c r="O36" s="466"/>
      <c r="P36" s="279"/>
    </row>
    <row r="37" spans="2:16" ht="15">
      <c r="B37" s="269"/>
      <c r="C37" s="77"/>
      <c r="D37" s="448" t="s">
        <v>13</v>
      </c>
      <c r="E37" s="449" t="s">
        <v>11</v>
      </c>
      <c r="F37" s="450">
        <v>5</v>
      </c>
      <c r="G37" s="580"/>
      <c r="H37" s="581">
        <f>+F37*$J$18*$E$17</f>
        <v>844.44</v>
      </c>
      <c r="J37" s="576" t="s">
        <v>13</v>
      </c>
      <c r="K37" s="573"/>
      <c r="L37" s="574" t="s">
        <v>22</v>
      </c>
      <c r="M37" s="75">
        <v>13.2</v>
      </c>
      <c r="N37" s="471">
        <f>M18*$E$17</f>
        <v>1691.856</v>
      </c>
      <c r="O37" s="472"/>
      <c r="P37" s="279"/>
    </row>
    <row r="38" spans="2:16" ht="15">
      <c r="B38" s="269"/>
      <c r="C38" s="77"/>
      <c r="D38" s="73"/>
      <c r="E38" s="73"/>
      <c r="F38" s="280"/>
      <c r="G38" s="580"/>
      <c r="H38" s="582">
        <f>SUM(H36:H37)</f>
        <v>1688.88</v>
      </c>
      <c r="J38" s="473"/>
      <c r="K38" s="454"/>
      <c r="L38" s="451"/>
      <c r="M38" s="474"/>
      <c r="N38" s="475"/>
      <c r="O38" s="476"/>
      <c r="P38" s="279"/>
    </row>
    <row r="39" spans="2:16" ht="15">
      <c r="B39" s="269"/>
      <c r="C39" s="77"/>
      <c r="D39" s="73"/>
      <c r="E39" s="73"/>
      <c r="F39" s="280"/>
      <c r="G39" s="74"/>
      <c r="I39" s="80"/>
      <c r="J39" s="276"/>
      <c r="K39" s="276"/>
      <c r="L39" s="281"/>
      <c r="M39" s="74"/>
      <c r="N39" s="477">
        <f>SUM(N36:N38)</f>
        <v>3383.712</v>
      </c>
      <c r="O39" s="462"/>
      <c r="P39" s="279"/>
    </row>
    <row r="40" spans="2:16" ht="12.75" customHeight="1" thickBot="1">
      <c r="B40" s="269"/>
      <c r="C40" s="77"/>
      <c r="D40" s="73"/>
      <c r="E40" s="73"/>
      <c r="F40" s="79"/>
      <c r="G40" s="74"/>
      <c r="H40" s="80"/>
      <c r="I40" s="73"/>
      <c r="J40" s="73"/>
      <c r="K40" s="73"/>
      <c r="L40" s="74"/>
      <c r="M40" s="74"/>
      <c r="N40" s="75"/>
      <c r="O40" s="76"/>
      <c r="P40" s="279"/>
    </row>
    <row r="41" spans="2:16" ht="20.25" thickBot="1" thickTop="1">
      <c r="B41" s="269"/>
      <c r="C41" s="77"/>
      <c r="D41" s="73"/>
      <c r="E41" s="73"/>
      <c r="F41" s="79"/>
      <c r="G41" s="74"/>
      <c r="H41" s="478" t="s">
        <v>107</v>
      </c>
      <c r="I41" s="479">
        <f>+H38+N39+L33</f>
        <v>106406.22528000001</v>
      </c>
      <c r="J41" s="73"/>
      <c r="K41" s="594"/>
      <c r="L41" s="595"/>
      <c r="M41" s="74"/>
      <c r="N41" s="75"/>
      <c r="O41" s="76"/>
      <c r="P41" s="279"/>
    </row>
    <row r="42" spans="2:16" ht="15.75" thickTop="1">
      <c r="B42" s="269"/>
      <c r="C42" s="77"/>
      <c r="D42" s="73"/>
      <c r="E42" s="73"/>
      <c r="F42" s="79"/>
      <c r="G42" s="74"/>
      <c r="H42" s="80"/>
      <c r="I42" s="73"/>
      <c r="J42" s="73"/>
      <c r="K42" s="73"/>
      <c r="L42" s="74"/>
      <c r="M42" s="74"/>
      <c r="N42" s="75"/>
      <c r="O42" s="76"/>
      <c r="P42" s="279"/>
    </row>
    <row r="43" spans="2:16" ht="15.75">
      <c r="B43" s="269"/>
      <c r="C43" s="480" t="s">
        <v>108</v>
      </c>
      <c r="D43" s="73"/>
      <c r="E43" s="73"/>
      <c r="F43" s="79"/>
      <c r="G43" s="74"/>
      <c r="H43" s="80"/>
      <c r="I43" s="73"/>
      <c r="J43" s="73"/>
      <c r="K43" s="73"/>
      <c r="L43" s="74"/>
      <c r="M43" s="74"/>
      <c r="N43" s="75"/>
      <c r="O43" s="76"/>
      <c r="P43" s="279"/>
    </row>
    <row r="44" spans="2:16" ht="15.75" thickBot="1">
      <c r="B44" s="269"/>
      <c r="C44" s="77"/>
      <c r="D44" s="73"/>
      <c r="E44" s="73"/>
      <c r="F44" s="79"/>
      <c r="G44" s="74"/>
      <c r="H44" s="80"/>
      <c r="I44" s="73"/>
      <c r="J44" s="73"/>
      <c r="K44" s="73"/>
      <c r="L44" s="74"/>
      <c r="M44" s="74"/>
      <c r="N44" s="75"/>
      <c r="O44" s="76"/>
      <c r="P44" s="279"/>
    </row>
    <row r="45" spans="2:16" ht="20.25" thickBot="1" thickTop="1">
      <c r="B45" s="269"/>
      <c r="C45" s="77"/>
      <c r="D45" s="225" t="s">
        <v>109</v>
      </c>
      <c r="F45" s="282"/>
      <c r="G45" s="70"/>
      <c r="H45" s="145" t="s">
        <v>110</v>
      </c>
      <c r="I45" s="481">
        <f>+E18*I41</f>
        <v>2660.1556320000004</v>
      </c>
      <c r="J45" s="66"/>
      <c r="K45" s="66"/>
      <c r="O45" s="66"/>
      <c r="P45" s="279"/>
    </row>
    <row r="46" spans="2:16" ht="21.75" thickTop="1">
      <c r="B46" s="269"/>
      <c r="C46" s="77"/>
      <c r="F46" s="283"/>
      <c r="G46" s="43"/>
      <c r="I46" s="66"/>
      <c r="J46" s="66"/>
      <c r="K46" s="66"/>
      <c r="O46" s="66"/>
      <c r="P46" s="279"/>
    </row>
    <row r="47" spans="2:16" ht="15">
      <c r="B47" s="269"/>
      <c r="C47" s="65" t="s">
        <v>111</v>
      </c>
      <c r="E47" s="66"/>
      <c r="F47" s="66"/>
      <c r="G47" s="66"/>
      <c r="H47" s="66"/>
      <c r="I47" s="74"/>
      <c r="J47" s="74"/>
      <c r="K47" s="74"/>
      <c r="L47" s="74"/>
      <c r="M47" s="74"/>
      <c r="N47" s="75"/>
      <c r="O47" s="76"/>
      <c r="P47" s="279"/>
    </row>
    <row r="48" spans="2:16" ht="15">
      <c r="B48" s="269"/>
      <c r="C48" s="77"/>
      <c r="D48" s="72" t="s">
        <v>112</v>
      </c>
      <c r="E48" s="284">
        <f>10*I26*I45/I41</f>
        <v>9011.7475</v>
      </c>
      <c r="F48" s="482"/>
      <c r="H48" s="66"/>
      <c r="I48" s="74"/>
      <c r="J48" s="74"/>
      <c r="K48" s="74"/>
      <c r="L48" s="74"/>
      <c r="M48" s="74"/>
      <c r="N48" s="75"/>
      <c r="O48" s="76"/>
      <c r="P48" s="279"/>
    </row>
    <row r="49" spans="2:16" ht="15">
      <c r="B49" s="269"/>
      <c r="C49" s="77"/>
      <c r="D49" s="66"/>
      <c r="E49" s="66"/>
      <c r="J49" s="74"/>
      <c r="K49" s="74"/>
      <c r="L49" s="74"/>
      <c r="M49" s="74"/>
      <c r="N49" s="75"/>
      <c r="O49" s="76"/>
      <c r="P49" s="279"/>
    </row>
    <row r="50" spans="2:16" ht="15">
      <c r="B50" s="269"/>
      <c r="C50" s="77"/>
      <c r="D50" s="66" t="s">
        <v>113</v>
      </c>
      <c r="E50" s="66"/>
      <c r="F50" s="66"/>
      <c r="G50" s="66"/>
      <c r="H50" s="66"/>
      <c r="M50" s="74"/>
      <c r="N50" s="75"/>
      <c r="O50" s="76"/>
      <c r="P50" s="279"/>
    </row>
    <row r="51" spans="2:16" ht="15">
      <c r="B51" s="269"/>
      <c r="C51" s="77"/>
      <c r="D51" s="66"/>
      <c r="E51" s="66"/>
      <c r="F51" s="66"/>
      <c r="G51" s="66"/>
      <c r="H51" s="66"/>
      <c r="M51" s="74"/>
      <c r="N51" s="75"/>
      <c r="O51" s="76"/>
      <c r="P51" s="279"/>
    </row>
    <row r="52" spans="2:16" ht="15.75" thickBot="1">
      <c r="B52" s="269"/>
      <c r="C52" s="77"/>
      <c r="D52" s="66"/>
      <c r="E52" s="66"/>
      <c r="F52" s="66"/>
      <c r="G52" s="66"/>
      <c r="H52" s="66"/>
      <c r="M52" s="74"/>
      <c r="N52" s="75"/>
      <c r="O52" s="76"/>
      <c r="P52" s="279"/>
    </row>
    <row r="53" spans="2:16" ht="20.25" thickBot="1" thickTop="1">
      <c r="B53" s="269"/>
      <c r="C53" s="77"/>
      <c r="D53" s="73"/>
      <c r="E53" s="73"/>
      <c r="F53" s="79"/>
      <c r="G53" s="74"/>
      <c r="H53" s="226" t="s">
        <v>114</v>
      </c>
      <c r="I53" s="483">
        <f>IF($E$48&gt;3*I45,3*I45,$E$48)</f>
        <v>7980.466896000002</v>
      </c>
      <c r="J53" s="74"/>
      <c r="K53" s="74"/>
      <c r="L53" s="74"/>
      <c r="M53" s="74"/>
      <c r="N53" s="75"/>
      <c r="O53" s="76"/>
      <c r="P53" s="279"/>
    </row>
    <row r="54" spans="2:16" ht="16.5" thickBot="1" thickTop="1"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7"/>
    </row>
    <row r="55" spans="2:16" ht="13.5" thickTop="1">
      <c r="B55" s="1"/>
      <c r="P55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4" ht="12" customHeight="1"/>
    <row r="100" ht="12.75">
      <c r="B100" s="1"/>
    </row>
    <row r="106" ht="12.75">
      <c r="A106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headerFooter alignWithMargins="0">
    <oddFooter>&amp;L&amp;"Times New Roman,Cursiva"&amp;7&amp;Z&amp;F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="60" zoomScaleNormal="60" zoomScalePageLayoutView="0" workbookViewId="0" topLeftCell="A13">
      <selection activeCell="O35" sqref="O35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10.57421875" style="0" customWidth="1"/>
    <col min="12" max="12" width="30.42187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105" customFormat="1" ht="39.75" customHeight="1">
      <c r="P1" s="399"/>
    </row>
    <row r="2" spans="2:16" s="105" customFormat="1" ht="26.25">
      <c r="B2" s="106" t="str">
        <f>+'TOT-0803'!B2</f>
        <v>ANEXO III al Memorándum D.T.E.E.   N°       587  /2013.-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" s="108" customFormat="1" ht="11.25">
      <c r="A3" s="124" t="s">
        <v>25</v>
      </c>
      <c r="B3" s="400"/>
    </row>
    <row r="4" spans="1:2" s="108" customFormat="1" ht="11.25">
      <c r="A4" s="124" t="s">
        <v>26</v>
      </c>
      <c r="B4" s="400"/>
    </row>
    <row r="5" s="10" customFormat="1" ht="13.5" thickBot="1"/>
    <row r="6" spans="1:16" s="10" customFormat="1" ht="13.5" thickTop="1">
      <c r="A6" s="8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s="110" customFormat="1" ht="20.25">
      <c r="A7" s="43"/>
      <c r="B7" s="109"/>
      <c r="C7" s="43"/>
      <c r="D7" s="20" t="s">
        <v>46</v>
      </c>
      <c r="G7" s="43"/>
      <c r="H7" s="43"/>
      <c r="I7" s="43"/>
      <c r="J7" s="43"/>
      <c r="K7" s="43"/>
      <c r="L7" s="43"/>
      <c r="M7" s="43"/>
      <c r="N7" s="43"/>
      <c r="O7" s="43"/>
      <c r="P7" s="111"/>
    </row>
    <row r="8" spans="1:16" ht="15">
      <c r="A8" s="1"/>
      <c r="B8" s="269"/>
      <c r="C8" s="70"/>
      <c r="D8" s="401"/>
      <c r="E8" s="70"/>
      <c r="F8" s="68"/>
      <c r="G8" s="70"/>
      <c r="H8" s="70"/>
      <c r="I8" s="70"/>
      <c r="J8" s="70"/>
      <c r="K8" s="70"/>
      <c r="L8" s="70"/>
      <c r="M8" s="70"/>
      <c r="N8" s="70"/>
      <c r="O8" s="70"/>
      <c r="P8" s="273"/>
    </row>
    <row r="9" spans="1:19" s="110" customFormat="1" ht="20.25">
      <c r="A9" s="43"/>
      <c r="B9" s="402"/>
      <c r="C9"/>
      <c r="D9" s="21" t="s">
        <v>144</v>
      </c>
      <c r="E9" s="403"/>
      <c r="F9" s="403"/>
      <c r="G9" s="403"/>
      <c r="H9" s="404"/>
      <c r="I9" s="403"/>
      <c r="J9" s="403"/>
      <c r="K9" s="403"/>
      <c r="L9" s="403"/>
      <c r="M9" s="403"/>
      <c r="N9" s="403"/>
      <c r="O9" s="403"/>
      <c r="P9" s="405"/>
      <c r="Q9" s="224"/>
      <c r="R9" s="166"/>
      <c r="S9" s="166"/>
    </row>
    <row r="10" spans="1:19" s="10" customFormat="1" ht="12.75">
      <c r="A10" s="8"/>
      <c r="B10" s="42"/>
      <c r="C10" s="8"/>
      <c r="D10" s="64"/>
      <c r="E10" s="29"/>
      <c r="F10" s="29"/>
      <c r="G10" s="29"/>
      <c r="H10" s="158"/>
      <c r="I10" s="29"/>
      <c r="J10" s="29"/>
      <c r="K10" s="29"/>
      <c r="L10" s="29"/>
      <c r="M10" s="29"/>
      <c r="N10" s="29"/>
      <c r="O10" s="29"/>
      <c r="P10" s="37"/>
      <c r="Q10" s="29"/>
      <c r="R10" s="29"/>
      <c r="S10" s="165"/>
    </row>
    <row r="11" spans="1:19" s="117" customFormat="1" ht="19.5">
      <c r="A11" s="44"/>
      <c r="B11" s="227" t="str">
        <f>+'TOT-0803'!B14</f>
        <v>Desde el 01 al 31 de marzo de 2008</v>
      </c>
      <c r="C11" s="135"/>
      <c r="D11" s="184"/>
      <c r="E11" s="184"/>
      <c r="F11" s="184"/>
      <c r="G11" s="184"/>
      <c r="H11" s="184"/>
      <c r="I11" s="135"/>
      <c r="J11" s="184"/>
      <c r="K11" s="184"/>
      <c r="L11" s="184"/>
      <c r="M11" s="184"/>
      <c r="N11" s="184"/>
      <c r="O11" s="184"/>
      <c r="P11" s="406"/>
      <c r="Q11" s="407"/>
      <c r="R11" s="407"/>
      <c r="S11" s="407"/>
    </row>
    <row r="12" spans="1:19" ht="15">
      <c r="A12" s="1"/>
      <c r="B12" s="269"/>
      <c r="C12" s="70"/>
      <c r="D12" s="66"/>
      <c r="E12" s="66"/>
      <c r="F12" s="66"/>
      <c r="G12" s="66"/>
      <c r="H12" s="408"/>
      <c r="I12" s="70"/>
      <c r="J12" s="66"/>
      <c r="K12" s="66"/>
      <c r="L12" s="66"/>
      <c r="M12" s="66"/>
      <c r="N12" s="66"/>
      <c r="O12" s="66"/>
      <c r="P12" s="67"/>
      <c r="Q12" s="4"/>
      <c r="R12" s="4"/>
      <c r="S12" s="409"/>
    </row>
    <row r="13" spans="1:19" ht="18" customHeight="1">
      <c r="A13" s="1"/>
      <c r="B13" s="269"/>
      <c r="C13" s="70"/>
      <c r="D13" s="66"/>
      <c r="E13" s="66"/>
      <c r="F13" s="66"/>
      <c r="G13" s="66"/>
      <c r="H13" s="78"/>
      <c r="I13" s="78"/>
      <c r="J13" s="66"/>
      <c r="K13" s="66"/>
      <c r="P13" s="67"/>
      <c r="Q13" s="4"/>
      <c r="R13" s="4"/>
      <c r="S13" s="409"/>
    </row>
    <row r="14" spans="1:19" ht="18" customHeight="1">
      <c r="A14" s="1"/>
      <c r="B14" s="269"/>
      <c r="C14" s="70"/>
      <c r="D14" s="65"/>
      <c r="E14" s="410"/>
      <c r="F14" s="66"/>
      <c r="G14" s="66"/>
      <c r="H14" s="78"/>
      <c r="I14" s="78"/>
      <c r="J14" s="66"/>
      <c r="K14" s="66"/>
      <c r="P14" s="67"/>
      <c r="Q14" s="4"/>
      <c r="R14" s="4"/>
      <c r="S14" s="409"/>
    </row>
    <row r="15" spans="1:16" ht="16.5" thickBot="1">
      <c r="A15" s="1"/>
      <c r="B15" s="269"/>
      <c r="C15" s="411" t="s">
        <v>89</v>
      </c>
      <c r="D15" s="68"/>
      <c r="E15" s="270"/>
      <c r="F15" s="271"/>
      <c r="G15" s="70"/>
      <c r="H15" s="70"/>
      <c r="I15" s="70"/>
      <c r="J15" s="69"/>
      <c r="K15" s="69"/>
      <c r="L15" s="272"/>
      <c r="M15" s="70"/>
      <c r="N15" s="70"/>
      <c r="O15" s="70"/>
      <c r="P15" s="273"/>
    </row>
    <row r="16" spans="1:16" ht="16.5" thickBot="1">
      <c r="A16" s="1"/>
      <c r="B16" s="269"/>
      <c r="C16" s="274"/>
      <c r="D16" s="68"/>
      <c r="E16" s="270"/>
      <c r="F16" s="271"/>
      <c r="G16" s="70"/>
      <c r="H16" s="70"/>
      <c r="L16" s="412" t="s">
        <v>85</v>
      </c>
      <c r="M16" s="413">
        <v>3.03</v>
      </c>
      <c r="N16" s="414"/>
      <c r="O16" s="70"/>
      <c r="P16" s="273"/>
    </row>
    <row r="17" spans="1:16" ht="15.75">
      <c r="A17" s="1"/>
      <c r="B17" s="269"/>
      <c r="C17" s="274"/>
      <c r="D17" s="69" t="s">
        <v>90</v>
      </c>
      <c r="E17" s="275">
        <f>MID(B11,16,2)*24</f>
        <v>744</v>
      </c>
      <c r="F17" s="70" t="s">
        <v>91</v>
      </c>
      <c r="G17" s="66"/>
      <c r="H17" s="415"/>
      <c r="I17" s="416" t="s">
        <v>92</v>
      </c>
      <c r="J17" s="417">
        <v>65.168</v>
      </c>
      <c r="K17" s="396"/>
      <c r="L17" s="418" t="s">
        <v>86</v>
      </c>
      <c r="M17" s="419">
        <v>2.274</v>
      </c>
      <c r="N17" s="420"/>
      <c r="O17" s="70"/>
      <c r="P17" s="273"/>
    </row>
    <row r="18" spans="1:16" ht="16.5" thickBot="1">
      <c r="A18" s="1"/>
      <c r="B18" s="269"/>
      <c r="C18" s="274"/>
      <c r="D18" s="69" t="s">
        <v>93</v>
      </c>
      <c r="E18" s="277">
        <v>0.025</v>
      </c>
      <c r="F18" s="66"/>
      <c r="G18" s="66"/>
      <c r="H18" s="421"/>
      <c r="I18" s="422" t="s">
        <v>94</v>
      </c>
      <c r="J18" s="423">
        <v>0.227</v>
      </c>
      <c r="K18" s="424"/>
      <c r="L18" s="425" t="s">
        <v>87</v>
      </c>
      <c r="M18" s="426">
        <v>2.274</v>
      </c>
      <c r="N18" s="427"/>
      <c r="O18" s="70"/>
      <c r="P18" s="273"/>
    </row>
    <row r="19" spans="1:16" ht="15.75">
      <c r="A19" s="1"/>
      <c r="B19" s="269"/>
      <c r="C19" s="274"/>
      <c r="D19" s="69"/>
      <c r="E19" s="277"/>
      <c r="F19" s="66"/>
      <c r="G19" s="66"/>
      <c r="H19" s="66"/>
      <c r="I19" s="66"/>
      <c r="L19" s="272"/>
      <c r="M19" s="70"/>
      <c r="N19" s="70"/>
      <c r="O19" s="70"/>
      <c r="P19" s="273"/>
    </row>
    <row r="20" spans="1:16" ht="15">
      <c r="A20" s="1"/>
      <c r="B20" s="269"/>
      <c r="C20" s="65" t="s">
        <v>95</v>
      </c>
      <c r="D20" s="73"/>
      <c r="E20" s="270"/>
      <c r="F20" s="271"/>
      <c r="G20" s="70"/>
      <c r="H20" s="70"/>
      <c r="I20" s="70"/>
      <c r="J20" s="69"/>
      <c r="K20" s="69"/>
      <c r="L20" s="272"/>
      <c r="M20" s="70"/>
      <c r="N20" s="70"/>
      <c r="O20" s="70"/>
      <c r="P20" s="273"/>
    </row>
    <row r="21" spans="1:16" ht="15">
      <c r="A21" s="1"/>
      <c r="B21" s="269"/>
      <c r="C21" s="70"/>
      <c r="D21" s="70"/>
      <c r="E21" s="70"/>
      <c r="F21" s="70"/>
      <c r="G21" s="70"/>
      <c r="H21" s="278"/>
      <c r="I21" s="70"/>
      <c r="J21" s="70"/>
      <c r="K21" s="70"/>
      <c r="L21" s="70"/>
      <c r="M21" s="70"/>
      <c r="N21" s="70"/>
      <c r="O21" s="70"/>
      <c r="P21" s="273"/>
    </row>
    <row r="22" spans="1:16" ht="15">
      <c r="A22" s="1"/>
      <c r="B22" s="269"/>
      <c r="C22" s="70"/>
      <c r="D22" s="69" t="s">
        <v>96</v>
      </c>
      <c r="E22" s="70"/>
      <c r="F22" s="278" t="s">
        <v>28</v>
      </c>
      <c r="G22" s="70"/>
      <c r="H22" s="68"/>
      <c r="I22" s="428">
        <f>+'LI-0803 (TCUE)'!Y41</f>
        <v>2003.52</v>
      </c>
      <c r="J22" s="70"/>
      <c r="K22" s="70"/>
      <c r="L22" s="429"/>
      <c r="M22" s="70"/>
      <c r="N22" s="70"/>
      <c r="O22" s="70"/>
      <c r="P22" s="273"/>
    </row>
    <row r="23" spans="1:16" ht="15">
      <c r="A23" s="1"/>
      <c r="B23" s="269"/>
      <c r="C23" s="70"/>
      <c r="D23" s="70"/>
      <c r="E23" s="70"/>
      <c r="F23" s="278" t="s">
        <v>97</v>
      </c>
      <c r="G23" s="70"/>
      <c r="H23" s="68"/>
      <c r="I23" s="428">
        <v>0</v>
      </c>
      <c r="J23" s="70"/>
      <c r="K23" s="70"/>
      <c r="L23" s="429"/>
      <c r="M23" s="70"/>
      <c r="N23" s="70"/>
      <c r="O23" s="70"/>
      <c r="P23" s="273"/>
    </row>
    <row r="24" spans="1:16" ht="15">
      <c r="A24" s="1"/>
      <c r="B24" s="269"/>
      <c r="C24" s="70"/>
      <c r="D24" s="70"/>
      <c r="E24" s="70"/>
      <c r="F24" s="278" t="s">
        <v>3</v>
      </c>
      <c r="G24" s="70"/>
      <c r="H24" s="68"/>
      <c r="I24" s="430">
        <v>0</v>
      </c>
      <c r="J24" s="70"/>
      <c r="K24" s="70"/>
      <c r="L24" s="429"/>
      <c r="M24" s="70"/>
      <c r="N24" s="70"/>
      <c r="O24" s="70"/>
      <c r="P24" s="273"/>
    </row>
    <row r="25" spans="1:16" ht="15.75" thickBot="1">
      <c r="A25" s="1"/>
      <c r="B25" s="269"/>
      <c r="C25" s="70"/>
      <c r="D25" s="70"/>
      <c r="E25" s="70"/>
      <c r="F25" s="70"/>
      <c r="G25" s="70"/>
      <c r="H25" s="278"/>
      <c r="I25" s="70"/>
      <c r="J25" s="70"/>
      <c r="K25" s="70"/>
      <c r="L25" s="70"/>
      <c r="M25" s="70"/>
      <c r="N25" s="70"/>
      <c r="O25" s="70"/>
      <c r="P25" s="273"/>
    </row>
    <row r="26" spans="2:16" ht="20.25" thickBot="1" thickTop="1">
      <c r="B26" s="269"/>
      <c r="C26" s="77"/>
      <c r="H26" s="431" t="s">
        <v>98</v>
      </c>
      <c r="I26" s="146">
        <f>SUM(I22:I25)</f>
        <v>2003.52</v>
      </c>
      <c r="L26" s="74"/>
      <c r="M26" s="74"/>
      <c r="N26" s="75"/>
      <c r="O26" s="76"/>
      <c r="P26" s="279"/>
    </row>
    <row r="27" spans="2:16" ht="15.75" thickTop="1">
      <c r="B27" s="269"/>
      <c r="C27" s="77"/>
      <c r="D27" s="73"/>
      <c r="E27" s="73"/>
      <c r="F27" s="79"/>
      <c r="G27" s="74"/>
      <c r="H27" s="74"/>
      <c r="I27" s="74"/>
      <c r="J27" s="74"/>
      <c r="K27" s="74"/>
      <c r="L27" s="74"/>
      <c r="M27" s="74"/>
      <c r="N27" s="75"/>
      <c r="O27" s="76"/>
      <c r="P27" s="279"/>
    </row>
    <row r="28" spans="2:16" ht="15">
      <c r="B28" s="269"/>
      <c r="C28" s="65" t="s">
        <v>99</v>
      </c>
      <c r="D28" s="73"/>
      <c r="E28" s="73"/>
      <c r="F28" s="79"/>
      <c r="G28" s="74"/>
      <c r="H28" s="74"/>
      <c r="I28" s="74"/>
      <c r="J28" s="74"/>
      <c r="K28" s="74"/>
      <c r="L28" s="74"/>
      <c r="M28" s="74"/>
      <c r="N28" s="75"/>
      <c r="O28" s="76"/>
      <c r="P28" s="279"/>
    </row>
    <row r="29" spans="2:16" ht="15">
      <c r="B29" s="269"/>
      <c r="C29" s="77"/>
      <c r="D29" s="73"/>
      <c r="E29" s="73"/>
      <c r="F29" s="79"/>
      <c r="G29" s="74"/>
      <c r="H29" s="74"/>
      <c r="I29" s="74"/>
      <c r="J29" s="74"/>
      <c r="K29" s="74"/>
      <c r="L29" s="74"/>
      <c r="M29" s="74"/>
      <c r="N29" s="75"/>
      <c r="O29" s="76"/>
      <c r="P29" s="279"/>
    </row>
    <row r="30" spans="2:16" ht="15.75">
      <c r="B30" s="269"/>
      <c r="C30" s="77"/>
      <c r="D30" s="432" t="s">
        <v>100</v>
      </c>
      <c r="E30" s="433" t="s">
        <v>24</v>
      </c>
      <c r="F30" s="434" t="s">
        <v>101</v>
      </c>
      <c r="G30" s="435"/>
      <c r="H30" s="560" t="s">
        <v>137</v>
      </c>
      <c r="I30" s="559" t="s">
        <v>136</v>
      </c>
      <c r="J30" s="555"/>
      <c r="K30" s="460"/>
      <c r="L30" s="438" t="s">
        <v>2</v>
      </c>
      <c r="N30" s="75"/>
      <c r="O30" s="76"/>
      <c r="P30" s="279"/>
    </row>
    <row r="31" spans="2:16" ht="15.75">
      <c r="B31" s="269"/>
      <c r="C31" s="77"/>
      <c r="D31" s="439" t="s">
        <v>126</v>
      </c>
      <c r="E31" s="440">
        <v>132</v>
      </c>
      <c r="F31" s="441">
        <v>42.6</v>
      </c>
      <c r="G31" s="442"/>
      <c r="H31" s="443">
        <f>F31*$J$17*$E$17/100</f>
        <v>20654.606592</v>
      </c>
      <c r="I31" s="444">
        <v>11842</v>
      </c>
      <c r="J31" s="557" t="s">
        <v>167</v>
      </c>
      <c r="K31" s="446"/>
      <c r="L31" s="447">
        <f>SUM(H31:K31)</f>
        <v>32496.606592</v>
      </c>
      <c r="M31" s="74"/>
      <c r="N31" s="75"/>
      <c r="O31" s="76"/>
      <c r="P31" s="279"/>
    </row>
    <row r="32" spans="2:16" ht="15.75">
      <c r="B32" s="269"/>
      <c r="C32" s="77"/>
      <c r="D32" s="467" t="s">
        <v>127</v>
      </c>
      <c r="E32" s="73">
        <v>132</v>
      </c>
      <c r="F32" s="79">
        <v>33.6</v>
      </c>
      <c r="G32" s="74"/>
      <c r="H32" s="284">
        <f>F32*$J$17*$E$17/100</f>
        <v>16290.957312000002</v>
      </c>
      <c r="I32" s="484">
        <v>8541</v>
      </c>
      <c r="J32" s="556" t="s">
        <v>167</v>
      </c>
      <c r="K32" s="276"/>
      <c r="L32" s="468">
        <f>SUM(H32:K32)</f>
        <v>24831.957312000002</v>
      </c>
      <c r="M32" s="74"/>
      <c r="N32" s="75"/>
      <c r="O32" s="76"/>
      <c r="P32" s="279"/>
    </row>
    <row r="33" spans="2:16" ht="15.75">
      <c r="B33" s="269"/>
      <c r="C33" s="77"/>
      <c r="D33" s="467" t="s">
        <v>128</v>
      </c>
      <c r="E33" s="73">
        <v>132</v>
      </c>
      <c r="F33" s="79">
        <v>41</v>
      </c>
      <c r="G33" s="74"/>
      <c r="H33" s="284">
        <f>F33*$J$17*$E$17/100</f>
        <v>19878.84672</v>
      </c>
      <c r="I33" s="484">
        <v>47</v>
      </c>
      <c r="J33" s="556" t="s">
        <v>167</v>
      </c>
      <c r="K33" s="276"/>
      <c r="L33" s="468">
        <f>SUM(H33:K33)</f>
        <v>19925.84672</v>
      </c>
      <c r="M33" s="74"/>
      <c r="N33" s="75"/>
      <c r="O33" s="76"/>
      <c r="P33" s="279"/>
    </row>
    <row r="34" spans="2:16" ht="15.75">
      <c r="B34" s="269"/>
      <c r="C34" s="77"/>
      <c r="D34" s="467" t="s">
        <v>163</v>
      </c>
      <c r="E34" s="73">
        <v>132</v>
      </c>
      <c r="F34" s="79">
        <v>15</v>
      </c>
      <c r="G34" s="74"/>
      <c r="H34" s="284">
        <f>F34*$J$17*$E$17/100</f>
        <v>7272.748800000001</v>
      </c>
      <c r="I34" s="484">
        <v>12873</v>
      </c>
      <c r="J34" s="556" t="s">
        <v>167</v>
      </c>
      <c r="K34" s="276"/>
      <c r="L34" s="468">
        <f>SUM(H34:K34)</f>
        <v>20145.7488</v>
      </c>
      <c r="M34" s="74"/>
      <c r="N34" s="75"/>
      <c r="O34" s="76"/>
      <c r="P34" s="279"/>
    </row>
    <row r="35" spans="2:16" ht="15.75">
      <c r="B35" s="269"/>
      <c r="C35" s="77"/>
      <c r="D35" s="448" t="s">
        <v>162</v>
      </c>
      <c r="E35" s="449">
        <v>132</v>
      </c>
      <c r="F35" s="450">
        <v>127.98</v>
      </c>
      <c r="G35" s="451"/>
      <c r="H35" s="452">
        <f>F35*$J$17*$E$17/100</f>
        <v>62051.09276160001</v>
      </c>
      <c r="I35" s="453">
        <v>948</v>
      </c>
      <c r="J35" s="558" t="s">
        <v>167</v>
      </c>
      <c r="K35" s="455"/>
      <c r="L35" s="468">
        <f>SUM(H35:K35)</f>
        <v>62999.09276160001</v>
      </c>
      <c r="M35" s="74"/>
      <c r="N35" s="75"/>
      <c r="O35" s="76"/>
      <c r="P35" s="279"/>
    </row>
    <row r="36" spans="2:16" ht="15">
      <c r="B36" s="269"/>
      <c r="C36" s="77"/>
      <c r="D36" s="73"/>
      <c r="E36" s="73"/>
      <c r="F36" s="280"/>
      <c r="G36" s="74"/>
      <c r="I36" s="80"/>
      <c r="J36" s="276"/>
      <c r="K36" s="276"/>
      <c r="L36" s="457">
        <f>SUM(L31:L35)</f>
        <v>160399.25218560002</v>
      </c>
      <c r="M36" s="74"/>
      <c r="N36" s="75"/>
      <c r="O36" s="76"/>
      <c r="P36" s="279"/>
    </row>
    <row r="37" spans="2:16" ht="15">
      <c r="B37" s="269"/>
      <c r="C37" s="77"/>
      <c r="D37" s="73"/>
      <c r="E37" s="73"/>
      <c r="F37" s="280"/>
      <c r="G37" s="74"/>
      <c r="I37" s="80"/>
      <c r="J37" s="276"/>
      <c r="K37" s="276"/>
      <c r="L37" s="281"/>
      <c r="M37" s="74"/>
      <c r="N37" s="75"/>
      <c r="O37" s="76"/>
      <c r="P37" s="279"/>
    </row>
    <row r="38" spans="2:16" ht="15.75">
      <c r="B38" s="269"/>
      <c r="C38" s="77"/>
      <c r="D38" s="432" t="s">
        <v>102</v>
      </c>
      <c r="E38" s="433" t="s">
        <v>103</v>
      </c>
      <c r="F38" s="485" t="s">
        <v>115</v>
      </c>
      <c r="G38" s="486"/>
      <c r="H38" s="561" t="s">
        <v>138</v>
      </c>
      <c r="J38" s="458" t="s">
        <v>105</v>
      </c>
      <c r="K38" s="459"/>
      <c r="L38" s="460" t="s">
        <v>54</v>
      </c>
      <c r="M38" s="433" t="s">
        <v>24</v>
      </c>
      <c r="N38" s="461" t="s">
        <v>106</v>
      </c>
      <c r="O38" s="462"/>
      <c r="P38" s="279"/>
    </row>
    <row r="39" spans="2:16" ht="15">
      <c r="B39" s="269"/>
      <c r="C39" s="77"/>
      <c r="D39" s="439"/>
      <c r="E39" s="440"/>
      <c r="F39" s="487"/>
      <c r="G39" s="488"/>
      <c r="H39" s="447">
        <f>+F39*$J$18*$E$17</f>
        <v>0</v>
      </c>
      <c r="J39" s="562" t="s">
        <v>129</v>
      </c>
      <c r="K39" s="563"/>
      <c r="L39" s="564" t="s">
        <v>131</v>
      </c>
      <c r="M39" s="464">
        <v>132</v>
      </c>
      <c r="N39" s="465">
        <f aca="true" t="shared" si="0" ref="N39:N44">$M$16*$E$17</f>
        <v>2254.3199999999997</v>
      </c>
      <c r="O39" s="466"/>
      <c r="P39" s="279"/>
    </row>
    <row r="40" spans="2:16" ht="15">
      <c r="B40" s="269"/>
      <c r="C40" s="77"/>
      <c r="D40" s="467"/>
      <c r="E40" s="73"/>
      <c r="F40" s="489"/>
      <c r="G40" s="490"/>
      <c r="H40" s="468">
        <f>+F40*$J$18*$E$17</f>
        <v>0</v>
      </c>
      <c r="J40" s="565" t="s">
        <v>129</v>
      </c>
      <c r="K40" s="566"/>
      <c r="L40" s="567" t="s">
        <v>145</v>
      </c>
      <c r="M40" s="75">
        <v>132</v>
      </c>
      <c r="N40" s="471">
        <f t="shared" si="0"/>
        <v>2254.3199999999997</v>
      </c>
      <c r="O40" s="472"/>
      <c r="P40" s="279"/>
    </row>
    <row r="41" spans="2:16" ht="15">
      <c r="B41" s="269"/>
      <c r="C41" s="77"/>
      <c r="D41" s="467"/>
      <c r="E41" s="73"/>
      <c r="F41" s="489"/>
      <c r="G41" s="490"/>
      <c r="H41" s="468">
        <f>+F41*$J$18*$E$17</f>
        <v>0</v>
      </c>
      <c r="J41" s="565" t="s">
        <v>130</v>
      </c>
      <c r="K41" s="566"/>
      <c r="L41" s="567" t="s">
        <v>131</v>
      </c>
      <c r="M41" s="75">
        <v>132</v>
      </c>
      <c r="N41" s="471">
        <f t="shared" si="0"/>
        <v>2254.3199999999997</v>
      </c>
      <c r="O41" s="472"/>
      <c r="P41" s="279"/>
    </row>
    <row r="42" spans="2:16" ht="15">
      <c r="B42" s="269"/>
      <c r="C42" s="77"/>
      <c r="D42" s="467"/>
      <c r="E42" s="73"/>
      <c r="F42" s="489"/>
      <c r="G42" s="490"/>
      <c r="H42" s="468">
        <f>+F42*$J$18*$E$17</f>
        <v>0</v>
      </c>
      <c r="J42" s="565" t="s">
        <v>132</v>
      </c>
      <c r="K42" s="566"/>
      <c r="L42" s="567" t="s">
        <v>133</v>
      </c>
      <c r="M42" s="75">
        <v>132</v>
      </c>
      <c r="N42" s="471">
        <f t="shared" si="0"/>
        <v>2254.3199999999997</v>
      </c>
      <c r="O42" s="472"/>
      <c r="P42" s="279"/>
    </row>
    <row r="43" spans="2:16" ht="15">
      <c r="B43" s="269"/>
      <c r="C43" s="77"/>
      <c r="D43" s="448"/>
      <c r="E43" s="449"/>
      <c r="F43" s="491"/>
      <c r="G43" s="492"/>
      <c r="H43" s="468">
        <f>+F43*$J$18*$E$17</f>
        <v>0</v>
      </c>
      <c r="J43" s="565" t="s">
        <v>132</v>
      </c>
      <c r="K43" s="566"/>
      <c r="L43" s="567" t="s">
        <v>134</v>
      </c>
      <c r="M43" s="75">
        <v>132</v>
      </c>
      <c r="N43" s="471">
        <f t="shared" si="0"/>
        <v>2254.3199999999997</v>
      </c>
      <c r="O43" s="472"/>
      <c r="P43" s="279"/>
    </row>
    <row r="44" spans="2:16" ht="15">
      <c r="B44" s="269"/>
      <c r="C44" s="77"/>
      <c r="D44" s="73"/>
      <c r="E44" s="73"/>
      <c r="F44" s="280"/>
      <c r="G44" s="74"/>
      <c r="H44" s="457">
        <f>SUM(H39:H43)</f>
        <v>0</v>
      </c>
      <c r="J44" s="568" t="s">
        <v>132</v>
      </c>
      <c r="K44" s="569"/>
      <c r="L44" s="570" t="s">
        <v>146</v>
      </c>
      <c r="M44" s="474">
        <v>132</v>
      </c>
      <c r="N44" s="475">
        <f t="shared" si="0"/>
        <v>2254.3199999999997</v>
      </c>
      <c r="O44" s="476"/>
      <c r="P44" s="279"/>
    </row>
    <row r="45" spans="2:16" ht="15">
      <c r="B45" s="269"/>
      <c r="C45" s="77"/>
      <c r="D45" s="73"/>
      <c r="E45" s="73"/>
      <c r="F45" s="280"/>
      <c r="G45" s="74"/>
      <c r="I45" s="80"/>
      <c r="J45" s="276"/>
      <c r="K45" s="276"/>
      <c r="L45" s="281"/>
      <c r="M45" s="74"/>
      <c r="N45" s="477">
        <f>SUM(N39:N44)</f>
        <v>13525.919999999998</v>
      </c>
      <c r="O45" s="462"/>
      <c r="P45" s="279"/>
    </row>
    <row r="46" spans="2:16" ht="12.75" customHeight="1" thickBot="1">
      <c r="B46" s="269"/>
      <c r="C46" s="77"/>
      <c r="D46" s="73"/>
      <c r="E46" s="73"/>
      <c r="F46" s="79"/>
      <c r="G46" s="74"/>
      <c r="H46" s="80"/>
      <c r="I46" s="73"/>
      <c r="J46" s="73"/>
      <c r="K46" s="73"/>
      <c r="L46" s="74"/>
      <c r="M46" s="74"/>
      <c r="N46" s="75"/>
      <c r="O46" s="76"/>
      <c r="P46" s="279"/>
    </row>
    <row r="47" spans="2:16" ht="20.25" thickBot="1" thickTop="1">
      <c r="B47" s="269"/>
      <c r="C47" s="77"/>
      <c r="D47" s="73"/>
      <c r="E47" s="73"/>
      <c r="F47" s="79"/>
      <c r="G47" s="74"/>
      <c r="H47" s="478" t="s">
        <v>107</v>
      </c>
      <c r="I47" s="479">
        <f>+H44+N45+L36</f>
        <v>173925.17218560004</v>
      </c>
      <c r="J47" s="73"/>
      <c r="K47" s="594"/>
      <c r="L47" s="595"/>
      <c r="M47" s="74"/>
      <c r="N47" s="75"/>
      <c r="O47" s="76"/>
      <c r="P47" s="279"/>
    </row>
    <row r="48" spans="2:16" ht="15.75" thickTop="1">
      <c r="B48" s="269"/>
      <c r="C48" s="77"/>
      <c r="D48" s="73"/>
      <c r="E48" s="73"/>
      <c r="F48" s="79"/>
      <c r="G48" s="74"/>
      <c r="H48" s="80"/>
      <c r="I48" s="73"/>
      <c r="J48" s="73"/>
      <c r="K48" s="73"/>
      <c r="L48" s="74"/>
      <c r="M48" s="74"/>
      <c r="N48" s="75"/>
      <c r="O48" s="76"/>
      <c r="P48" s="279"/>
    </row>
    <row r="49" spans="2:16" ht="15.75">
      <c r="B49" s="269"/>
      <c r="C49" s="480" t="s">
        <v>108</v>
      </c>
      <c r="D49" s="73"/>
      <c r="E49" s="73"/>
      <c r="F49" s="79"/>
      <c r="G49" s="74"/>
      <c r="H49" s="80"/>
      <c r="I49" s="73"/>
      <c r="J49" s="73"/>
      <c r="K49" s="73"/>
      <c r="L49" s="74"/>
      <c r="M49" s="74"/>
      <c r="N49" s="75"/>
      <c r="O49" s="76"/>
      <c r="P49" s="279"/>
    </row>
    <row r="50" spans="2:16" ht="15.75" thickBot="1">
      <c r="B50" s="269"/>
      <c r="C50" s="77"/>
      <c r="D50" s="73"/>
      <c r="E50" s="73"/>
      <c r="F50" s="79"/>
      <c r="G50" s="74"/>
      <c r="H50" s="80"/>
      <c r="I50" s="73"/>
      <c r="J50" s="73"/>
      <c r="K50" s="73"/>
      <c r="L50" s="74"/>
      <c r="M50" s="74"/>
      <c r="N50" s="75"/>
      <c r="O50" s="76"/>
      <c r="P50" s="279"/>
    </row>
    <row r="51" spans="2:16" ht="20.25" thickBot="1" thickTop="1">
      <c r="B51" s="269"/>
      <c r="C51" s="77"/>
      <c r="D51" s="225" t="s">
        <v>109</v>
      </c>
      <c r="F51" s="282"/>
      <c r="G51" s="70"/>
      <c r="H51" s="145" t="s">
        <v>110</v>
      </c>
      <c r="I51" s="481">
        <f>+E18*I47</f>
        <v>4348.1293046400015</v>
      </c>
      <c r="J51" s="66"/>
      <c r="K51" s="66"/>
      <c r="O51" s="66"/>
      <c r="P51" s="279"/>
    </row>
    <row r="52" spans="2:16" ht="21.75" thickTop="1">
      <c r="B52" s="269"/>
      <c r="C52" s="77"/>
      <c r="F52" s="283"/>
      <c r="G52" s="43"/>
      <c r="I52" s="66"/>
      <c r="J52" s="66"/>
      <c r="K52" s="66"/>
      <c r="O52" s="66"/>
      <c r="P52" s="279"/>
    </row>
    <row r="53" spans="2:16" ht="15">
      <c r="B53" s="269"/>
      <c r="C53" s="65" t="s">
        <v>111</v>
      </c>
      <c r="E53" s="66"/>
      <c r="F53" s="66"/>
      <c r="G53" s="66"/>
      <c r="H53" s="66"/>
      <c r="I53" s="74"/>
      <c r="J53" s="74"/>
      <c r="K53" s="74"/>
      <c r="L53" s="74"/>
      <c r="M53" s="74"/>
      <c r="N53" s="75"/>
      <c r="O53" s="76"/>
      <c r="P53" s="279"/>
    </row>
    <row r="54" spans="2:16" ht="15">
      <c r="B54" s="269"/>
      <c r="C54" s="77"/>
      <c r="D54" s="72" t="s">
        <v>112</v>
      </c>
      <c r="E54" s="284">
        <f>10*I26*I51/I47</f>
        <v>500.88000000000005</v>
      </c>
      <c r="F54" s="482"/>
      <c r="H54" s="66"/>
      <c r="I54" s="74"/>
      <c r="J54" s="74"/>
      <c r="K54" s="74"/>
      <c r="L54" s="74"/>
      <c r="M54" s="74"/>
      <c r="N54" s="75"/>
      <c r="O54" s="76"/>
      <c r="P54" s="279"/>
    </row>
    <row r="55" spans="2:16" ht="15">
      <c r="B55" s="269"/>
      <c r="C55" s="77"/>
      <c r="D55" s="66"/>
      <c r="E55" s="66"/>
      <c r="J55" s="74"/>
      <c r="K55" s="74"/>
      <c r="L55" s="74"/>
      <c r="M55" s="74"/>
      <c r="N55" s="75"/>
      <c r="O55" s="76"/>
      <c r="P55" s="279"/>
    </row>
    <row r="56" spans="2:16" ht="15">
      <c r="B56" s="269"/>
      <c r="C56" s="77"/>
      <c r="D56" s="66" t="s">
        <v>125</v>
      </c>
      <c r="E56" s="66"/>
      <c r="F56" s="66"/>
      <c r="G56" s="66"/>
      <c r="H56" s="66"/>
      <c r="M56" s="74"/>
      <c r="N56" s="75"/>
      <c r="O56" s="76"/>
      <c r="P56" s="279"/>
    </row>
    <row r="57" spans="2:16" ht="15">
      <c r="B57" s="269"/>
      <c r="C57" s="77"/>
      <c r="D57" s="66"/>
      <c r="E57" s="66"/>
      <c r="F57" s="66"/>
      <c r="G57" s="66"/>
      <c r="H57" s="66"/>
      <c r="M57" s="74"/>
      <c r="N57" s="75"/>
      <c r="O57" s="76"/>
      <c r="P57" s="279"/>
    </row>
    <row r="58" spans="2:16" ht="15.75" thickBot="1">
      <c r="B58" s="269"/>
      <c r="C58" s="77"/>
      <c r="D58" s="66"/>
      <c r="E58" s="66"/>
      <c r="F58" s="66"/>
      <c r="G58" s="66"/>
      <c r="H58" s="66"/>
      <c r="M58" s="74"/>
      <c r="N58" s="75"/>
      <c r="O58" s="76"/>
      <c r="P58" s="279"/>
    </row>
    <row r="59" spans="2:16" ht="20.25" thickBot="1" thickTop="1">
      <c r="B59" s="269"/>
      <c r="C59" s="77"/>
      <c r="D59" s="73"/>
      <c r="E59" s="73"/>
      <c r="F59" s="79"/>
      <c r="G59" s="74"/>
      <c r="H59" s="226" t="s">
        <v>114</v>
      </c>
      <c r="I59" s="483">
        <f>IF($E$54&gt;3*I51,3*I51,$E$54)</f>
        <v>500.88000000000005</v>
      </c>
      <c r="J59" s="74"/>
      <c r="K59" s="74"/>
      <c r="L59" s="74"/>
      <c r="M59" s="74"/>
      <c r="N59" s="75"/>
      <c r="O59" s="76"/>
      <c r="P59" s="279"/>
    </row>
    <row r="60" spans="2:16" ht="16.5" thickBot="1" thickTop="1">
      <c r="B60" s="285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7"/>
    </row>
    <row r="61" spans="2:16" ht="13.5" thickTop="1">
      <c r="B61" s="1"/>
      <c r="P61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70" ht="12" customHeight="1"/>
    <row r="106" ht="12.75">
      <c r="B106" s="1"/>
    </row>
    <row r="112" ht="12.75">
      <c r="A112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4"/>
  <headerFooter alignWithMargins="0">
    <oddFooter>&amp;L&amp;"Times New Roman,Cursiva"&amp;7&amp;Z&amp;F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2013-07-05T19:41:10Z</cp:lastPrinted>
  <dcterms:created xsi:type="dcterms:W3CDTF">2000-10-04T20:14:32Z</dcterms:created>
  <dcterms:modified xsi:type="dcterms:W3CDTF">2014-01-30T14:49:02Z</dcterms:modified>
  <cp:category/>
  <cp:version/>
  <cp:contentType/>
  <cp:contentStatus/>
</cp:coreProperties>
</file>