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120" tabRatio="879" activeTab="0"/>
  </bookViews>
  <sheets>
    <sheet name="TOT-0312" sheetId="1" r:id="rId1"/>
    <sheet name="LI-03 (1)" sheetId="2" r:id="rId2"/>
    <sheet name="LI-INTESA4-03 (1)" sheetId="3" r:id="rId3"/>
    <sheet name="LI-INTESA5-03 (1)" sheetId="4" r:id="rId4"/>
    <sheet name="LI-INTESA3-03 (1)" sheetId="5" r:id="rId5"/>
    <sheet name="TR-03 (1)" sheetId="6" r:id="rId6"/>
    <sheet name="TR-LIMSA-03 (1)" sheetId="7" r:id="rId7"/>
    <sheet name="SA-03 (1)" sheetId="8" r:id="rId8"/>
    <sheet name="SA-03 (2)" sheetId="9" r:id="rId9"/>
    <sheet name=" SA- LITSA-03 (1)" sheetId="10" r:id="rId10"/>
    <sheet name="SA-LIMSA-03 (1)" sheetId="11" r:id="rId11"/>
    <sheet name="SA-TIBA-03 (1)" sheetId="12" r:id="rId12"/>
    <sheet name="RE-03 (1)" sheetId="13" r:id="rId13"/>
    <sheet name="RE-INTESA5-03 (1)" sheetId="14" r:id="rId14"/>
    <sheet name="R IV-03 (01)" sheetId="15" r:id="rId15"/>
    <sheet name="RE-YACYLEC-03 (1)" sheetId="16" r:id="rId16"/>
    <sheet name="SUP-INTESAR 4" sheetId="17" r:id="rId17"/>
    <sheet name="SUP-INTESAR 5" sheetId="18" r:id="rId18"/>
    <sheet name="SUP-INTESA3" sheetId="19" r:id="rId19"/>
    <sheet name="SUP-LIMSA" sheetId="20" r:id="rId20"/>
    <sheet name="SUP-LITSA" sheetId="21" r:id="rId21"/>
    <sheet name="SUP-TIBA" sheetId="22" r:id="rId22"/>
    <sheet name="SUP-YACYLEC" sheetId="23" r:id="rId23"/>
    <sheet name="TASA FALLA" sheetId="24" r:id="rId24"/>
    <sheet name="DATO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3">'LI-INTESA5-03 (1)'!$A$1:$AF$43</definedName>
    <definedName name="_xlnm.Print_Area" localSheetId="11">'SA-TIBA-03 (1)'!$A$1:$W$45</definedName>
    <definedName name="_xlnm.Print_Area" localSheetId="19">'SUP-LIMSA'!$A$1:$AE$82</definedName>
    <definedName name="_xlnm.Print_Area" localSheetId="21">'SUP-TIBA'!$A$1:$W$77</definedName>
    <definedName name="_xlnm.Print_Area" localSheetId="23">'TASA FALLA'!$A$1:$V$104</definedName>
    <definedName name="_xlnm.Print_Area" localSheetId="0">'TOT-0312'!$A$1:$J$57</definedName>
    <definedName name="DD" localSheetId="4">'LI-INTESA3-03 (1)'!DD</definedName>
    <definedName name="DD" localSheetId="2">'LI-INTESA4-03 (1)'!DD</definedName>
    <definedName name="DD" localSheetId="3">'LI-INTESA5-03 (1)'!DD</definedName>
    <definedName name="DD" localSheetId="14">'R IV-03 (01)'!DD</definedName>
    <definedName name="DD" localSheetId="12">'RE-03 (1)'!DD</definedName>
    <definedName name="DD" localSheetId="13">'RE-INTESA5-03 (1)'!DD</definedName>
    <definedName name="DD" localSheetId="15">'RE-YACYLEC-03 (1)'!DD</definedName>
    <definedName name="DD" localSheetId="10">'SA-LIMSA-03 (1)'!DD</definedName>
    <definedName name="DD" localSheetId="18">'SUP-INTESA3'!DD</definedName>
    <definedName name="DD" localSheetId="16">'SUP-INTESAR 4'!DD</definedName>
    <definedName name="DD" localSheetId="17">'SUP-INTESAR 5'!DD</definedName>
    <definedName name="DD" localSheetId="19">'SUP-LIMSA'!DD</definedName>
    <definedName name="DD" localSheetId="20">'SUP-LITSA'!DD</definedName>
    <definedName name="DD" localSheetId="21">'SUP-TIBA'!DD</definedName>
    <definedName name="DD" localSheetId="22">'SUP-YACYLEC'!DD</definedName>
    <definedName name="DD" localSheetId="23">'TASA FALLA'!DD</definedName>
    <definedName name="DD" localSheetId="6">'TR-LIMSA-03 (1)'!DD</definedName>
    <definedName name="DD">[0]!DD</definedName>
    <definedName name="DDD" localSheetId="4">'LI-INTESA3-03 (1)'!DDD</definedName>
    <definedName name="DDD" localSheetId="2">'LI-INTESA4-03 (1)'!DDD</definedName>
    <definedName name="DDD" localSheetId="3">'LI-INTESA5-03 (1)'!DDD</definedName>
    <definedName name="DDD" localSheetId="14">'R IV-03 (01)'!DDD</definedName>
    <definedName name="DDD" localSheetId="12">'RE-03 (1)'!DDD</definedName>
    <definedName name="DDD" localSheetId="13">'RE-INTESA5-03 (1)'!DDD</definedName>
    <definedName name="DDD" localSheetId="15">'RE-YACYLEC-03 (1)'!DDD</definedName>
    <definedName name="DDD" localSheetId="10">'SA-LIMSA-03 (1)'!DDD</definedName>
    <definedName name="DDD" localSheetId="18">'SUP-INTESA3'!DDD</definedName>
    <definedName name="DDD" localSheetId="16">'SUP-INTESAR 4'!DDD</definedName>
    <definedName name="DDD" localSheetId="17">'SUP-INTESAR 5'!DDD</definedName>
    <definedName name="DDD" localSheetId="19">'SUP-LIMSA'!DDD</definedName>
    <definedName name="DDD" localSheetId="20">'SUP-LITSA'!DDD</definedName>
    <definedName name="DDD" localSheetId="21">'SUP-TIBA'!DDD</definedName>
    <definedName name="DDD" localSheetId="22">'SUP-YACYLEC'!DDD</definedName>
    <definedName name="DDD" localSheetId="23">'TASA FALLA'!DDD</definedName>
    <definedName name="DDD" localSheetId="6">'TR-LIMSA-03 (1)'!DDD</definedName>
    <definedName name="DDD">[0]!DDD</definedName>
    <definedName name="DISTROCUYO" localSheetId="4">'LI-INTESA3-03 (1)'!DISTROCUYO</definedName>
    <definedName name="DISTROCUYO" localSheetId="2">'LI-INTESA4-03 (1)'!DISTROCUYO</definedName>
    <definedName name="DISTROCUYO" localSheetId="3">'LI-INTESA5-03 (1)'!DISTROCUYO</definedName>
    <definedName name="DISTROCUYO" localSheetId="14">'R IV-03 (01)'!DISTROCUYO</definedName>
    <definedName name="DISTROCUYO" localSheetId="12">'RE-03 (1)'!DISTROCUYO</definedName>
    <definedName name="DISTROCUYO" localSheetId="13">'RE-INTESA5-03 (1)'!DISTROCUYO</definedName>
    <definedName name="DISTROCUYO" localSheetId="15">'RE-YACYLEC-03 (1)'!DISTROCUYO</definedName>
    <definedName name="DISTROCUYO" localSheetId="10">'SA-LIMSA-03 (1)'!DISTROCUYO</definedName>
    <definedName name="DISTROCUYO" localSheetId="18">'SUP-INTESA3'!DISTROCUYO</definedName>
    <definedName name="DISTROCUYO" localSheetId="16">'SUP-INTESAR 4'!DISTROCUYO</definedName>
    <definedName name="DISTROCUYO" localSheetId="17">'SUP-INTESAR 5'!DISTROCUYO</definedName>
    <definedName name="DISTROCUYO" localSheetId="19">'SUP-LIMSA'!DISTROCUYO</definedName>
    <definedName name="DISTROCUYO" localSheetId="20">'SUP-LITSA'!DISTROCUYO</definedName>
    <definedName name="DISTROCUYO" localSheetId="21">'SUP-TIBA'!DISTROCUYO</definedName>
    <definedName name="DISTROCUYO" localSheetId="22">'SUP-YACYLEC'!DISTROCUYO</definedName>
    <definedName name="DISTROCUYO" localSheetId="23">'TASA FALLA'!DISTROCUYO</definedName>
    <definedName name="DISTROCUYO" localSheetId="6">'TR-LIMSA-03 (1)'!DISTROCUYO</definedName>
    <definedName name="DISTROCUYO">[0]!DISTROCUYO</definedName>
    <definedName name="FER" localSheetId="4">'LI-INTESA3-03 (1)'!FER</definedName>
    <definedName name="FER" localSheetId="2">'LI-INTESA4-03 (1)'!FER</definedName>
    <definedName name="FER" localSheetId="3">'LI-INTESA5-03 (1)'!FER</definedName>
    <definedName name="FER" localSheetId="14">'R IV-03 (01)'!FER</definedName>
    <definedName name="FER" localSheetId="12">'RE-03 (1)'!FER</definedName>
    <definedName name="FER" localSheetId="13">'RE-INTESA5-03 (1)'!FER</definedName>
    <definedName name="FER" localSheetId="15">'RE-YACYLEC-03 (1)'!FER</definedName>
    <definedName name="FER" localSheetId="10">'SA-LIMSA-03 (1)'!FER</definedName>
    <definedName name="FER" localSheetId="18">'SUP-INTESA3'!FER</definedName>
    <definedName name="FER" localSheetId="16">'SUP-INTESAR 4'!FER</definedName>
    <definedName name="FER" localSheetId="17">'SUP-INTESAR 5'!FER</definedName>
    <definedName name="FER" localSheetId="19">'SUP-LIMSA'!FER</definedName>
    <definedName name="FER" localSheetId="20">'SUP-LITSA'!FER</definedName>
    <definedName name="FER" localSheetId="21">'SUP-TIBA'!FER</definedName>
    <definedName name="FER" localSheetId="22">'SUP-YACYLEC'!FER</definedName>
    <definedName name="FER" localSheetId="23">'TASA FALLA'!FER</definedName>
    <definedName name="FER" localSheetId="6">'TR-LIMSA-03 (1)'!FER</definedName>
    <definedName name="FER">[0]!FER</definedName>
    <definedName name="INICIO" localSheetId="4">'LI-INTESA3-03 (1)'!INICIO</definedName>
    <definedName name="INICIO" localSheetId="2">'LI-INTESA4-03 (1)'!INICIO</definedName>
    <definedName name="INICIO" localSheetId="3">'LI-INTESA5-03 (1)'!INICIO</definedName>
    <definedName name="INICIO" localSheetId="14">'R IV-03 (01)'!INICIO</definedName>
    <definedName name="INICIO" localSheetId="12">'RE-03 (1)'!INICIO</definedName>
    <definedName name="INICIO" localSheetId="13">'RE-INTESA5-03 (1)'!INICIO</definedName>
    <definedName name="INICIO" localSheetId="15">'RE-YACYLEC-03 (1)'!INICIO</definedName>
    <definedName name="INICIO" localSheetId="10">'SA-LIMSA-03 (1)'!INICIO</definedName>
    <definedName name="INICIO" localSheetId="18">'SUP-INTESA3'!INICIO</definedName>
    <definedName name="INICIO" localSheetId="16">'SUP-INTESAR 4'!INICIO</definedName>
    <definedName name="INICIO" localSheetId="17">'SUP-INTESAR 5'!INICIO</definedName>
    <definedName name="INICIO" localSheetId="19">'SUP-LIMSA'!INICIO</definedName>
    <definedName name="INICIO" localSheetId="20">'SUP-LITSA'!INICIO</definedName>
    <definedName name="INICIO" localSheetId="21">'SUP-TIBA'!INICIO</definedName>
    <definedName name="INICIO" localSheetId="22">'SUP-YACYLEC'!INICIO</definedName>
    <definedName name="INICIO" localSheetId="23">'TASA FALLA'!INICIO</definedName>
    <definedName name="INICIO" localSheetId="6">'TR-LIMSA-03 (1)'!INICIO</definedName>
    <definedName name="INICIO">[0]!INICIO</definedName>
    <definedName name="INICIOTI" localSheetId="4">'LI-INTESA3-03 (1)'!INICIOTI</definedName>
    <definedName name="INICIOTI" localSheetId="2">'LI-INTESA4-03 (1)'!INICIOTI</definedName>
    <definedName name="INICIOTI" localSheetId="3">'LI-INTESA5-03 (1)'!INICIOTI</definedName>
    <definedName name="INICIOTI" localSheetId="14">'R IV-03 (01)'!INICIOTI</definedName>
    <definedName name="INICIOTI" localSheetId="12">'RE-03 (1)'!INICIOTI</definedName>
    <definedName name="INICIOTI" localSheetId="13">'RE-INTESA5-03 (1)'!INICIOTI</definedName>
    <definedName name="INICIOTI" localSheetId="15">'RE-YACYLEC-03 (1)'!INICIOTI</definedName>
    <definedName name="INICIOTI" localSheetId="10">'SA-LIMSA-03 (1)'!INICIOTI</definedName>
    <definedName name="INICIOTI" localSheetId="18">'SUP-INTESA3'!INICIOTI</definedName>
    <definedName name="INICIOTI" localSheetId="16">'SUP-INTESAR 4'!INICIOTI</definedName>
    <definedName name="INICIOTI" localSheetId="17">'SUP-INTESAR 5'!INICIOTI</definedName>
    <definedName name="INICIOTI" localSheetId="19">'SUP-LIMSA'!INICIOTI</definedName>
    <definedName name="INICIOTI" localSheetId="20">'SUP-LITSA'!INICIOTI</definedName>
    <definedName name="INICIOTI" localSheetId="21">'SUP-TIBA'!INICIOTI</definedName>
    <definedName name="INICIOTI" localSheetId="22">'SUP-YACYLEC'!INICIOTI</definedName>
    <definedName name="INICIOTI" localSheetId="23">'TASA FALLA'!INICIOTI</definedName>
    <definedName name="INICIOTI" localSheetId="6">'TR-LIMSA-03 (1)'!INICIOTI</definedName>
    <definedName name="INICIOTI">[0]!INICIOTI</definedName>
    <definedName name="LINEAS" localSheetId="4">'LI-INTESA3-03 (1)'!LINEAS</definedName>
    <definedName name="LINEAS" localSheetId="2">'LI-INTESA4-03 (1)'!LINEAS</definedName>
    <definedName name="LINEAS" localSheetId="3">'LI-INTESA5-03 (1)'!LINEAS</definedName>
    <definedName name="LINEAS" localSheetId="14">'R IV-03 (01)'!LINEAS</definedName>
    <definedName name="LINEAS" localSheetId="12">'RE-03 (1)'!LINEAS</definedName>
    <definedName name="LINEAS" localSheetId="13">'RE-INTESA5-03 (1)'!LINEAS</definedName>
    <definedName name="LINEAS" localSheetId="15">'RE-YACYLEC-03 (1)'!LINEAS</definedName>
    <definedName name="LINEAS" localSheetId="10">'SA-LIMSA-03 (1)'!LINEAS</definedName>
    <definedName name="LINEAS" localSheetId="18">'SUP-INTESA3'!LINEAS</definedName>
    <definedName name="LINEAS" localSheetId="16">'SUP-INTESAR 4'!LINEAS</definedName>
    <definedName name="LINEAS" localSheetId="17">'SUP-INTESAR 5'!LINEAS</definedName>
    <definedName name="LINEAS" localSheetId="19">'SUP-LIMSA'!LINEAS</definedName>
    <definedName name="LINEAS" localSheetId="20">'SUP-LITSA'!LINEAS</definedName>
    <definedName name="LINEAS" localSheetId="21">'SUP-TIBA'!LINEAS</definedName>
    <definedName name="LINEAS" localSheetId="22">'SUP-YACYLEC'!LINEAS</definedName>
    <definedName name="LINEAS" localSheetId="23">'TASA FALLA'!LINEAS</definedName>
    <definedName name="LINEAS" localSheetId="6">'TR-LIMSA-03 (1)'!LINEAS</definedName>
    <definedName name="LINEAS">[0]!LINEAS</definedName>
    <definedName name="NAME_L" localSheetId="4">'LI-INTESA3-03 (1)'!NAME_L</definedName>
    <definedName name="NAME_L" localSheetId="2">'LI-INTESA4-03 (1)'!NAME_L</definedName>
    <definedName name="NAME_L" localSheetId="3">'LI-INTESA5-03 (1)'!NAME_L</definedName>
    <definedName name="NAME_L" localSheetId="14">'R IV-03 (01)'!NAME_L</definedName>
    <definedName name="NAME_L" localSheetId="12">'RE-03 (1)'!NAME_L</definedName>
    <definedName name="NAME_L" localSheetId="13">'RE-INTESA5-03 (1)'!NAME_L</definedName>
    <definedName name="NAME_L" localSheetId="15">'RE-YACYLEC-03 (1)'!NAME_L</definedName>
    <definedName name="NAME_L" localSheetId="10">'SA-LIMSA-03 (1)'!NAME_L</definedName>
    <definedName name="NAME_L" localSheetId="18">'SUP-INTESA3'!NAME_L</definedName>
    <definedName name="NAME_L" localSheetId="16">'SUP-INTESAR 4'!NAME_L</definedName>
    <definedName name="NAME_L" localSheetId="17">'SUP-INTESAR 5'!NAME_L</definedName>
    <definedName name="NAME_L" localSheetId="19">'SUP-LIMSA'!NAME_L</definedName>
    <definedName name="NAME_L" localSheetId="20">'SUP-LITSA'!NAME_L</definedName>
    <definedName name="NAME_L" localSheetId="21">'SUP-TIBA'!NAME_L</definedName>
    <definedName name="NAME_L" localSheetId="22">'SUP-YACYLEC'!NAME_L</definedName>
    <definedName name="NAME_L" localSheetId="23">'TASA FALLA'!NAME_L</definedName>
    <definedName name="NAME_L" localSheetId="6">'TR-LIMSA-03 (1)'!NAME_L</definedName>
    <definedName name="NAME_L">[0]!NAME_L</definedName>
    <definedName name="NAME_L_TI" localSheetId="4">'LI-INTESA3-03 (1)'!NAME_L_TI</definedName>
    <definedName name="NAME_L_TI" localSheetId="2">'LI-INTESA4-03 (1)'!NAME_L_TI</definedName>
    <definedName name="NAME_L_TI" localSheetId="3">'LI-INTESA5-03 (1)'!NAME_L_TI</definedName>
    <definedName name="NAME_L_TI" localSheetId="14">'R IV-03 (01)'!NAME_L_TI</definedName>
    <definedName name="NAME_L_TI" localSheetId="12">'RE-03 (1)'!NAME_L_TI</definedName>
    <definedName name="NAME_L_TI" localSheetId="13">'RE-INTESA5-03 (1)'!NAME_L_TI</definedName>
    <definedName name="NAME_L_TI" localSheetId="15">'RE-YACYLEC-03 (1)'!NAME_L_TI</definedName>
    <definedName name="NAME_L_TI" localSheetId="10">'SA-LIMSA-03 (1)'!NAME_L_TI</definedName>
    <definedName name="NAME_L_TI" localSheetId="18">'SUP-INTESA3'!NAME_L_TI</definedName>
    <definedName name="NAME_L_TI" localSheetId="16">'SUP-INTESAR 4'!NAME_L_TI</definedName>
    <definedName name="NAME_L_TI" localSheetId="17">'SUP-INTESAR 5'!NAME_L_TI</definedName>
    <definedName name="NAME_L_TI" localSheetId="19">'SUP-LIMSA'!NAME_L_TI</definedName>
    <definedName name="NAME_L_TI" localSheetId="20">'SUP-LITSA'!NAME_L_TI</definedName>
    <definedName name="NAME_L_TI" localSheetId="21">'SUP-TIBA'!NAME_L_TI</definedName>
    <definedName name="NAME_L_TI" localSheetId="22">'SUP-YACYLEC'!NAME_L_TI</definedName>
    <definedName name="NAME_L_TI" localSheetId="23">'TASA FALLA'!NAME_L_TI</definedName>
    <definedName name="NAME_L_TI" localSheetId="6">'TR-LIMSA-03 (1)'!NAME_L_TI</definedName>
    <definedName name="NAME_L_TI">[0]!NAME_L_TI</definedName>
    <definedName name="TRAN" localSheetId="4">'LI-INTESA3-03 (1)'!TRAN</definedName>
    <definedName name="TRAN" localSheetId="2">'LI-INTESA4-03 (1)'!TRAN</definedName>
    <definedName name="TRAN" localSheetId="3">'LI-INTESA5-03 (1)'!TRAN</definedName>
    <definedName name="TRAN" localSheetId="14">'R IV-03 (01)'!TRAN</definedName>
    <definedName name="TRAN" localSheetId="12">'RE-03 (1)'!TRAN</definedName>
    <definedName name="TRAN" localSheetId="13">'RE-INTESA5-03 (1)'!TRAN</definedName>
    <definedName name="TRAN" localSheetId="15">'RE-YACYLEC-03 (1)'!TRAN</definedName>
    <definedName name="TRAN" localSheetId="10">'SA-LIMSA-03 (1)'!TRAN</definedName>
    <definedName name="TRAN" localSheetId="18">'SUP-INTESA3'!TRAN</definedName>
    <definedName name="TRAN" localSheetId="16">'SUP-INTESAR 4'!TRAN</definedName>
    <definedName name="TRAN" localSheetId="17">'SUP-INTESAR 5'!TRAN</definedName>
    <definedName name="TRAN" localSheetId="19">'SUP-LIMSA'!TRAN</definedName>
    <definedName name="TRAN" localSheetId="20">'SUP-LITSA'!TRAN</definedName>
    <definedName name="TRAN" localSheetId="21">'SUP-TIBA'!TRAN</definedName>
    <definedName name="TRAN" localSheetId="22">'SUP-YACYLEC'!TRAN</definedName>
    <definedName name="TRAN" localSheetId="23">'TASA FALLA'!TRAN</definedName>
    <definedName name="TRAN" localSheetId="6">'TR-LIMSA-03 (1)'!TRAN</definedName>
    <definedName name="TRAN">[0]!TRAN</definedName>
    <definedName name="TRANSNOA" localSheetId="4">'LI-INTESA3-03 (1)'!TRANSNOA</definedName>
    <definedName name="TRANSNOA" localSheetId="2">'LI-INTESA4-03 (1)'!TRANSNOA</definedName>
    <definedName name="TRANSNOA" localSheetId="3">'LI-INTESA5-03 (1)'!TRANSNOA</definedName>
    <definedName name="TRANSNOA" localSheetId="14">'R IV-03 (01)'!TRANSNOA</definedName>
    <definedName name="TRANSNOA" localSheetId="12">'RE-03 (1)'!TRANSNOA</definedName>
    <definedName name="TRANSNOA" localSheetId="13">'RE-INTESA5-03 (1)'!TRANSNOA</definedName>
    <definedName name="TRANSNOA" localSheetId="15">'RE-YACYLEC-03 (1)'!TRANSNOA</definedName>
    <definedName name="TRANSNOA" localSheetId="10">'SA-LIMSA-03 (1)'!TRANSNOA</definedName>
    <definedName name="TRANSNOA" localSheetId="18">'SUP-INTESA3'!TRANSNOA</definedName>
    <definedName name="TRANSNOA" localSheetId="16">'SUP-INTESAR 4'!TRANSNOA</definedName>
    <definedName name="TRANSNOA" localSheetId="17">'SUP-INTESAR 5'!TRANSNOA</definedName>
    <definedName name="TRANSNOA" localSheetId="19">'SUP-LIMSA'!TRANSNOA</definedName>
    <definedName name="TRANSNOA" localSheetId="20">'SUP-LITSA'!TRANSNOA</definedName>
    <definedName name="TRANSNOA" localSheetId="21">'SUP-TIBA'!TRANSNOA</definedName>
    <definedName name="TRANSNOA" localSheetId="22">'SUP-YACYLEC'!TRANSNOA</definedName>
    <definedName name="TRANSNOA" localSheetId="23">'TASA FALLA'!TRANSNOA</definedName>
    <definedName name="TRANSNOA" localSheetId="6">'TR-LIMSA-03 (1)'!TRANSNOA</definedName>
    <definedName name="TRANSNOA">[0]!TRANSNOA</definedName>
    <definedName name="x" localSheetId="4">'LI-INTESA3-03 (1)'!x</definedName>
    <definedName name="x" localSheetId="2">'LI-INTESA4-03 (1)'!x</definedName>
    <definedName name="x" localSheetId="3">'LI-INTESA5-03 (1)'!x</definedName>
    <definedName name="x" localSheetId="14">'R IV-03 (01)'!x</definedName>
    <definedName name="x" localSheetId="12">'RE-03 (1)'!x</definedName>
    <definedName name="x" localSheetId="13">'RE-INTESA5-03 (1)'!x</definedName>
    <definedName name="x" localSheetId="15">'RE-YACYLEC-03 (1)'!x</definedName>
    <definedName name="x" localSheetId="10">'SA-LIMSA-03 (1)'!x</definedName>
    <definedName name="x" localSheetId="18">'SUP-INTESA3'!x</definedName>
    <definedName name="x" localSheetId="16">'SUP-INTESAR 4'!x</definedName>
    <definedName name="x" localSheetId="17">'SUP-INTESAR 5'!x</definedName>
    <definedName name="x" localSheetId="19">'SUP-LIMSA'!x</definedName>
    <definedName name="x" localSheetId="20">'SUP-LITSA'!x</definedName>
    <definedName name="x" localSheetId="21">'SUP-TIBA'!x</definedName>
    <definedName name="x" localSheetId="22">'SUP-YACYLEC'!x</definedName>
    <definedName name="x" localSheetId="23">'TASA FALLA'!x</definedName>
    <definedName name="x" localSheetId="6">'TR-LIMSA-03 (1)'!x</definedName>
    <definedName name="x">[0]!x</definedName>
    <definedName name="XX" localSheetId="4">'LI-INTESA3-03 (1)'!XX</definedName>
    <definedName name="XX" localSheetId="2">'LI-INTESA4-03 (1)'!XX</definedName>
    <definedName name="XX" localSheetId="3">'LI-INTESA5-03 (1)'!XX</definedName>
    <definedName name="XX" localSheetId="14">'R IV-03 (01)'!XX</definedName>
    <definedName name="XX" localSheetId="12">'RE-03 (1)'!XX</definedName>
    <definedName name="XX" localSheetId="13">'RE-INTESA5-03 (1)'!XX</definedName>
    <definedName name="XX" localSheetId="15">'RE-YACYLEC-03 (1)'!XX</definedName>
    <definedName name="XX" localSheetId="10">'SA-LIMSA-03 (1)'!XX</definedName>
    <definedName name="XX" localSheetId="18">'SUP-INTESA3'!XX</definedName>
    <definedName name="XX" localSheetId="16">'SUP-INTESAR 4'!XX</definedName>
    <definedName name="XX" localSheetId="17">'SUP-INTESAR 5'!XX</definedName>
    <definedName name="XX" localSheetId="19">'SUP-LIMSA'!XX</definedName>
    <definedName name="XX" localSheetId="20">'SUP-LITSA'!XX</definedName>
    <definedName name="XX" localSheetId="21">'SUP-TIBA'!XX</definedName>
    <definedName name="XX" localSheetId="22">'SUP-YACYLEC'!XX</definedName>
    <definedName name="XX" localSheetId="23">'TASA FALLA'!XX</definedName>
    <definedName name="XX" localSheetId="6">'TR-LIMSA-03 (1)'!XX</definedName>
    <definedName name="XX">[0]!XX</definedName>
  </definedNames>
  <calcPr fullCalcOnLoad="1"/>
</workbook>
</file>

<file path=xl/comments19.xml><?xml version="1.0" encoding="utf-8"?>
<comments xmlns="http://schemas.openxmlformats.org/spreadsheetml/2006/main">
  <authors>
    <author>Ing. Juan Messina</author>
  </authors>
  <commentList>
    <comment ref="M50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4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20.xml><?xml version="1.0" encoding="utf-8"?>
<comments xmlns="http://schemas.openxmlformats.org/spreadsheetml/2006/main">
  <authors>
    <author>Ing. Juan Messina</author>
  </authors>
  <commentList>
    <comment ref="M64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68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65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21.xml><?xml version="1.0" encoding="utf-8"?>
<comments xmlns="http://schemas.openxmlformats.org/spreadsheetml/2006/main">
  <authors>
    <author>Ing. Juan Messina</author>
  </authors>
  <commentList>
    <comment ref="M7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74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77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78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7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8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8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9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<sst xmlns="http://schemas.openxmlformats.org/spreadsheetml/2006/main" count="2137" uniqueCount="538">
  <si>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</si>
  <si>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</si>
  <si>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</si>
  <si>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</si>
  <si>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</si>
  <si>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</si>
  <si>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</si>
  <si>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</si>
  <si>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IV LINEA</t>
  </si>
  <si>
    <t>Transportista Independiente INTESAR S.A. 3</t>
  </si>
  <si>
    <t>Transportista Independiente INTESAR S.A. 4</t>
  </si>
  <si>
    <t>Transportista Independiente L.I.M.S.A.</t>
  </si>
  <si>
    <t>2.-</t>
  </si>
  <si>
    <t>CONEXIÓN</t>
  </si>
  <si>
    <t>Transformación</t>
  </si>
  <si>
    <t>Transportista Independiente TIBA S.A.</t>
  </si>
  <si>
    <t>Salidas</t>
  </si>
  <si>
    <t>Transportista Independiene L.I.M.S.A.</t>
  </si>
  <si>
    <t>Transportista Independiene L.I.T.S.A.</t>
  </si>
  <si>
    <t>3.-</t>
  </si>
  <si>
    <t>POTENCIA REACTIVA</t>
  </si>
  <si>
    <t>4.-</t>
  </si>
  <si>
    <t>SUPERVISIÓN</t>
  </si>
  <si>
    <t>Transportista Independiente INTESAR 3</t>
  </si>
  <si>
    <t>Transportista Independiente INTESAR 4</t>
  </si>
  <si>
    <t>Transportista Independiente LIMSA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</si>
  <si>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</si>
  <si>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</si>
  <si>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</si>
  <si>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</si>
  <si>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</si>
  <si>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</si>
  <si>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</si>
  <si>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</si>
  <si>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</si>
  <si>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</si>
  <si>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</si>
  <si>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</si>
  <si>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</si>
  <si>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</si>
  <si>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</si>
  <si>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</si>
  <si>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</si>
  <si>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</si>
  <si>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</si>
  <si>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</si>
  <si>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</si>
  <si>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</si>
  <si>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</si>
  <si>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</si>
  <si>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</si>
  <si>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</si>
  <si>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</si>
  <si>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</si>
  <si>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</si>
  <si>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</si>
  <si>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</si>
  <si>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</si>
  <si>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</si>
  <si>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</si>
  <si>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</si>
  <si>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</si>
  <si>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</si>
  <si>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</si>
  <si>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</si>
  <si>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</si>
  <si>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</si>
  <si>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</si>
  <si>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</si>
  <si>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</si>
  <si>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</si>
  <si>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</si>
  <si>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</si>
  <si>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</si>
  <si>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</si>
  <si>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>-</t>
  </si>
  <si>
    <t>SISTEMA DE TRANSPORTE DE ENERGÍA ELÉCTRICA EN ALTA TENSIÓN  -  TRANSENER S.A.</t>
  </si>
  <si>
    <t>SI</t>
  </si>
  <si>
    <t>500/132/33</t>
  </si>
  <si>
    <t>500/132/13,2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</si>
  <si>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</si>
  <si>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</si>
  <si>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</si>
  <si>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</si>
  <si>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</si>
  <si>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</si>
  <si>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</si>
  <si>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</si>
  <si>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</si>
  <si>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</si>
  <si>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</si>
  <si>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</si>
  <si>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</si>
  <si>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</si>
  <si>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</si>
  <si>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</si>
  <si>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</si>
  <si>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</si>
  <si>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</si>
  <si>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</si>
  <si>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</si>
  <si>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</si>
  <si>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</si>
  <si>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</si>
  <si>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</si>
  <si>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</si>
  <si>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</si>
  <si>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</si>
  <si>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</si>
  <si>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</si>
  <si>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</si>
  <si>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</si>
  <si>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</si>
  <si>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</si>
  <si>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</si>
  <si>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</si>
  <si>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</si>
  <si>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</si>
  <si>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</si>
  <si>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</si>
  <si>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</si>
  <si>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</si>
  <si>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</si>
  <si>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</si>
  <si>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</si>
  <si>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</si>
  <si>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</si>
  <si>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</si>
  <si>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</si>
  <si>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</si>
  <si>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</si>
  <si>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</si>
  <si>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</si>
  <si>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</si>
  <si>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</si>
  <si>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</si>
  <si>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</si>
  <si>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</si>
  <si>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</si>
  <si>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TRANSENER_INDISPONIBILIDADES_LINEAS_TRANSENER.XLS</t>
  </si>
  <si>
    <t>MODELO L YACYLEC</t>
  </si>
  <si>
    <t>TRANSENER_INDISPONIBILIDADES_LINEAS_YACYLEC.XLS</t>
  </si>
  <si>
    <t>MODELO L LITSA</t>
  </si>
  <si>
    <t>TRANSENER_INDISPONIBILIDADES_LINEAS_LITSA.XLS</t>
  </si>
  <si>
    <t>MODELO L LITS2</t>
  </si>
  <si>
    <t>TRANSENER_INDISPONIBILIDADES_LINEAS_LITS2.XLS</t>
  </si>
  <si>
    <t>MODELO L LINSA</t>
  </si>
  <si>
    <t>TRANSENER_INDISPONIBILIDADES_LINEAS_LINSA.XLS</t>
  </si>
  <si>
    <t>MODELO L IV</t>
  </si>
  <si>
    <t>TRANSENER_INDISPONIBILIDADES_LINEAS_IV.XLS</t>
  </si>
  <si>
    <t>MODELO L INTESAR</t>
  </si>
  <si>
    <t>TRANSENER_INDISPONIBILIDADES_LINEAS_INTESAR.XLS</t>
  </si>
  <si>
    <t>MODELO L INTESA2</t>
  </si>
  <si>
    <t>TRANSENER_INDISPONIBILIDADES_LINEAS_INTESA2.XLS</t>
  </si>
  <si>
    <t>MODELO L INTESA3</t>
  </si>
  <si>
    <t>TRANSENER_INDISPONIBILIDADES_LINEAS_INTESA3.XLS</t>
  </si>
  <si>
    <t>MODELO L INTESA4</t>
  </si>
  <si>
    <t>TRANSENER_INDISPONIBILIDADES_LINEAS_INTESA4.XLS</t>
  </si>
  <si>
    <t>MODELO L CUYANA</t>
  </si>
  <si>
    <t>TRANSENER_INDISPONIBILIDADES_LINEAS_CUYANA.XLS</t>
  </si>
  <si>
    <t>MODELO L LIMSA</t>
  </si>
  <si>
    <t>TRANSENER_INDISPONIBILIDADES_LINEAS_LIMSA.XLS</t>
  </si>
  <si>
    <t>MODELO L RIOJA</t>
  </si>
  <si>
    <t>TRANSENER_INDISPONIBILIDADES_LINEAS_RIOJA.XLS</t>
  </si>
  <si>
    <t>MODELO T</t>
  </si>
  <si>
    <t>TRANSENER_INDISPONIBILIDADES_TRAFOS_TRANSENER.XLS</t>
  </si>
  <si>
    <t>MODELO T LITSA</t>
  </si>
  <si>
    <t>TRANSENER_INDISPONIBILIDADES_TRAFOS_LITSA.XLS</t>
  </si>
  <si>
    <t>MODELO T LITS2</t>
  </si>
  <si>
    <t>TRANSENER_INDISPONIBILIDADES_TRAFOS_LITS2.XLS</t>
  </si>
  <si>
    <t>MODELO T LINSA</t>
  </si>
  <si>
    <t>TRANSENER_INDISPONIBILIDADES_TRAFOS_LINSA.XLS</t>
  </si>
  <si>
    <t>MODELO T TIBA</t>
  </si>
  <si>
    <t>TRANSENER_INDISPONIBILIDADES_TRAFOS_TIBA.XLS</t>
  </si>
  <si>
    <t>MODELO T ENECOR</t>
  </si>
  <si>
    <t>TRANSENER_INDISPONIBILIDADES_TRAFOS_ENECOR.XLS</t>
  </si>
  <si>
    <t>MODELO T INTESAR</t>
  </si>
  <si>
    <t>TRANSENER_INDISPONIBILIDADES_TRAFOS_INTESAR.XLS</t>
  </si>
  <si>
    <t>MODELO T INTESA3</t>
  </si>
  <si>
    <t>TRANSENER_INDISPONIBILIDADES_TRAFOS_INTESA3.XLS</t>
  </si>
  <si>
    <t>MODELO T INTESA4</t>
  </si>
  <si>
    <t>TRANSENER_INDISPONIBILIDADES_TRAFOS_INTESA4.XLS</t>
  </si>
  <si>
    <t>MODELO T LIMSA</t>
  </si>
  <si>
    <t>TRANSENER_INDISPONIBILIDADES_TRAFOS_LIMSA.XLS</t>
  </si>
  <si>
    <t>MODELO T CUYANA</t>
  </si>
  <si>
    <t>TRANSENER_INDISPONIBILIDADES_TRAFOS_CUYANA.XLS</t>
  </si>
  <si>
    <t>MODELO T COBRA</t>
  </si>
  <si>
    <t>TRANSENER_INDISPONIBILIDADES_TRAFOS_COBRA.XLS</t>
  </si>
  <si>
    <t>MODELO S</t>
  </si>
  <si>
    <t>TRANSENER_INDISPONIBILIDADES_SALIDAS_TRANSENER.XLS</t>
  </si>
  <si>
    <t>MODELO S TIBA</t>
  </si>
  <si>
    <t>TRANSENER_INDISPONIBILIDADES_SALIDAS_TIBA.XLS</t>
  </si>
  <si>
    <t>MODELO S ENECOR</t>
  </si>
  <si>
    <t>TRANSENER_INDISPONIBILIDADES_SALIDAS_ENECOR.XLS</t>
  </si>
  <si>
    <t>MODELO S INTESA3</t>
  </si>
  <si>
    <t>TRANSENER_INDISPONIBILIDADES_SALIDAS_INTESA3.XLS</t>
  </si>
  <si>
    <t>MODELO S INTESA4</t>
  </si>
  <si>
    <t>TRANSENER_INDISPONIBILIDADES_SALIDAS_INTESA4.XLS</t>
  </si>
  <si>
    <t>MODELO S TESA</t>
  </si>
  <si>
    <t>TRANSENER_INDISPONIBILIDADES_SALIDAS_TESA.XLS</t>
  </si>
  <si>
    <t>MODELO S CTM</t>
  </si>
  <si>
    <t>TRANSENER_INDISPONIBILIDADES_SALIDAS_CTM.XLS</t>
  </si>
  <si>
    <t>MODELO S LIMSA</t>
  </si>
  <si>
    <t>TRANSENER_INDISPONIBILIDADES_SALIDAS_LIMSA.XLS</t>
  </si>
  <si>
    <t>MODELO S LITSA</t>
  </si>
  <si>
    <t>TRANSENER_INDISPONIBILIDADES_SALIDAS_LITSA.XLS</t>
  </si>
  <si>
    <t>MODELO S LITS2</t>
  </si>
  <si>
    <t>TRANSENER_INDISPONIBILIDADES_SALIDAS_LITS2.XLS</t>
  </si>
  <si>
    <t>MODELO S LINSA</t>
  </si>
  <si>
    <t>TRANSENER_INDISPONIBILIDADES_SALIDAS_LINSA.XLS</t>
  </si>
  <si>
    <t>MODELO R</t>
  </si>
  <si>
    <t>TRANSENER_INDISPONIBILIDADES_REACTIVOS_TRANSENER.XLS</t>
  </si>
  <si>
    <t>MODELO R YACYLEC</t>
  </si>
  <si>
    <t>TRANSENER_INDISPONIBILIDADES_REACTIVOS_YACYLEC.XLS</t>
  </si>
  <si>
    <t>MODELO R INTESAR</t>
  </si>
  <si>
    <t>TRANSENER_INDISPONIBILIDADES_REACTIVOS_INTESAR.XLS</t>
  </si>
  <si>
    <t>MODELO R INTESA2</t>
  </si>
  <si>
    <t>TRANSENER_INDISPONIBILIDADES_REACTIVOS_INTESA2.XLS</t>
  </si>
  <si>
    <t>MODELO R INTESA4</t>
  </si>
  <si>
    <t>TRANSENER_INDISPONIBILIDADES_REACTIVOS_INTESA4.XLS</t>
  </si>
  <si>
    <t>MODELO R LITSA</t>
  </si>
  <si>
    <t>TRANSENER_INDISPONIBILIDADES_REACTIVOS_LITSA.XLS</t>
  </si>
  <si>
    <t>MODELO R LITS2</t>
  </si>
  <si>
    <t>TRANSENER_INDISPONIBILIDADES_REACTIVOS_LITS2.XLS</t>
  </si>
  <si>
    <t>MODELO R LINSA</t>
  </si>
  <si>
    <t>TRANSENER_INDISPONIBILIDADES_REACTIVOS_LINSA.XLS</t>
  </si>
  <si>
    <t>MODELO R IV</t>
  </si>
  <si>
    <t>TRANSENER_INDISPONIBILIDADES_REACTIVOS_IV.XLS</t>
  </si>
  <si>
    <t>MODELO R LIMSA</t>
  </si>
  <si>
    <t>TRANSENER_INDISPONIBILIDADES_REACTIVOS_LIMSA.XLS</t>
  </si>
  <si>
    <t>SUP-YACYLEC</t>
  </si>
  <si>
    <t>SUP-LITSA</t>
  </si>
  <si>
    <t>SUP-LITS2</t>
  </si>
  <si>
    <t>SUP-TIBA</t>
  </si>
  <si>
    <t>SUP-ENECOR</t>
  </si>
  <si>
    <t>SUP-TESA</t>
  </si>
  <si>
    <t>SUP-CTM</t>
  </si>
  <si>
    <t>SUP-INTESAR</t>
  </si>
  <si>
    <t>SUP-INTESA2</t>
  </si>
  <si>
    <t>TRANSENER_INDISPONIBILIDADES_TRAFOS_INTESA2.XLS</t>
  </si>
  <si>
    <t>SUP-INTESA3</t>
  </si>
  <si>
    <t>SUP-INTESA4</t>
  </si>
  <si>
    <t>SUP-CUYANA</t>
  </si>
  <si>
    <t>SUP-LIMSA</t>
  </si>
  <si>
    <t>SUP-LINSA</t>
  </si>
  <si>
    <t>SUP-RIOJA</t>
  </si>
  <si>
    <t>SUP-COBRA</t>
  </si>
  <si>
    <t>MODELO VST</t>
  </si>
  <si>
    <t>TRANSENER_CAUSAS_VST.XLS</t>
  </si>
  <si>
    <t>DAG</t>
  </si>
  <si>
    <t>TRANSENER_INDISPONIBILIDADES_DAG.XLS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</si>
  <si>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</si>
  <si>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</si>
  <si>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</t>
  </si>
  <si>
    <t>EL BRACHO - RECREO</t>
  </si>
  <si>
    <t>B</t>
  </si>
  <si>
    <t>F</t>
  </si>
  <si>
    <t>ALICURA - P. DEL AGUILA 2</t>
  </si>
  <si>
    <t>C</t>
  </si>
  <si>
    <t>ALICURA - P. DEL AGUILA 1</t>
  </si>
  <si>
    <t>AGUA DEL CAJON - CHOCON OESTE</t>
  </si>
  <si>
    <t>ATUCHA I</t>
  </si>
  <si>
    <t>TRAFO</t>
  </si>
  <si>
    <t>EL CHOCON</t>
  </si>
  <si>
    <t>TRAFO T2</t>
  </si>
  <si>
    <t>TRAFO 4</t>
  </si>
  <si>
    <t>ALICURA</t>
  </si>
  <si>
    <t>SALIDA TRAFO MAQ. 1</t>
  </si>
  <si>
    <t>ABASTO</t>
  </si>
  <si>
    <t>SALIDA TRAFO 1</t>
  </si>
  <si>
    <t>ATUCHA</t>
  </si>
  <si>
    <t>RESISTENCIA</t>
  </si>
  <si>
    <t>SALIDA LINEA A BARRANQUERAS 1</t>
  </si>
  <si>
    <t>SANTO TOME</t>
  </si>
  <si>
    <t>SALIDA LINEA ESPERANZA</t>
  </si>
  <si>
    <t>P. BANDERITA</t>
  </si>
  <si>
    <t>SALIDA TRAFO MAQ. 1 Y 2</t>
  </si>
  <si>
    <t>SALIDA TRAFO MAQ. 3</t>
  </si>
  <si>
    <t>SALIDA CALCHINES</t>
  </si>
  <si>
    <t>SALIDA LINEA CORRIENTES 1</t>
  </si>
  <si>
    <t>PIEDRA DEL AGUILA</t>
  </si>
  <si>
    <t>SALIDA PICHI PICUN LEUFU</t>
  </si>
  <si>
    <t>RIO GRANDE</t>
  </si>
  <si>
    <t>SALIDA TRAFO MAQ. 3 Y 4</t>
  </si>
  <si>
    <t>SALIDA LINEA STA. FE OESTE 1</t>
  </si>
  <si>
    <t>VILLA LIA</t>
  </si>
  <si>
    <t>SALIDA TRAFO 220/132/13,2</t>
  </si>
  <si>
    <t>EZEIZA</t>
  </si>
  <si>
    <t>SALIDA A MAQ. GENELBA 1</t>
  </si>
  <si>
    <t xml:space="preserve">BAHIA BLANCA </t>
  </si>
  <si>
    <t>SALIDA A P. LURO</t>
  </si>
  <si>
    <t xml:space="preserve">CAMPANA </t>
  </si>
  <si>
    <t>SALIDA PRAXAIR</t>
  </si>
  <si>
    <t>BAHIA BLANCA</t>
  </si>
  <si>
    <t>SALIDA PETROQUIMICA 2</t>
  </si>
  <si>
    <t>OLAVARRIA</t>
  </si>
  <si>
    <t>SALIDA A L. NEGRA</t>
  </si>
  <si>
    <t>ATUCHA II - G. RODRIGUEZ</t>
  </si>
  <si>
    <t>Transportista Independiente INTESAR S.A. 5</t>
  </si>
  <si>
    <t>Transportista Independiente INTESAR 5</t>
  </si>
  <si>
    <t>Transportista Independiente L.I.T.S.A.</t>
  </si>
  <si>
    <t>2.1.3.-</t>
  </si>
  <si>
    <t>4.4.-</t>
  </si>
  <si>
    <t>RAMALLO - ATUCHA II</t>
  </si>
  <si>
    <t>A</t>
  </si>
  <si>
    <t>RECREO - EL BRACHO</t>
  </si>
  <si>
    <t>LUJAN SL - GRAN MZA.</t>
  </si>
  <si>
    <t>EL BRACHO</t>
  </si>
  <si>
    <t>TRAFO 1</t>
  </si>
  <si>
    <t>ROSARIO OESTE</t>
  </si>
  <si>
    <t>220/132/13,2</t>
  </si>
  <si>
    <t>TRAFO 2</t>
  </si>
  <si>
    <t>ARROYO CABRAL</t>
  </si>
  <si>
    <t>SALIDA ZARATE</t>
  </si>
  <si>
    <t>SALIDA BARRANQUERAS 2</t>
  </si>
  <si>
    <t>G. RODRIGUEZ</t>
  </si>
  <si>
    <t>SALIDA TRAFO 3</t>
  </si>
  <si>
    <t>SALIDA TRAFO MAQUINA 1 Y 2</t>
  </si>
  <si>
    <t>SALIDA BARRANQUERAS 1</t>
  </si>
  <si>
    <t>GENELBA (22)</t>
  </si>
  <si>
    <t>GENELBA (23)</t>
  </si>
  <si>
    <t>RINCON</t>
  </si>
  <si>
    <t>SALIDFA VIRASORO</t>
  </si>
  <si>
    <t>P- PROGRAMADA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</si>
  <si>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</si>
  <si>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 -</t>
  </si>
  <si>
    <t>N. P. MADRYN - SANTA CRUZ NORTE I</t>
  </si>
  <si>
    <t xml:space="preserve">P - PROGRAMADA </t>
  </si>
  <si>
    <t>1.4.- Transportista Independiente INTESAR S.A. 3 (N. P. MADRYN - SANTA CRUZ NORTE )</t>
  </si>
  <si>
    <t>A. CAJON - RIO DIAMANTE</t>
  </si>
  <si>
    <t>P - PROGRAMADA  ; F - FORZADA</t>
  </si>
  <si>
    <t>SALIDA PETROQUIMICA 3</t>
  </si>
  <si>
    <t xml:space="preserve">  P - PROGRAMADA </t>
  </si>
  <si>
    <t>EL BRACHO - COBOS 1</t>
  </si>
  <si>
    <t>1.2.- Transportista Independiente INTESAR S.A. 4 (Bracho - Cobos)</t>
  </si>
  <si>
    <t>1.3.- Transportista Independiente INTESAR S.A. 5 (Agua del Cajón - Río Diamante)</t>
  </si>
  <si>
    <t>MERCEDES</t>
  </si>
  <si>
    <t>SALIDA MARCEDES - DEPEC  1</t>
  </si>
  <si>
    <t>P - PROGRAMADA</t>
  </si>
  <si>
    <t xml:space="preserve"> 2.2.2.- Transportista Independiente LITSA</t>
  </si>
  <si>
    <t xml:space="preserve"> 2.2.3.- Transportista Independiente LIMSA</t>
  </si>
  <si>
    <t xml:space="preserve"> 2.2.4.- Transportista Independiente TIBA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</si>
  <si>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</si>
  <si>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</si>
  <si>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</si>
  <si>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</si>
  <si>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</si>
  <si>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CS1</t>
  </si>
  <si>
    <t>CS4</t>
  </si>
  <si>
    <t xml:space="preserve">(*)    </t>
  </si>
  <si>
    <t>No se computa por ser un capacitor serie</t>
  </si>
  <si>
    <t>BRACHO</t>
  </si>
  <si>
    <t>R1T1BR</t>
  </si>
  <si>
    <t>CS5</t>
  </si>
  <si>
    <t>CS6</t>
  </si>
  <si>
    <t>K4CL</t>
  </si>
  <si>
    <t>K1CL</t>
  </si>
  <si>
    <t>CHOEL   (*)</t>
  </si>
  <si>
    <t>RP</t>
  </si>
  <si>
    <t>OLAVARRIA    (*)</t>
  </si>
  <si>
    <t>KIOL</t>
  </si>
  <si>
    <t>P - PROGRAMADA  ; F - FORZADA  ; RP - REDUCCIÓN PROGRAMADA</t>
  </si>
  <si>
    <t>K (P)</t>
  </si>
  <si>
    <t>PENALIZACIÓN FORZADA
Por Salida     hs. Restantes</t>
  </si>
  <si>
    <t>A. CAJON - R. DIAMANTE 02</t>
  </si>
  <si>
    <t>R2L5AG</t>
  </si>
  <si>
    <t>A. CAJON - R. DIAMANTE 01</t>
  </si>
  <si>
    <t>RIL5AG</t>
  </si>
  <si>
    <t xml:space="preserve">  P - PROGRAMADA  ; F - FORZADA</t>
  </si>
  <si>
    <t>3.2.- Transportista Independiente INTESAR 5 (A. Cajón - R. Diamante)</t>
  </si>
  <si>
    <t>3.5.- IV LINEA</t>
  </si>
  <si>
    <t>K3CL</t>
  </si>
  <si>
    <t>CHOELE 3     (*)</t>
  </si>
  <si>
    <t>CHOELE 4    (*)</t>
  </si>
  <si>
    <t>(*)</t>
  </si>
  <si>
    <t>R6L5RS</t>
  </si>
  <si>
    <t>3.4.-  Transportista Independiente YACYLEC S.A.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</si>
  <si>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</si>
  <si>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</si>
  <si>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</si>
  <si>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</si>
  <si>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</si>
  <si>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</si>
  <si>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</si>
  <si>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</si>
  <si>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</si>
  <si>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</si>
  <si>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Remuneración CONEXIÓN de 500 kV      =</t>
  </si>
  <si>
    <t>Coef.penalización por salida forzada   =</t>
  </si>
  <si>
    <t>b)</t>
  </si>
  <si>
    <t>CS =</t>
  </si>
  <si>
    <t>c)</t>
  </si>
  <si>
    <t>Tipo 
Sal</t>
  </si>
  <si>
    <t>PENALIZACION FORZADA
Por Salida      1ras 5 hs.     hs. Restantes</t>
  </si>
  <si>
    <t>REDUCC. FORZADA
Por Salida        1ras 5 hs.      hs. Restantes</t>
  </si>
  <si>
    <t>REDUCC.
RESTANTE</t>
  </si>
  <si>
    <t>I</t>
  </si>
  <si>
    <t>II</t>
  </si>
  <si>
    <t>Tipo 
Sal.</t>
  </si>
  <si>
    <t>K (P;ENS)</t>
  </si>
  <si>
    <t>PENALIZAC. FORZADA
Por Salida    hs. Restantes</t>
  </si>
  <si>
    <t>III</t>
  </si>
  <si>
    <t>SM =</t>
  </si>
  <si>
    <t>d)</t>
  </si>
  <si>
    <t>LONG.</t>
  </si>
  <si>
    <t>U [kV]</t>
  </si>
  <si>
    <t>Cobos - Bracho</t>
  </si>
  <si>
    <t>Cobos - Juancito</t>
  </si>
  <si>
    <t>Cobos - M. Quemado</t>
  </si>
  <si>
    <t>POT. [MVA]</t>
  </si>
  <si>
    <t>E.T.</t>
  </si>
  <si>
    <t>SALIDA</t>
  </si>
  <si>
    <t>Cobos</t>
  </si>
  <si>
    <t>RM =</t>
  </si>
  <si>
    <t>RM * =</t>
  </si>
  <si>
    <t>e)</t>
  </si>
  <si>
    <t>SANCIÓN</t>
  </si>
  <si>
    <t>Sanción calculada</t>
  </si>
  <si>
    <t>TOTAL A PENALIZAR A TRANSENER S.A POR SUPERVISIÓN A INTESAR</t>
  </si>
  <si>
    <t>SANCIÓN =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</si>
  <si>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</si>
  <si>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</si>
  <si>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</si>
  <si>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</si>
  <si>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</si>
  <si>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</si>
  <si>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</si>
  <si>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</si>
  <si>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 xml:space="preserve">  RM *</t>
    </r>
    <r>
      <rPr>
        <sz val="12"/>
        <rFont val="Times New Roman"/>
        <family val="1"/>
      </rPr>
      <t xml:space="preserve"> = valor empleado para calcular </t>
    </r>
    <r>
      <rPr>
        <b/>
        <sz val="12"/>
        <rFont val="Times New Roman"/>
        <family val="1"/>
      </rPr>
      <t>CS</t>
    </r>
  </si>
  <si>
    <t>4.1.- Transportista Independiente INTESAR 4 (Bracho - Cobos)</t>
  </si>
  <si>
    <t>A. CAJON - R. DIAMANTE</t>
  </si>
  <si>
    <t>IV</t>
  </si>
  <si>
    <t>V</t>
  </si>
  <si>
    <t xml:space="preserve"> --</t>
  </si>
  <si>
    <t>R1L5AG</t>
  </si>
  <si>
    <t>A. Cajon - Río Diamante</t>
  </si>
  <si>
    <t>4.2.- Transportista Independiente INTESAR 5 (A. Cajón - Río Diamante)</t>
  </si>
  <si>
    <t>hs</t>
  </si>
  <si>
    <t>Coeficiente de penalización forzada=</t>
  </si>
  <si>
    <t>Rest %</t>
  </si>
  <si>
    <t>REDUC PROGR</t>
  </si>
  <si>
    <t>Línea Rincón - Resistencia</t>
  </si>
  <si>
    <t>3 Líneas Rincón - Yacyretá</t>
  </si>
  <si>
    <t>TOTAL A PENALIZAR A TRANSENER S.A POR SUPERVISIÓN A YACYLEC</t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</si>
  <si>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</si>
  <si>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</si>
  <si>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>4.7.- Transportista Independiente YACYLEC S.A.</t>
  </si>
  <si>
    <t xml:space="preserve">Salida en 500 kV en $/h </t>
  </si>
  <si>
    <t xml:space="preserve">Cargo por Transformador por MVA = </t>
  </si>
  <si>
    <t>Salida en 132 kV en $/h</t>
  </si>
  <si>
    <t>VI</t>
  </si>
  <si>
    <t>VII</t>
  </si>
  <si>
    <t>VIII</t>
  </si>
  <si>
    <t>IX</t>
  </si>
  <si>
    <t>X</t>
  </si>
  <si>
    <t>XI</t>
  </si>
  <si>
    <t>TRANSFORMADOR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</si>
  <si>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</si>
  <si>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</si>
  <si>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</si>
  <si>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</si>
  <si>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</si>
  <si>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</si>
  <si>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</si>
  <si>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</si>
  <si>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</si>
  <si>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RM: Por Capacitores ET  B. Blanca:</t>
  </si>
  <si>
    <t>100 MVAr</t>
  </si>
  <si>
    <t>RM *  =</t>
  </si>
  <si>
    <t>TOTAL A PENALIZAR A TRANSENER S.A POR SUPERVISIÓN A TIBA</t>
  </si>
  <si>
    <r>
      <t>RM</t>
    </r>
    <r>
      <rPr>
        <sz val="12"/>
        <rFont val="Times New Roman"/>
        <family val="1"/>
      </rPr>
      <t xml:space="preserve"> por Cargos de Conexión</t>
    </r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</si>
  <si>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</si>
  <si>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4.6.- Transportista Independiente  TIBA S.A.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</si>
  <si>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</si>
  <si>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</si>
  <si>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</si>
  <si>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</si>
  <si>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</si>
  <si>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</si>
  <si>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</si>
  <si>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</si>
  <si>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>Por Transformador por cada MVA  $ =</t>
  </si>
  <si>
    <t>TOTAL
PENALIZ.</t>
  </si>
  <si>
    <t>2.1.3.- Transportista Independiente LINEAS MESOPOTÁMICAS (LIMSA)</t>
  </si>
  <si>
    <t>Santa Cruz Norte I  - N.P.Madryn</t>
  </si>
  <si>
    <t>Santa cruz norte</t>
  </si>
  <si>
    <t>RM   =</t>
  </si>
  <si>
    <r>
      <t>RM *</t>
    </r>
    <r>
      <rPr>
        <sz val="14"/>
        <rFont val="Times New Roman"/>
        <family val="1"/>
      </rPr>
      <t xml:space="preserve"> =   SE EMPLEA PARA EL CÁLCULO DE    </t>
    </r>
    <r>
      <rPr>
        <b/>
        <sz val="14"/>
        <rFont val="Times New Roman"/>
        <family val="1"/>
      </rPr>
      <t>CS</t>
    </r>
  </si>
  <si>
    <t>4.3.- Transportista Independiente INTESAR S.A. 3</t>
  </si>
  <si>
    <t>Remuneración LÍNEAS 220 kV              =</t>
  </si>
  <si>
    <t>Remuneración SALIDA 132 kV             =</t>
  </si>
  <si>
    <t>$/hora</t>
  </si>
  <si>
    <t>Mercedes - Colonia Elía</t>
  </si>
  <si>
    <t>Rincon - Mercedes</t>
  </si>
  <si>
    <t>Mercedes</t>
  </si>
  <si>
    <t>DPEC 1</t>
  </si>
  <si>
    <t>DPEC 2</t>
  </si>
  <si>
    <t xml:space="preserve">RM  = </t>
  </si>
  <si>
    <t>TOTAL A PENALIZAR A TRANSENER S.A POR SUPERVISIÓN A LIMSA</t>
  </si>
  <si>
    <t>4.4.- Transportista Independiente Líneas Mesopotámicas S.A. (LIMSA)</t>
  </si>
  <si>
    <t>(DTE 0312)</t>
  </si>
  <si>
    <t>SALIDA MARCEDES - DEPEC  2</t>
  </si>
  <si>
    <t>Remuneración TRAFO S. ISIDRO    =</t>
  </si>
  <si>
    <t>Remuneración SALIDA 500 kV             =</t>
  </si>
  <si>
    <t>SALIDA VIRASORO</t>
  </si>
  <si>
    <t xml:space="preserve"> Rincón - Salto Grande</t>
  </si>
  <si>
    <t xml:space="preserve"> Rincón - San Isidro</t>
  </si>
  <si>
    <t>Rincón - TR06</t>
  </si>
  <si>
    <t>500/132</t>
  </si>
  <si>
    <t>Salto Grande - TR02</t>
  </si>
  <si>
    <t>500/132/13,8</t>
  </si>
  <si>
    <t>San Isidro -TR01</t>
  </si>
  <si>
    <t>San Isidro -TR02</t>
  </si>
  <si>
    <t>Rincón</t>
  </si>
  <si>
    <t>Ituzaingó, Ita Ibate, Virasoro</t>
  </si>
  <si>
    <t>Salto Grande</t>
  </si>
  <si>
    <t>Trafo 2 500/132 kV</t>
  </si>
  <si>
    <t>TOTAL A PENALIZAR A TRANSENER S.A POR SUPERVISIÓN A LITSA</t>
  </si>
  <si>
    <t>CAMPANA</t>
  </si>
  <si>
    <t>SALIDA A PRAXAIR</t>
  </si>
  <si>
    <t>SALIDA A LINEA P. BUENA 2</t>
  </si>
  <si>
    <t>OLAVARRÍA</t>
  </si>
  <si>
    <t>SALIDA A LOMA NEGRA</t>
  </si>
  <si>
    <t>4.5.- Transportista Independiente L.I.T.S.A.</t>
  </si>
  <si>
    <t>BRACHO - COBOS</t>
  </si>
  <si>
    <t>P- PROGRAMADA  ; F - FORZADA</t>
  </si>
  <si>
    <t>Desde el 01 al 31 de Marzo de 2012</t>
  </si>
  <si>
    <t>TOTAL DE PENALIZACIONES A APLICAR</t>
  </si>
  <si>
    <t xml:space="preserve">Valores remuneratorios según "Convenio de Renovación del Acuerdo Instrumental del Acta Acuerdo UNIREN - TRANSENER S.A."   (Dec. PEN Nº 1462/05) </t>
  </si>
  <si>
    <t xml:space="preserve">"Acuedo Instrumental del Acta Acuerdo UNIREN - TRANSBA" (Dec PEN Nº 1460/05) ; Res ENRE N° 523/09 ; Res ENRE Nº 397/10 y Res ENRE Nº 72/09 </t>
  </si>
  <si>
    <t>LUJAN  - RIO GRANDE</t>
  </si>
  <si>
    <t>SALIDA LINEA P BUENA 2</t>
  </si>
  <si>
    <t>TRANSFORMACION</t>
  </si>
  <si>
    <r>
      <t>RM</t>
    </r>
    <r>
      <rPr>
        <sz val="12"/>
        <rFont val="Times New Roman"/>
        <family val="1"/>
      </rPr>
      <t xml:space="preserve"> por Capacidad de transformacion</t>
    </r>
  </si>
  <si>
    <t>San Juancito</t>
  </si>
  <si>
    <t>Remuneración CONEXIÓN de 132 kV      =</t>
  </si>
  <si>
    <t>Correspondiente al mes de Marzo de 2012</t>
  </si>
  <si>
    <t>ANEXO IV al Memorándum D.T.E.E.  N° 783/ 2013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</si>
</sst>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[$USS]\ #,##0.00;[$USS]\ \-#,##0.00"/>
  </numFmts>
  <fonts count="1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Wingdings"/>
      <family val="0"/>
    </font>
    <font>
      <sz val="9"/>
      <name val="Times New Roman"/>
      <family val="1"/>
    </font>
    <font>
      <b/>
      <sz val="10"/>
      <name val="MS Sans Serif"/>
      <family val="2"/>
    </font>
    <font>
      <sz val="11"/>
      <color indexed="8"/>
      <name val="MS Sans Serif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0"/>
    </font>
    <font>
      <b/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2"/>
      <name val="MS Sans Serif"/>
      <family val="2"/>
    </font>
    <font>
      <sz val="14"/>
      <name val="MS Sans Serif"/>
      <family val="0"/>
    </font>
    <font>
      <b/>
      <sz val="14"/>
      <color indexed="8"/>
      <name val="Times New Roman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0" fillId="2" borderId="0" applyNumberFormat="0" applyBorder="0" applyAlignment="0" applyProtection="0"/>
    <xf numFmtId="0" fontId="140" fillId="3" borderId="0" applyNumberFormat="0" applyBorder="0" applyAlignment="0" applyProtection="0"/>
    <xf numFmtId="0" fontId="140" fillId="4" borderId="0" applyNumberFormat="0" applyBorder="0" applyAlignment="0" applyProtection="0"/>
    <xf numFmtId="0" fontId="140" fillId="5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40" fillId="8" borderId="0" applyNumberFormat="0" applyBorder="0" applyAlignment="0" applyProtection="0"/>
    <xf numFmtId="0" fontId="140" fillId="9" borderId="0" applyNumberFormat="0" applyBorder="0" applyAlignment="0" applyProtection="0"/>
    <xf numFmtId="0" fontId="140" fillId="10" borderId="0" applyNumberFormat="0" applyBorder="0" applyAlignment="0" applyProtection="0"/>
    <xf numFmtId="0" fontId="140" fillId="11" borderId="0" applyNumberFormat="0" applyBorder="0" applyAlignment="0" applyProtection="0"/>
    <xf numFmtId="0" fontId="140" fillId="12" borderId="0" applyNumberFormat="0" applyBorder="0" applyAlignment="0" applyProtection="0"/>
    <xf numFmtId="0" fontId="140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2" fillId="20" borderId="0" applyNumberFormat="0" applyBorder="0" applyAlignment="0" applyProtection="0"/>
    <xf numFmtId="0" fontId="143" fillId="21" borderId="1" applyNumberFormat="0" applyAlignment="0" applyProtection="0"/>
    <xf numFmtId="0" fontId="144" fillId="22" borderId="2" applyNumberFormat="0" applyAlignment="0" applyProtection="0"/>
    <xf numFmtId="0" fontId="145" fillId="0" borderId="3" applyNumberFormat="0" applyFill="0" applyAlignment="0" applyProtection="0"/>
    <xf numFmtId="0" fontId="146" fillId="0" borderId="0" applyNumberFormat="0" applyFill="0" applyBorder="0" applyAlignment="0" applyProtection="0"/>
    <xf numFmtId="0" fontId="141" fillId="23" borderId="0" applyNumberFormat="0" applyBorder="0" applyAlignment="0" applyProtection="0"/>
    <xf numFmtId="0" fontId="141" fillId="24" borderId="0" applyNumberFormat="0" applyBorder="0" applyAlignment="0" applyProtection="0"/>
    <xf numFmtId="0" fontId="141" fillId="25" borderId="0" applyNumberFormat="0" applyBorder="0" applyAlignment="0" applyProtection="0"/>
    <xf numFmtId="0" fontId="141" fillId="26" borderId="0" applyNumberFormat="0" applyBorder="0" applyAlignment="0" applyProtection="0"/>
    <xf numFmtId="0" fontId="141" fillId="27" borderId="0" applyNumberFormat="0" applyBorder="0" applyAlignment="0" applyProtection="0"/>
    <xf numFmtId="0" fontId="141" fillId="28" borderId="0" applyNumberFormat="0" applyBorder="0" applyAlignment="0" applyProtection="0"/>
    <xf numFmtId="0" fontId="1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50" fillId="21" borderId="5" applyNumberFormat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6" applyNumberFormat="0" applyFill="0" applyAlignment="0" applyProtection="0"/>
    <xf numFmtId="0" fontId="155" fillId="0" borderId="7" applyNumberFormat="0" applyFill="0" applyAlignment="0" applyProtection="0"/>
    <xf numFmtId="0" fontId="146" fillId="0" borderId="8" applyNumberFormat="0" applyFill="0" applyAlignment="0" applyProtection="0"/>
    <xf numFmtId="0" fontId="156" fillId="0" borderId="9" applyNumberFormat="0" applyFill="0" applyAlignment="0" applyProtection="0"/>
  </cellStyleXfs>
  <cellXfs count="2853">
    <xf numFmtId="0" fontId="0" fillId="0" borderId="0" xfId="0" applyAlignment="1">
      <alignment/>
    </xf>
    <xf numFmtId="0" fontId="8" fillId="0" borderId="0" xfId="67" applyFont="1" quotePrefix="1">
      <alignment/>
      <protection/>
    </xf>
    <xf numFmtId="0" fontId="9" fillId="0" borderId="0" xfId="67" applyFont="1" applyAlignment="1">
      <alignment horizontal="centerContinuous"/>
      <protection/>
    </xf>
    <xf numFmtId="0" fontId="8" fillId="0" borderId="0" xfId="67" applyFont="1">
      <alignment/>
      <protection/>
    </xf>
    <xf numFmtId="0" fontId="10" fillId="0" borderId="0" xfId="67" applyFont="1" applyBorder="1">
      <alignment/>
      <protection/>
    </xf>
    <xf numFmtId="0" fontId="11" fillId="0" borderId="0" xfId="67" applyFont="1" applyAlignment="1">
      <alignment horizontal="right" vertical="top"/>
      <protection/>
    </xf>
    <xf numFmtId="0" fontId="12" fillId="0" borderId="0" xfId="67" applyFont="1" applyAlignment="1">
      <alignment horizontal="centerContinuous"/>
      <protection/>
    </xf>
    <xf numFmtId="0" fontId="8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3" fillId="0" borderId="0" xfId="67">
      <alignment/>
      <protection/>
    </xf>
    <xf numFmtId="0" fontId="13" fillId="0" borderId="0" xfId="67" applyFont="1" applyAlignment="1">
      <alignment horizontal="centerContinuous"/>
      <protection/>
    </xf>
    <xf numFmtId="0" fontId="13" fillId="0" borderId="0" xfId="67" applyFont="1" applyBorder="1">
      <alignment/>
      <protection/>
    </xf>
    <xf numFmtId="0" fontId="6" fillId="0" borderId="0" xfId="67" applyFont="1" applyFill="1" applyBorder="1" applyAlignment="1" applyProtection="1">
      <alignment horizontal="centerContinuous"/>
      <protection/>
    </xf>
    <xf numFmtId="0" fontId="14" fillId="0" borderId="0" xfId="67" applyNumberFormat="1" applyFont="1" applyAlignment="1">
      <alignment horizontal="left"/>
      <protection/>
    </xf>
    <xf numFmtId="0" fontId="14" fillId="0" borderId="0" xfId="67" applyFont="1">
      <alignment/>
      <protection/>
    </xf>
    <xf numFmtId="0" fontId="14" fillId="0" borderId="0" xfId="67" applyFont="1" applyBorder="1">
      <alignment/>
      <protection/>
    </xf>
    <xf numFmtId="0" fontId="15" fillId="0" borderId="0" xfId="67" applyFont="1" applyFill="1" applyBorder="1" applyAlignment="1" applyProtection="1">
      <alignment horizontal="left"/>
      <protection/>
    </xf>
    <xf numFmtId="0" fontId="8" fillId="0" borderId="0" xfId="67" applyFont="1" applyBorder="1">
      <alignment/>
      <protection/>
    </xf>
    <xf numFmtId="0" fontId="16" fillId="0" borderId="0" xfId="67" applyFont="1">
      <alignment/>
      <protection/>
    </xf>
    <xf numFmtId="0" fontId="17" fillId="0" borderId="0" xfId="67" applyFont="1" applyBorder="1" applyAlignment="1">
      <alignment horizontal="centerContinuous"/>
      <protection/>
    </xf>
    <xf numFmtId="0" fontId="18" fillId="0" borderId="0" xfId="67" applyFont="1" applyAlignment="1">
      <alignment horizontal="centerContinuous"/>
      <protection/>
    </xf>
    <xf numFmtId="0" fontId="16" fillId="0" borderId="0" xfId="67" applyFont="1" applyAlignment="1">
      <alignment horizontal="centerContinuous"/>
      <protection/>
    </xf>
    <xf numFmtId="0" fontId="16" fillId="0" borderId="0" xfId="67" applyFont="1" applyBorder="1" applyAlignment="1">
      <alignment horizontal="centerContinuous"/>
      <protection/>
    </xf>
    <xf numFmtId="0" fontId="16" fillId="0" borderId="0" xfId="67" applyFont="1" applyBorder="1">
      <alignment/>
      <protection/>
    </xf>
    <xf numFmtId="0" fontId="19" fillId="0" borderId="0" xfId="67" applyFont="1">
      <alignment/>
      <protection/>
    </xf>
    <xf numFmtId="0" fontId="3" fillId="0" borderId="0" xfId="67" applyAlignment="1">
      <alignment horizontal="centerContinuous"/>
      <protection/>
    </xf>
    <xf numFmtId="0" fontId="20" fillId="0" borderId="0" xfId="67" applyFont="1" applyAlignment="1">
      <alignment horizontal="centerContinuous"/>
      <protection/>
    </xf>
    <xf numFmtId="0" fontId="21" fillId="0" borderId="0" xfId="67" applyFont="1">
      <alignment/>
      <protection/>
    </xf>
    <xf numFmtId="0" fontId="22" fillId="0" borderId="0" xfId="67" applyFont="1" applyBorder="1">
      <alignment/>
      <protection/>
    </xf>
    <xf numFmtId="0" fontId="21" fillId="0" borderId="0" xfId="67" applyFont="1" applyBorder="1">
      <alignment/>
      <protection/>
    </xf>
    <xf numFmtId="0" fontId="21" fillId="0" borderId="10" xfId="67" applyFont="1" applyBorder="1">
      <alignment/>
      <protection/>
    </xf>
    <xf numFmtId="0" fontId="21" fillId="0" borderId="11" xfId="67" applyFont="1" applyBorder="1">
      <alignment/>
      <protection/>
    </xf>
    <xf numFmtId="182" fontId="21" fillId="0" borderId="11" xfId="67" applyNumberFormat="1" applyFont="1" applyBorder="1">
      <alignment/>
      <protection/>
    </xf>
    <xf numFmtId="0" fontId="21" fillId="0" borderId="12" xfId="67" applyFont="1" applyBorder="1">
      <alignment/>
      <protection/>
    </xf>
    <xf numFmtId="0" fontId="23" fillId="0" borderId="0" xfId="67" applyFont="1">
      <alignment/>
      <protection/>
    </xf>
    <xf numFmtId="0" fontId="24" fillId="0" borderId="13" xfId="67" applyFont="1" applyBorder="1" applyAlignment="1">
      <alignment horizontal="centerContinuous"/>
      <protection/>
    </xf>
    <xf numFmtId="0" fontId="3" fillId="0" borderId="0" xfId="67" applyNumberFormat="1" applyAlignment="1">
      <alignment horizontal="centerContinuous"/>
      <protection/>
    </xf>
    <xf numFmtId="0" fontId="23" fillId="0" borderId="0" xfId="67" applyNumberFormat="1" applyFont="1" applyAlignment="1">
      <alignment horizontal="centerContinuous"/>
      <protection/>
    </xf>
    <xf numFmtId="182" fontId="24" fillId="0" borderId="0" xfId="67" applyNumberFormat="1" applyFont="1" applyBorder="1" applyAlignment="1">
      <alignment horizontal="centerContinuous"/>
      <protection/>
    </xf>
    <xf numFmtId="0" fontId="24" fillId="0" borderId="0" xfId="67" applyFont="1" applyBorder="1" applyAlignment="1">
      <alignment horizontal="centerContinuous"/>
      <protection/>
    </xf>
    <xf numFmtId="0" fontId="23" fillId="0" borderId="0" xfId="67" applyFont="1" applyBorder="1" applyAlignment="1">
      <alignment horizontal="centerContinuous"/>
      <protection/>
    </xf>
    <xf numFmtId="0" fontId="23" fillId="0" borderId="14" xfId="67" applyFont="1" applyBorder="1" applyAlignment="1">
      <alignment horizontal="centerContinuous"/>
      <protection/>
    </xf>
    <xf numFmtId="0" fontId="23" fillId="0" borderId="0" xfId="67" applyFont="1" applyBorder="1">
      <alignment/>
      <protection/>
    </xf>
    <xf numFmtId="0" fontId="23" fillId="0" borderId="13" xfId="67" applyFont="1" applyBorder="1">
      <alignment/>
      <protection/>
    </xf>
    <xf numFmtId="0" fontId="10" fillId="0" borderId="0" xfId="67" applyNumberFormat="1" applyFont="1" applyBorder="1" applyAlignment="1">
      <alignment horizontal="right"/>
      <protection/>
    </xf>
    <xf numFmtId="181" fontId="10" fillId="0" borderId="0" xfId="67" applyNumberFormat="1" applyFont="1" applyBorder="1" applyAlignment="1">
      <alignment horizontal="right"/>
      <protection/>
    </xf>
    <xf numFmtId="182" fontId="23" fillId="0" borderId="0" xfId="67" applyNumberFormat="1" applyFont="1" applyBorder="1">
      <alignment/>
      <protection/>
    </xf>
    <xf numFmtId="0" fontId="24" fillId="0" borderId="0" xfId="67" applyFont="1" applyBorder="1">
      <alignment/>
      <protection/>
    </xf>
    <xf numFmtId="0" fontId="23" fillId="0" borderId="14" xfId="67" applyFont="1" applyBorder="1">
      <alignment/>
      <protection/>
    </xf>
    <xf numFmtId="0" fontId="10" fillId="0" borderId="0" xfId="67" applyNumberFormat="1" applyFont="1" applyBorder="1" applyAlignment="1">
      <alignment horizontal="right"/>
      <protection/>
    </xf>
    <xf numFmtId="7" fontId="10" fillId="0" borderId="0" xfId="67" applyNumberFormat="1" applyFont="1" applyBorder="1" applyAlignment="1">
      <alignment horizontal="right"/>
      <protection/>
    </xf>
    <xf numFmtId="182" fontId="10" fillId="0" borderId="0" xfId="67" applyNumberFormat="1" applyFont="1" applyBorder="1">
      <alignment/>
      <protection/>
    </xf>
    <xf numFmtId="182" fontId="10" fillId="0" borderId="0" xfId="67" applyNumberFormat="1" applyFont="1" applyBorder="1">
      <alignment/>
      <protection/>
    </xf>
    <xf numFmtId="0" fontId="24" fillId="0" borderId="0" xfId="67" applyFont="1" applyBorder="1">
      <alignment/>
      <protection/>
    </xf>
    <xf numFmtId="7" fontId="10" fillId="0" borderId="0" xfId="67" applyNumberFormat="1" applyFont="1" applyBorder="1" applyAlignment="1">
      <alignment horizontal="right"/>
      <protection/>
    </xf>
    <xf numFmtId="0" fontId="13" fillId="0" borderId="13" xfId="67" applyFont="1" applyBorder="1">
      <alignment/>
      <protection/>
    </xf>
    <xf numFmtId="0" fontId="5" fillId="0" borderId="0" xfId="67" applyNumberFormat="1" applyFont="1" applyBorder="1" applyAlignment="1">
      <alignment horizontal="right"/>
      <protection/>
    </xf>
    <xf numFmtId="182" fontId="13" fillId="0" borderId="0" xfId="67" applyNumberFormat="1" applyFont="1" applyBorder="1">
      <alignment/>
      <protection/>
    </xf>
    <xf numFmtId="0" fontId="25" fillId="0" borderId="0" xfId="67" applyFont="1" applyBorder="1">
      <alignment/>
      <protection/>
    </xf>
    <xf numFmtId="7" fontId="5" fillId="0" borderId="0" xfId="67" applyNumberFormat="1" applyFont="1" applyBorder="1" applyAlignment="1">
      <alignment horizontal="right"/>
      <protection/>
    </xf>
    <xf numFmtId="0" fontId="13" fillId="0" borderId="14" xfId="67" applyFont="1" applyBorder="1">
      <alignment/>
      <protection/>
    </xf>
    <xf numFmtId="181" fontId="10" fillId="0" borderId="0" xfId="67" applyNumberFormat="1" applyFont="1" applyBorder="1" applyAlignment="1">
      <alignment horizontal="left"/>
      <protection/>
    </xf>
    <xf numFmtId="182" fontId="23" fillId="0" borderId="0" xfId="67" applyNumberFormat="1" applyFont="1" applyBorder="1">
      <alignment/>
      <protection/>
    </xf>
    <xf numFmtId="182" fontId="10" fillId="0" borderId="0" xfId="67" applyNumberFormat="1" applyFont="1" applyBorder="1" applyAlignment="1">
      <alignment horizontal="right"/>
      <protection/>
    </xf>
    <xf numFmtId="0" fontId="10" fillId="0" borderId="0" xfId="67" applyFont="1" applyBorder="1">
      <alignment/>
      <protection/>
    </xf>
    <xf numFmtId="182" fontId="10" fillId="0" borderId="0" xfId="67" applyNumberFormat="1" applyFont="1" applyBorder="1" applyAlignment="1">
      <alignment horizontal="right"/>
      <protection/>
    </xf>
    <xf numFmtId="182" fontId="13" fillId="0" borderId="0" xfId="67" applyNumberFormat="1" applyFont="1" applyBorder="1">
      <alignment/>
      <protection/>
    </xf>
    <xf numFmtId="0" fontId="25" fillId="0" borderId="0" xfId="67" applyFont="1" applyBorder="1">
      <alignment/>
      <protection/>
    </xf>
    <xf numFmtId="7" fontId="5" fillId="0" borderId="0" xfId="67" applyNumberFormat="1" applyFont="1" applyBorder="1" applyAlignment="1">
      <alignment horizontal="right"/>
      <protection/>
    </xf>
    <xf numFmtId="0" fontId="26" fillId="0" borderId="0" xfId="67" applyFont="1" applyBorder="1">
      <alignment/>
      <protection/>
    </xf>
    <xf numFmtId="0" fontId="10" fillId="0" borderId="15" xfId="67" applyFont="1" applyBorder="1" applyAlignment="1">
      <alignment horizontal="center"/>
      <protection/>
    </xf>
    <xf numFmtId="7" fontId="10" fillId="0" borderId="16" xfId="67" applyNumberFormat="1" applyFont="1" applyBorder="1" applyAlignment="1">
      <alignment horizontal="center"/>
      <protection/>
    </xf>
    <xf numFmtId="7" fontId="10" fillId="0" borderId="0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"/>
      <protection/>
    </xf>
    <xf numFmtId="0" fontId="27" fillId="0" borderId="0" xfId="67" applyNumberFormat="1" applyFont="1" applyBorder="1" applyAlignment="1">
      <alignment horizontal="left"/>
      <protection/>
    </xf>
    <xf numFmtId="0" fontId="28" fillId="0" borderId="0" xfId="67" applyFont="1">
      <alignment/>
      <protection/>
    </xf>
    <xf numFmtId="0" fontId="21" fillId="0" borderId="17" xfId="67" applyFont="1" applyBorder="1">
      <alignment/>
      <protection/>
    </xf>
    <xf numFmtId="0" fontId="21" fillId="0" borderId="18" xfId="67" applyNumberFormat="1" applyFont="1" applyBorder="1">
      <alignment/>
      <protection/>
    </xf>
    <xf numFmtId="0" fontId="21" fillId="0" borderId="18" xfId="67" applyFont="1" applyBorder="1">
      <alignment/>
      <protection/>
    </xf>
    <xf numFmtId="0" fontId="21" fillId="0" borderId="19" xfId="67" applyFont="1" applyBorder="1">
      <alignment/>
      <protection/>
    </xf>
    <xf numFmtId="0" fontId="21" fillId="0" borderId="0" xfId="67" applyFont="1" applyFill="1" applyBorder="1">
      <alignment/>
      <protection/>
    </xf>
    <xf numFmtId="4" fontId="21" fillId="0" borderId="0" xfId="67" applyNumberFormat="1" applyFont="1" applyFill="1" applyBorder="1">
      <alignment/>
      <protection/>
    </xf>
    <xf numFmtId="7" fontId="21" fillId="0" borderId="0" xfId="67" applyNumberFormat="1" applyFont="1" applyBorder="1">
      <alignment/>
      <protection/>
    </xf>
    <xf numFmtId="168" fontId="21" fillId="0" borderId="0" xfId="67" applyNumberFormat="1" applyFont="1" applyBorder="1" applyAlignment="1">
      <alignment horizontal="center"/>
      <protection/>
    </xf>
    <xf numFmtId="0" fontId="13" fillId="0" borderId="0" xfId="67" applyFont="1" applyFill="1" applyBorder="1">
      <alignment/>
      <protection/>
    </xf>
    <xf numFmtId="4" fontId="13" fillId="0" borderId="0" xfId="67" applyNumberFormat="1" applyFont="1" applyFill="1" applyBorder="1">
      <alignment/>
      <protection/>
    </xf>
    <xf numFmtId="0" fontId="13" fillId="0" borderId="0" xfId="67" applyFont="1" applyBorder="1" applyAlignment="1">
      <alignment horizontal="center"/>
      <protection/>
    </xf>
    <xf numFmtId="4" fontId="13" fillId="0" borderId="0" xfId="67" applyNumberFormat="1" applyFont="1" applyBorder="1">
      <alignment/>
      <protection/>
    </xf>
    <xf numFmtId="4" fontId="5" fillId="0" borderId="0" xfId="67" applyNumberFormat="1" applyFont="1" applyBorder="1" applyAlignment="1">
      <alignment horizontal="center"/>
      <protection/>
    </xf>
    <xf numFmtId="0" fontId="8" fillId="0" borderId="0" xfId="67" applyFont="1" applyFill="1">
      <alignment/>
      <protection/>
    </xf>
    <xf numFmtId="0" fontId="13" fillId="0" borderId="0" xfId="67" applyFont="1" applyFill="1">
      <alignment/>
      <protection/>
    </xf>
    <xf numFmtId="0" fontId="14" fillId="0" borderId="0" xfId="67" applyFont="1" applyAlignment="1">
      <alignment horizontal="centerContinuous"/>
      <protection/>
    </xf>
    <xf numFmtId="0" fontId="13" fillId="0" borderId="10" xfId="67" applyFont="1" applyBorder="1">
      <alignment/>
      <protection/>
    </xf>
    <xf numFmtId="0" fontId="13" fillId="0" borderId="11" xfId="67" applyFont="1" applyBorder="1">
      <alignment/>
      <protection/>
    </xf>
    <xf numFmtId="0" fontId="13" fillId="0" borderId="11" xfId="67" applyFont="1" applyBorder="1" applyAlignment="1" applyProtection="1">
      <alignment horizontal="left"/>
      <protection/>
    </xf>
    <xf numFmtId="0" fontId="13" fillId="0" borderId="12" xfId="67" applyFont="1" applyFill="1" applyBorder="1">
      <alignment/>
      <protection/>
    </xf>
    <xf numFmtId="0" fontId="16" fillId="0" borderId="13" xfId="67" applyFont="1" applyBorder="1">
      <alignment/>
      <protection/>
    </xf>
    <xf numFmtId="0" fontId="20" fillId="0" borderId="0" xfId="67" applyFont="1" applyBorder="1" applyAlignment="1">
      <alignment horizontal="left"/>
      <protection/>
    </xf>
    <xf numFmtId="0" fontId="20" fillId="0" borderId="0" xfId="67" applyFont="1" applyBorder="1">
      <alignment/>
      <protection/>
    </xf>
    <xf numFmtId="0" fontId="16" fillId="0" borderId="14" xfId="67" applyFont="1" applyFill="1" applyBorder="1">
      <alignment/>
      <protection/>
    </xf>
    <xf numFmtId="0" fontId="13" fillId="0" borderId="14" xfId="67" applyFont="1" applyFill="1" applyBorder="1">
      <alignment/>
      <protection/>
    </xf>
    <xf numFmtId="0" fontId="13" fillId="0" borderId="0" xfId="67" applyFont="1" applyBorder="1" applyProtection="1">
      <alignment/>
      <protection/>
    </xf>
    <xf numFmtId="0" fontId="24" fillId="0" borderId="0" xfId="67" applyFont="1" applyAlignment="1">
      <alignment horizontal="centerContinuous"/>
      <protection/>
    </xf>
    <xf numFmtId="0" fontId="24" fillId="0" borderId="14" xfId="67" applyFont="1" applyFill="1" applyBorder="1" applyAlignment="1">
      <alignment horizontal="centerContinuous"/>
      <protection/>
    </xf>
    <xf numFmtId="0" fontId="25" fillId="0" borderId="0" xfId="67" applyFont="1" applyBorder="1" applyAlignment="1">
      <alignment horizontal="left"/>
      <protection/>
    </xf>
    <xf numFmtId="0" fontId="3" fillId="0" borderId="15" xfId="67" applyFont="1" applyBorder="1" applyAlignment="1" applyProtection="1">
      <alignment horizontal="center"/>
      <protection/>
    </xf>
    <xf numFmtId="174" fontId="0" fillId="0" borderId="15" xfId="67" applyNumberFormat="1" applyFont="1" applyBorder="1" applyAlignment="1">
      <alignment horizontal="centerContinuous"/>
      <protection/>
    </xf>
    <xf numFmtId="0" fontId="3" fillId="0" borderId="16" xfId="67" applyBorder="1" applyAlignment="1">
      <alignment horizontal="centerContinuous"/>
      <protection/>
    </xf>
    <xf numFmtId="0" fontId="3" fillId="0" borderId="0" xfId="67" applyFont="1" applyBorder="1" applyAlignment="1" applyProtection="1">
      <alignment horizontal="center"/>
      <protection/>
    </xf>
    <xf numFmtId="174" fontId="3" fillId="0" borderId="0" xfId="67" applyNumberFormat="1" applyFont="1" applyBorder="1" applyAlignment="1">
      <alignment horizontal="centerContinuous"/>
      <protection/>
    </xf>
    <xf numFmtId="22" fontId="13" fillId="0" borderId="0" xfId="67" applyNumberFormat="1" applyFont="1" applyBorder="1">
      <alignment/>
      <protection/>
    </xf>
    <xf numFmtId="0" fontId="29" fillId="0" borderId="0" xfId="67" applyFont="1" applyBorder="1">
      <alignment/>
      <protection/>
    </xf>
    <xf numFmtId="0" fontId="30" fillId="0" borderId="20" xfId="67" applyFont="1" applyBorder="1" applyAlignment="1">
      <alignment horizontal="center" vertical="center"/>
      <protection/>
    </xf>
    <xf numFmtId="0" fontId="30" fillId="0" borderId="20" xfId="67" applyFont="1" applyBorder="1" applyAlignment="1" applyProtection="1">
      <alignment horizontal="center" vertical="center"/>
      <protection/>
    </xf>
    <xf numFmtId="164" fontId="30" fillId="0" borderId="20" xfId="67" applyNumberFormat="1" applyFont="1" applyBorder="1" applyAlignment="1" applyProtection="1">
      <alignment horizontal="center" vertical="center" wrapText="1"/>
      <protection/>
    </xf>
    <xf numFmtId="0" fontId="30" fillId="0" borderId="20" xfId="67" applyFont="1" applyBorder="1" applyAlignment="1" applyProtection="1">
      <alignment horizontal="center" vertical="center" wrapText="1"/>
      <protection/>
    </xf>
    <xf numFmtId="168" fontId="30" fillId="0" borderId="20" xfId="67" applyNumberFormat="1" applyFont="1" applyBorder="1" applyAlignment="1" applyProtection="1">
      <alignment horizontal="center" vertical="center"/>
      <protection/>
    </xf>
    <xf numFmtId="168" fontId="31" fillId="33" borderId="20" xfId="67" applyNumberFormat="1" applyFont="1" applyFill="1" applyBorder="1" applyAlignment="1" applyProtection="1">
      <alignment horizontal="center" vertical="center"/>
      <protection/>
    </xf>
    <xf numFmtId="0" fontId="32" fillId="34" borderId="20" xfId="67" applyFont="1" applyFill="1" applyBorder="1" applyAlignment="1" applyProtection="1">
      <alignment horizontal="center" vertical="center"/>
      <protection/>
    </xf>
    <xf numFmtId="0" fontId="30" fillId="0" borderId="15" xfId="67" applyFont="1" applyBorder="1" applyAlignment="1" applyProtection="1">
      <alignment horizontal="center" vertical="center"/>
      <protection/>
    </xf>
    <xf numFmtId="0" fontId="30" fillId="0" borderId="15" xfId="67" applyFont="1" applyBorder="1" applyAlignment="1" applyProtection="1">
      <alignment horizontal="center" vertical="center" wrapText="1"/>
      <protection/>
    </xf>
    <xf numFmtId="0" fontId="34" fillId="35" borderId="20" xfId="67" applyFont="1" applyFill="1" applyBorder="1" applyAlignment="1">
      <alignment horizontal="center" vertical="center" wrapText="1"/>
      <protection/>
    </xf>
    <xf numFmtId="0" fontId="35" fillId="36" borderId="20" xfId="67" applyFont="1" applyFill="1" applyBorder="1" applyAlignment="1">
      <alignment horizontal="center" vertical="center" wrapText="1"/>
      <protection/>
    </xf>
    <xf numFmtId="0" fontId="36" fillId="37" borderId="15" xfId="67" applyFont="1" applyFill="1" applyBorder="1" applyAlignment="1" applyProtection="1">
      <alignment horizontal="centerContinuous" vertical="center" wrapText="1"/>
      <protection/>
    </xf>
    <xf numFmtId="0" fontId="7" fillId="37" borderId="21" xfId="67" applyFont="1" applyFill="1" applyBorder="1" applyAlignment="1">
      <alignment horizontal="centerContinuous"/>
      <protection/>
    </xf>
    <xf numFmtId="0" fontId="36" fillId="37" borderId="16" xfId="67" applyFont="1" applyFill="1" applyBorder="1" applyAlignment="1">
      <alignment horizontal="centerContinuous" vertical="center"/>
      <protection/>
    </xf>
    <xf numFmtId="0" fontId="37" fillId="38" borderId="15" xfId="67" applyFont="1" applyFill="1" applyBorder="1" applyAlignment="1">
      <alignment horizontal="centerContinuous" vertical="center" wrapText="1"/>
      <protection/>
    </xf>
    <xf numFmtId="0" fontId="38" fillId="38" borderId="21" xfId="67" applyFont="1" applyFill="1" applyBorder="1" applyAlignment="1">
      <alignment horizontal="centerContinuous"/>
      <protection/>
    </xf>
    <xf numFmtId="0" fontId="37" fillId="38" borderId="16" xfId="67" applyFont="1" applyFill="1" applyBorder="1" applyAlignment="1">
      <alignment horizontal="centerContinuous" vertical="center"/>
      <protection/>
    </xf>
    <xf numFmtId="0" fontId="39" fillId="39" borderId="20" xfId="67" applyFont="1" applyFill="1" applyBorder="1" applyAlignment="1">
      <alignment horizontal="center" vertical="center" wrapText="1"/>
      <protection/>
    </xf>
    <xf numFmtId="0" fontId="40" fillId="40" borderId="20" xfId="67" applyFont="1" applyFill="1" applyBorder="1" applyAlignment="1">
      <alignment horizontal="center" vertical="center" wrapText="1"/>
      <protection/>
    </xf>
    <xf numFmtId="0" fontId="30" fillId="0" borderId="20" xfId="67" applyFont="1" applyBorder="1" applyAlignment="1">
      <alignment horizontal="center" vertical="center" wrapText="1"/>
      <protection/>
    </xf>
    <xf numFmtId="0" fontId="13" fillId="0" borderId="14" xfId="67" applyFont="1" applyFill="1" applyBorder="1" applyAlignment="1">
      <alignment horizontal="center"/>
      <protection/>
    </xf>
    <xf numFmtId="0" fontId="13" fillId="0" borderId="22" xfId="67" applyFont="1" applyBorder="1">
      <alignment/>
      <protection/>
    </xf>
    <xf numFmtId="0" fontId="13" fillId="0" borderId="22" xfId="67" applyFont="1" applyFill="1" applyBorder="1" applyAlignment="1">
      <alignment horizontal="center"/>
      <protection/>
    </xf>
    <xf numFmtId="170" fontId="13" fillId="0" borderId="22" xfId="67" applyNumberFormat="1" applyFont="1" applyFill="1" applyBorder="1">
      <alignment/>
      <protection/>
    </xf>
    <xf numFmtId="0" fontId="13" fillId="0" borderId="22" xfId="67" applyFont="1" applyFill="1" applyBorder="1">
      <alignment/>
      <protection/>
    </xf>
    <xf numFmtId="0" fontId="41" fillId="0" borderId="22" xfId="67" applyFont="1" applyFill="1" applyBorder="1">
      <alignment/>
      <protection/>
    </xf>
    <xf numFmtId="0" fontId="42" fillId="0" borderId="22" xfId="67" applyFont="1" applyFill="1" applyBorder="1">
      <alignment/>
      <protection/>
    </xf>
    <xf numFmtId="22" fontId="13" fillId="0" borderId="22" xfId="67" applyNumberFormat="1" applyFont="1" applyFill="1" applyBorder="1">
      <alignment/>
      <protection/>
    </xf>
    <xf numFmtId="0" fontId="43" fillId="0" borderId="22" xfId="67" applyFont="1" applyFill="1" applyBorder="1">
      <alignment/>
      <protection/>
    </xf>
    <xf numFmtId="0" fontId="44" fillId="0" borderId="22" xfId="67" applyFont="1" applyFill="1" applyBorder="1">
      <alignment/>
      <protection/>
    </xf>
    <xf numFmtId="0" fontId="13" fillId="0" borderId="23" xfId="67" applyFont="1" applyFill="1" applyBorder="1">
      <alignment/>
      <protection/>
    </xf>
    <xf numFmtId="0" fontId="13" fillId="0" borderId="24" xfId="67" applyFont="1" applyFill="1" applyBorder="1">
      <alignment/>
      <protection/>
    </xf>
    <xf numFmtId="0" fontId="13" fillId="0" borderId="25" xfId="67" applyFont="1" applyFill="1" applyBorder="1">
      <alignment/>
      <protection/>
    </xf>
    <xf numFmtId="0" fontId="45" fillId="0" borderId="23" xfId="67" applyFont="1" applyFill="1" applyBorder="1">
      <alignment/>
      <protection/>
    </xf>
    <xf numFmtId="0" fontId="45" fillId="0" borderId="24" xfId="67" applyFont="1" applyFill="1" applyBorder="1">
      <alignment/>
      <protection/>
    </xf>
    <xf numFmtId="0" fontId="45" fillId="0" borderId="25" xfId="67" applyFont="1" applyFill="1" applyBorder="1">
      <alignment/>
      <protection/>
    </xf>
    <xf numFmtId="0" fontId="46" fillId="0" borderId="22" xfId="67" applyFont="1" applyFill="1" applyBorder="1">
      <alignment/>
      <protection/>
    </xf>
    <xf numFmtId="0" fontId="47" fillId="0" borderId="22" xfId="67" applyFont="1" applyFill="1" applyBorder="1">
      <alignment/>
      <protection/>
    </xf>
    <xf numFmtId="7" fontId="48" fillId="0" borderId="22" xfId="67" applyNumberFormat="1" applyFont="1" applyBorder="1" applyAlignment="1">
      <alignment/>
      <protection/>
    </xf>
    <xf numFmtId="0" fontId="13" fillId="0" borderId="26" xfId="67" applyFont="1" applyFill="1" applyBorder="1" applyAlignment="1">
      <alignment horizontal="center"/>
      <protection/>
    </xf>
    <xf numFmtId="0" fontId="13" fillId="0" borderId="27" xfId="67" applyFont="1" applyBorder="1">
      <alignment/>
      <protection/>
    </xf>
    <xf numFmtId="0" fontId="13" fillId="0" borderId="27" xfId="67" applyFont="1" applyBorder="1" applyAlignment="1">
      <alignment horizontal="center"/>
      <protection/>
    </xf>
    <xf numFmtId="170" fontId="13" fillId="0" borderId="27" xfId="67" applyNumberFormat="1" applyFont="1" applyBorder="1">
      <alignment/>
      <protection/>
    </xf>
    <xf numFmtId="0" fontId="41" fillId="33" borderId="27" xfId="67" applyFont="1" applyFill="1" applyBorder="1">
      <alignment/>
      <protection/>
    </xf>
    <xf numFmtId="0" fontId="42" fillId="34" borderId="27" xfId="67" applyFont="1" applyFill="1" applyBorder="1">
      <alignment/>
      <protection/>
    </xf>
    <xf numFmtId="22" fontId="13" fillId="0" borderId="28" xfId="67" applyNumberFormat="1" applyFont="1" applyBorder="1" applyAlignment="1">
      <alignment horizontal="center"/>
      <protection/>
    </xf>
    <xf numFmtId="0" fontId="13" fillId="0" borderId="28" xfId="67" applyFont="1" applyBorder="1">
      <alignment/>
      <protection/>
    </xf>
    <xf numFmtId="0" fontId="43" fillId="35" borderId="27" xfId="67" applyFont="1" applyFill="1" applyBorder="1">
      <alignment/>
      <protection/>
    </xf>
    <xf numFmtId="0" fontId="44" fillId="36" borderId="28" xfId="67" applyFont="1" applyFill="1" applyBorder="1">
      <alignment/>
      <protection/>
    </xf>
    <xf numFmtId="168" fontId="49" fillId="37" borderId="29" xfId="67" applyNumberFormat="1" applyFont="1" applyFill="1" applyBorder="1" applyAlignment="1" applyProtection="1" quotePrefix="1">
      <alignment horizontal="center"/>
      <protection/>
    </xf>
    <xf numFmtId="168" fontId="49" fillId="37" borderId="30" xfId="67" applyNumberFormat="1" applyFont="1" applyFill="1" applyBorder="1" applyAlignment="1" applyProtection="1" quotePrefix="1">
      <alignment horizontal="center"/>
      <protection/>
    </xf>
    <xf numFmtId="4" fontId="49" fillId="37" borderId="28" xfId="67" applyNumberFormat="1" applyFont="1" applyFill="1" applyBorder="1" applyAlignment="1" applyProtection="1">
      <alignment horizontal="center"/>
      <protection/>
    </xf>
    <xf numFmtId="168" fontId="45" fillId="38" borderId="29" xfId="67" applyNumberFormat="1" applyFont="1" applyFill="1" applyBorder="1" applyAlignment="1" applyProtection="1" quotePrefix="1">
      <alignment horizontal="center"/>
      <protection/>
    </xf>
    <xf numFmtId="168" fontId="45" fillId="38" borderId="30" xfId="67" applyNumberFormat="1" applyFont="1" applyFill="1" applyBorder="1" applyAlignment="1" applyProtection="1" quotePrefix="1">
      <alignment horizontal="center"/>
      <protection/>
    </xf>
    <xf numFmtId="4" fontId="45" fillId="38" borderId="28" xfId="67" applyNumberFormat="1" applyFont="1" applyFill="1" applyBorder="1" applyAlignment="1" applyProtection="1">
      <alignment horizontal="center"/>
      <protection/>
    </xf>
    <xf numFmtId="4" fontId="46" fillId="39" borderId="27" xfId="67" applyNumberFormat="1" applyFont="1" applyFill="1" applyBorder="1" applyAlignment="1" applyProtection="1">
      <alignment horizontal="center"/>
      <protection/>
    </xf>
    <xf numFmtId="4" fontId="47" fillId="40" borderId="27" xfId="67" applyNumberFormat="1" applyFont="1" applyFill="1" applyBorder="1" applyAlignment="1" applyProtection="1">
      <alignment horizontal="center"/>
      <protection/>
    </xf>
    <xf numFmtId="0" fontId="48" fillId="0" borderId="28" xfId="67" applyFont="1" applyBorder="1">
      <alignment/>
      <protection/>
    </xf>
    <xf numFmtId="0" fontId="13" fillId="0" borderId="27" xfId="67" applyFont="1" applyFill="1" applyBorder="1" applyAlignment="1" applyProtection="1">
      <alignment horizontal="center"/>
      <protection locked="0"/>
    </xf>
    <xf numFmtId="164" fontId="13" fillId="0" borderId="27" xfId="67" applyNumberFormat="1" applyFont="1" applyFill="1" applyBorder="1" applyAlignment="1" applyProtection="1">
      <alignment horizontal="center"/>
      <protection locked="0"/>
    </xf>
    <xf numFmtId="170" fontId="13" fillId="0" borderId="27" xfId="67" applyNumberFormat="1" applyFont="1" applyFill="1" applyBorder="1" applyAlignment="1" applyProtection="1">
      <alignment horizontal="center"/>
      <protection locked="0"/>
    </xf>
    <xf numFmtId="0" fontId="41" fillId="33" borderId="27" xfId="67" applyFont="1" applyFill="1" applyBorder="1" applyAlignment="1" applyProtection="1">
      <alignment horizontal="center"/>
      <protection/>
    </xf>
    <xf numFmtId="174" fontId="42" fillId="34" borderId="27" xfId="67" applyNumberFormat="1" applyFont="1" applyFill="1" applyBorder="1" applyAlignment="1" applyProtection="1">
      <alignment horizontal="center"/>
      <protection/>
    </xf>
    <xf numFmtId="22" fontId="13" fillId="0" borderId="28" xfId="67" applyNumberFormat="1" applyFont="1" applyFill="1" applyBorder="1" applyAlignment="1" applyProtection="1">
      <alignment horizontal="center"/>
      <protection locked="0"/>
    </xf>
    <xf numFmtId="22" fontId="13" fillId="0" borderId="31" xfId="67" applyNumberFormat="1" applyFont="1" applyFill="1" applyBorder="1" applyAlignment="1" applyProtection="1">
      <alignment horizontal="center"/>
      <protection locked="0"/>
    </xf>
    <xf numFmtId="4" fontId="13" fillId="41" borderId="27" xfId="67" applyNumberFormat="1" applyFont="1" applyFill="1" applyBorder="1" applyAlignment="1" applyProtection="1" quotePrefix="1">
      <alignment horizontal="center"/>
      <protection/>
    </xf>
    <xf numFmtId="164" fontId="13" fillId="41" borderId="27" xfId="67" applyNumberFormat="1" applyFont="1" applyFill="1" applyBorder="1" applyAlignment="1" applyProtection="1" quotePrefix="1">
      <alignment horizontal="center"/>
      <protection/>
    </xf>
    <xf numFmtId="168" fontId="13" fillId="0" borderId="28" xfId="67" applyNumberFormat="1" applyFont="1" applyBorder="1" applyAlignment="1" applyProtection="1">
      <alignment horizontal="center"/>
      <protection locked="0"/>
    </xf>
    <xf numFmtId="173" fontId="13" fillId="0" borderId="27" xfId="67" applyNumberFormat="1" applyFont="1" applyBorder="1" applyAlignment="1" applyProtection="1" quotePrefix="1">
      <alignment horizontal="center"/>
      <protection/>
    </xf>
    <xf numFmtId="168" fontId="13" fillId="0" borderId="27" xfId="67" applyNumberFormat="1" applyFont="1" applyBorder="1" applyAlignment="1" applyProtection="1">
      <alignment horizontal="center"/>
      <protection/>
    </xf>
    <xf numFmtId="2" fontId="50" fillId="35" borderId="27" xfId="67" applyNumberFormat="1" applyFont="1" applyFill="1" applyBorder="1" applyAlignment="1" applyProtection="1">
      <alignment horizontal="center"/>
      <protection locked="0"/>
    </xf>
    <xf numFmtId="2" fontId="51" fillId="36" borderId="28" xfId="67" applyNumberFormat="1" applyFont="1" applyFill="1" applyBorder="1" applyAlignment="1" applyProtection="1">
      <alignment horizontal="center"/>
      <protection locked="0"/>
    </xf>
    <xf numFmtId="168" fontId="52" fillId="37" borderId="29" xfId="67" applyNumberFormat="1" applyFont="1" applyFill="1" applyBorder="1" applyAlignment="1" applyProtection="1" quotePrefix="1">
      <alignment horizontal="center"/>
      <protection locked="0"/>
    </xf>
    <xf numFmtId="168" fontId="52" fillId="37" borderId="30" xfId="67" applyNumberFormat="1" applyFont="1" applyFill="1" applyBorder="1" applyAlignment="1" applyProtection="1" quotePrefix="1">
      <alignment horizontal="center"/>
      <protection locked="0"/>
    </xf>
    <xf numFmtId="4" fontId="52" fillId="37" borderId="28" xfId="67" applyNumberFormat="1" applyFont="1" applyFill="1" applyBorder="1" applyAlignment="1" applyProtection="1">
      <alignment horizontal="center"/>
      <protection locked="0"/>
    </xf>
    <xf numFmtId="168" fontId="53" fillId="38" borderId="29" xfId="67" applyNumberFormat="1" applyFont="1" applyFill="1" applyBorder="1" applyAlignment="1" applyProtection="1" quotePrefix="1">
      <alignment horizontal="center"/>
      <protection locked="0"/>
    </xf>
    <xf numFmtId="168" fontId="53" fillId="38" borderId="30" xfId="67" applyNumberFormat="1" applyFont="1" applyFill="1" applyBorder="1" applyAlignment="1" applyProtection="1" quotePrefix="1">
      <alignment horizontal="center"/>
      <protection locked="0"/>
    </xf>
    <xf numFmtId="4" fontId="53" fillId="38" borderId="28" xfId="67" applyNumberFormat="1" applyFont="1" applyFill="1" applyBorder="1" applyAlignment="1" applyProtection="1">
      <alignment horizontal="center"/>
      <protection locked="0"/>
    </xf>
    <xf numFmtId="4" fontId="54" fillId="39" borderId="27" xfId="67" applyNumberFormat="1" applyFont="1" applyFill="1" applyBorder="1" applyAlignment="1" applyProtection="1">
      <alignment horizontal="center"/>
      <protection locked="0"/>
    </xf>
    <xf numFmtId="4" fontId="55" fillId="40" borderId="27" xfId="67" applyNumberFormat="1" applyFont="1" applyFill="1" applyBorder="1" applyAlignment="1" applyProtection="1">
      <alignment horizontal="center"/>
      <protection locked="0"/>
    </xf>
    <xf numFmtId="4" fontId="49" fillId="0" borderId="27" xfId="67" applyNumberFormat="1" applyFont="1" applyBorder="1" applyAlignment="1" applyProtection="1">
      <alignment horizontal="center"/>
      <protection/>
    </xf>
    <xf numFmtId="4" fontId="48" fillId="0" borderId="28" xfId="67" applyNumberFormat="1" applyFont="1" applyFill="1" applyBorder="1" applyAlignment="1">
      <alignment horizontal="right"/>
      <protection/>
    </xf>
    <xf numFmtId="2" fontId="13" fillId="0" borderId="14" xfId="67" applyNumberFormat="1" applyFont="1" applyFill="1" applyBorder="1" applyAlignment="1">
      <alignment horizontal="center"/>
      <protection/>
    </xf>
    <xf numFmtId="22" fontId="13" fillId="0" borderId="28" xfId="66" applyNumberFormat="1" applyFont="1" applyFill="1" applyBorder="1" applyAlignment="1" applyProtection="1">
      <alignment horizontal="center"/>
      <protection locked="0"/>
    </xf>
    <xf numFmtId="22" fontId="13" fillId="0" borderId="32" xfId="66" applyNumberFormat="1" applyFont="1" applyFill="1" applyBorder="1" applyAlignment="1" applyProtection="1">
      <alignment horizontal="center"/>
      <protection locked="0"/>
    </xf>
    <xf numFmtId="0" fontId="13" fillId="0" borderId="27" xfId="67" applyFont="1" applyBorder="1" applyAlignment="1" applyProtection="1">
      <alignment horizontal="center"/>
      <protection locked="0"/>
    </xf>
    <xf numFmtId="164" fontId="13" fillId="0" borderId="27" xfId="67" applyNumberFormat="1" applyFont="1" applyBorder="1" applyAlignment="1" applyProtection="1">
      <alignment horizontal="center"/>
      <protection locked="0"/>
    </xf>
    <xf numFmtId="170" fontId="13" fillId="0" borderId="27" xfId="67" applyNumberFormat="1" applyFont="1" applyBorder="1" applyAlignment="1" applyProtection="1">
      <alignment horizontal="center"/>
      <protection locked="0"/>
    </xf>
    <xf numFmtId="22" fontId="13" fillId="0" borderId="28" xfId="67" applyNumberFormat="1" applyFont="1" applyBorder="1" applyAlignment="1" applyProtection="1">
      <alignment horizontal="center"/>
      <protection locked="0"/>
    </xf>
    <xf numFmtId="22" fontId="13" fillId="0" borderId="31" xfId="67" applyNumberFormat="1" applyFont="1" applyBorder="1" applyAlignment="1" applyProtection="1">
      <alignment horizontal="center"/>
      <protection locked="0"/>
    </xf>
    <xf numFmtId="22" fontId="13" fillId="0" borderId="32" xfId="67" applyNumberFormat="1" applyFont="1" applyBorder="1" applyAlignment="1" applyProtection="1">
      <alignment horizontal="center"/>
      <protection locked="0"/>
    </xf>
    <xf numFmtId="0" fontId="13" fillId="0" borderId="33" xfId="67" applyFont="1" applyFill="1" applyBorder="1" applyAlignment="1" applyProtection="1">
      <alignment horizontal="center"/>
      <protection locked="0"/>
    </xf>
    <xf numFmtId="0" fontId="13" fillId="0" borderId="34" xfId="67" applyFont="1" applyBorder="1" applyAlignment="1" applyProtection="1">
      <alignment horizontal="center"/>
      <protection locked="0"/>
    </xf>
    <xf numFmtId="164" fontId="49" fillId="0" borderId="34" xfId="67" applyNumberFormat="1" applyFont="1" applyBorder="1" applyAlignment="1" applyProtection="1">
      <alignment horizontal="center"/>
      <protection locked="0"/>
    </xf>
    <xf numFmtId="170" fontId="13" fillId="0" borderId="34" xfId="67" applyNumberFormat="1" applyFont="1" applyBorder="1" applyAlignment="1" applyProtection="1">
      <alignment horizontal="center"/>
      <protection locked="0"/>
    </xf>
    <xf numFmtId="165" fontId="13" fillId="0" borderId="34" xfId="67" applyNumberFormat="1" applyFont="1" applyBorder="1" applyAlignment="1" applyProtection="1">
      <alignment horizontal="center"/>
      <protection locked="0"/>
    </xf>
    <xf numFmtId="0" fontId="41" fillId="33" borderId="34" xfId="67" applyFont="1" applyFill="1" applyBorder="1" applyAlignment="1" applyProtection="1">
      <alignment horizontal="center"/>
      <protection/>
    </xf>
    <xf numFmtId="174" fontId="42" fillId="34" borderId="34" xfId="67" applyNumberFormat="1" applyFont="1" applyFill="1" applyBorder="1" applyAlignment="1" applyProtection="1">
      <alignment horizontal="center"/>
      <protection/>
    </xf>
    <xf numFmtId="22" fontId="13" fillId="0" borderId="34" xfId="67" applyNumberFormat="1" applyFont="1" applyBorder="1" applyAlignment="1" applyProtection="1">
      <alignment horizontal="center"/>
      <protection locked="0"/>
    </xf>
    <xf numFmtId="168" fontId="13" fillId="0" borderId="34" xfId="67" applyNumberFormat="1" applyFont="1" applyBorder="1" applyAlignment="1" applyProtection="1">
      <alignment horizontal="center"/>
      <protection/>
    </xf>
    <xf numFmtId="168" fontId="13" fillId="0" borderId="34" xfId="67" applyNumberFormat="1" applyFont="1" applyBorder="1" applyAlignment="1" applyProtection="1">
      <alignment horizontal="center"/>
      <protection locked="0"/>
    </xf>
    <xf numFmtId="173" fontId="13" fillId="0" borderId="34" xfId="67" applyNumberFormat="1" applyFont="1" applyBorder="1" applyAlignment="1" applyProtection="1" quotePrefix="1">
      <alignment horizontal="center"/>
      <protection locked="0"/>
    </xf>
    <xf numFmtId="2" fontId="43" fillId="35" borderId="34" xfId="67" applyNumberFormat="1" applyFont="1" applyFill="1" applyBorder="1" applyAlignment="1" applyProtection="1">
      <alignment horizontal="center"/>
      <protection locked="0"/>
    </xf>
    <xf numFmtId="2" fontId="51" fillId="36" borderId="34" xfId="67" applyNumberFormat="1" applyFont="1" applyFill="1" applyBorder="1" applyAlignment="1" applyProtection="1">
      <alignment horizontal="center"/>
      <protection locked="0"/>
    </xf>
    <xf numFmtId="168" fontId="52" fillId="37" borderId="35" xfId="67" applyNumberFormat="1" applyFont="1" applyFill="1" applyBorder="1" applyAlignment="1" applyProtection="1" quotePrefix="1">
      <alignment horizontal="center"/>
      <protection locked="0"/>
    </xf>
    <xf numFmtId="168" fontId="52" fillId="37" borderId="36" xfId="67" applyNumberFormat="1" applyFont="1" applyFill="1" applyBorder="1" applyAlignment="1" applyProtection="1" quotePrefix="1">
      <alignment horizontal="center"/>
      <protection locked="0"/>
    </xf>
    <xf numFmtId="4" fontId="52" fillId="37" borderId="37" xfId="67" applyNumberFormat="1" applyFont="1" applyFill="1" applyBorder="1" applyAlignment="1" applyProtection="1">
      <alignment horizontal="center"/>
      <protection locked="0"/>
    </xf>
    <xf numFmtId="168" fontId="53" fillId="38" borderId="35" xfId="67" applyNumberFormat="1" applyFont="1" applyFill="1" applyBorder="1" applyAlignment="1" applyProtection="1" quotePrefix="1">
      <alignment horizontal="center"/>
      <protection locked="0"/>
    </xf>
    <xf numFmtId="168" fontId="53" fillId="38" borderId="36" xfId="67" applyNumberFormat="1" applyFont="1" applyFill="1" applyBorder="1" applyAlignment="1" applyProtection="1" quotePrefix="1">
      <alignment horizontal="center"/>
      <protection locked="0"/>
    </xf>
    <xf numFmtId="4" fontId="53" fillId="38" borderId="37" xfId="67" applyNumberFormat="1" applyFont="1" applyFill="1" applyBorder="1" applyAlignment="1" applyProtection="1">
      <alignment horizontal="center"/>
      <protection locked="0"/>
    </xf>
    <xf numFmtId="4" fontId="54" fillId="39" borderId="34" xfId="67" applyNumberFormat="1" applyFont="1" applyFill="1" applyBorder="1" applyAlignment="1" applyProtection="1">
      <alignment horizontal="center"/>
      <protection locked="0"/>
    </xf>
    <xf numFmtId="4" fontId="55" fillId="40" borderId="34" xfId="67" applyNumberFormat="1" applyFont="1" applyFill="1" applyBorder="1" applyAlignment="1" applyProtection="1">
      <alignment horizontal="center"/>
      <protection locked="0"/>
    </xf>
    <xf numFmtId="4" fontId="49" fillId="0" borderId="34" xfId="67" applyNumberFormat="1" applyFont="1" applyBorder="1" applyAlignment="1" applyProtection="1">
      <alignment horizontal="center"/>
      <protection locked="0"/>
    </xf>
    <xf numFmtId="2" fontId="48" fillId="0" borderId="38" xfId="67" applyNumberFormat="1" applyFont="1" applyFill="1" applyBorder="1" applyAlignment="1">
      <alignment horizontal="right"/>
      <protection/>
    </xf>
    <xf numFmtId="0" fontId="57" fillId="0" borderId="39" xfId="67" applyFont="1" applyBorder="1" applyAlignment="1">
      <alignment horizontal="center"/>
      <protection/>
    </xf>
    <xf numFmtId="0" fontId="58" fillId="0" borderId="0" xfId="67" applyFont="1" applyBorder="1" applyAlignment="1" applyProtection="1">
      <alignment horizontal="left"/>
      <protection/>
    </xf>
    <xf numFmtId="164" fontId="49" fillId="0" borderId="0" xfId="67" applyNumberFormat="1" applyFont="1" applyBorder="1" applyAlignment="1" applyProtection="1">
      <alignment horizontal="center"/>
      <protection/>
    </xf>
    <xf numFmtId="0" fontId="13" fillId="0" borderId="0" xfId="67" applyFont="1" applyBorder="1" applyAlignment="1" applyProtection="1">
      <alignment horizontal="center"/>
      <protection/>
    </xf>
    <xf numFmtId="165" fontId="13" fillId="0" borderId="0" xfId="67" applyNumberFormat="1" applyFont="1" applyBorder="1" applyAlignment="1" applyProtection="1">
      <alignment horizontal="center"/>
      <protection/>
    </xf>
    <xf numFmtId="168" fontId="13" fillId="0" borderId="0" xfId="67" applyNumberFormat="1" applyFont="1" applyBorder="1" applyAlignment="1" applyProtection="1">
      <alignment horizontal="center"/>
      <protection/>
    </xf>
    <xf numFmtId="173" fontId="13" fillId="0" borderId="0" xfId="67" applyNumberFormat="1" applyFont="1" applyBorder="1" applyAlignment="1" applyProtection="1" quotePrefix="1">
      <alignment horizontal="center"/>
      <protection/>
    </xf>
    <xf numFmtId="2" fontId="50" fillId="35" borderId="20" xfId="67" applyNumberFormat="1" applyFont="1" applyFill="1" applyBorder="1" applyAlignment="1" applyProtection="1">
      <alignment horizontal="center"/>
      <protection/>
    </xf>
    <xf numFmtId="2" fontId="51" fillId="36" borderId="20" xfId="67" applyNumberFormat="1" applyFont="1" applyFill="1" applyBorder="1" applyAlignment="1" applyProtection="1">
      <alignment horizontal="center"/>
      <protection/>
    </xf>
    <xf numFmtId="2" fontId="52" fillId="37" borderId="20" xfId="67" applyNumberFormat="1" applyFont="1" applyFill="1" applyBorder="1" applyAlignment="1" applyProtection="1">
      <alignment horizontal="center"/>
      <protection/>
    </xf>
    <xf numFmtId="2" fontId="53" fillId="38" borderId="20" xfId="67" applyNumberFormat="1" applyFont="1" applyFill="1" applyBorder="1" applyAlignment="1" applyProtection="1">
      <alignment horizontal="center"/>
      <protection/>
    </xf>
    <xf numFmtId="2" fontId="54" fillId="39" borderId="20" xfId="67" applyNumberFormat="1" applyFont="1" applyFill="1" applyBorder="1" applyAlignment="1" applyProtection="1">
      <alignment horizontal="center"/>
      <protection/>
    </xf>
    <xf numFmtId="2" fontId="55" fillId="40" borderId="20" xfId="67" applyNumberFormat="1" applyFont="1" applyFill="1" applyBorder="1" applyAlignment="1" applyProtection="1">
      <alignment horizontal="center"/>
      <protection/>
    </xf>
    <xf numFmtId="2" fontId="59" fillId="0" borderId="40" xfId="67" applyNumberFormat="1" applyFont="1" applyBorder="1" applyAlignment="1" applyProtection="1">
      <alignment horizontal="center"/>
      <protection/>
    </xf>
    <xf numFmtId="7" fontId="4" fillId="0" borderId="20" xfId="67" applyNumberFormat="1" applyFont="1" applyFill="1" applyBorder="1" applyAlignment="1" applyProtection="1">
      <alignment horizontal="right"/>
      <protection/>
    </xf>
    <xf numFmtId="0" fontId="13" fillId="0" borderId="17" xfId="67" applyFont="1" applyBorder="1">
      <alignment/>
      <protection/>
    </xf>
    <xf numFmtId="0" fontId="13" fillId="0" borderId="18" xfId="67" applyFont="1" applyBorder="1">
      <alignment/>
      <protection/>
    </xf>
    <xf numFmtId="0" fontId="13" fillId="0" borderId="19" xfId="67" applyFont="1" applyBorder="1">
      <alignment/>
      <protection/>
    </xf>
    <xf numFmtId="0" fontId="3" fillId="0" borderId="0" xfId="67" applyBorder="1">
      <alignment/>
      <protection/>
    </xf>
    <xf numFmtId="0" fontId="16" fillId="0" borderId="0" xfId="67" applyFont="1" applyAlignment="1">
      <alignment vertical="top"/>
      <protection/>
    </xf>
    <xf numFmtId="0" fontId="16" fillId="0" borderId="13" xfId="67" applyFont="1" applyBorder="1" applyAlignment="1">
      <alignment vertical="top"/>
      <protection/>
    </xf>
    <xf numFmtId="0" fontId="16" fillId="0" borderId="0" xfId="67" applyFont="1" applyBorder="1" applyAlignment="1">
      <alignment vertical="top"/>
      <protection/>
    </xf>
    <xf numFmtId="0" fontId="13" fillId="0" borderId="0" xfId="67" applyFont="1" applyAlignment="1">
      <alignment vertical="top"/>
      <protection/>
    </xf>
    <xf numFmtId="0" fontId="13" fillId="0" borderId="13" xfId="67" applyFont="1" applyBorder="1" applyAlignment="1">
      <alignment vertical="top"/>
      <protection/>
    </xf>
    <xf numFmtId="0" fontId="13" fillId="0" borderId="0" xfId="67" applyFont="1" applyBorder="1" applyAlignment="1">
      <alignment vertical="top"/>
      <protection/>
    </xf>
    <xf numFmtId="0" fontId="13" fillId="0" borderId="27" xfId="67" applyFont="1" applyFill="1" applyBorder="1" applyAlignment="1">
      <alignment horizontal="center"/>
      <protection/>
    </xf>
    <xf numFmtId="0" fontId="13" fillId="0" borderId="0" xfId="67" applyFont="1" applyBorder="1" applyAlignment="1">
      <alignment horizontal="left"/>
      <protection/>
    </xf>
    <xf numFmtId="0" fontId="62" fillId="37" borderId="27" xfId="67" applyFont="1" applyFill="1" applyBorder="1" applyAlignment="1" applyProtection="1">
      <alignment horizontal="center"/>
      <protection/>
    </xf>
    <xf numFmtId="173" fontId="13" fillId="0" borderId="28" xfId="67" applyNumberFormat="1" applyFont="1" applyBorder="1" applyAlignment="1" applyProtection="1" quotePrefix="1">
      <alignment horizontal="center"/>
      <protection/>
    </xf>
    <xf numFmtId="0" fontId="11" fillId="0" borderId="0" xfId="67" applyFont="1" applyFill="1" applyAlignment="1">
      <alignment horizontal="right" vertical="top"/>
      <protection/>
    </xf>
    <xf numFmtId="0" fontId="9" fillId="0" borderId="0" xfId="67" applyFont="1" applyFill="1" applyAlignment="1">
      <alignment horizontal="centerContinuous"/>
      <protection/>
    </xf>
    <xf numFmtId="0" fontId="6" fillId="0" borderId="0" xfId="67" applyFont="1" applyFill="1" applyAlignment="1">
      <alignment horizontal="centerContinuous"/>
      <protection/>
    </xf>
    <xf numFmtId="0" fontId="14" fillId="0" borderId="0" xfId="67" applyFont="1" applyFill="1" applyAlignment="1">
      <alignment horizontal="centerContinuous"/>
      <protection/>
    </xf>
    <xf numFmtId="0" fontId="14" fillId="0" borderId="0" xfId="67" applyFont="1" applyFill="1">
      <alignment/>
      <protection/>
    </xf>
    <xf numFmtId="0" fontId="13" fillId="0" borderId="10" xfId="67" applyFont="1" applyFill="1" applyBorder="1">
      <alignment/>
      <protection/>
    </xf>
    <xf numFmtId="0" fontId="13" fillId="0" borderId="11" xfId="67" applyFont="1" applyFill="1" applyBorder="1">
      <alignment/>
      <protection/>
    </xf>
    <xf numFmtId="0" fontId="16" fillId="0" borderId="0" xfId="67" applyFont="1" applyFill="1">
      <alignment/>
      <protection/>
    </xf>
    <xf numFmtId="0" fontId="16" fillId="0" borderId="13" xfId="67" applyFont="1" applyFill="1" applyBorder="1">
      <alignment/>
      <protection/>
    </xf>
    <xf numFmtId="0" fontId="16" fillId="0" borderId="0" xfId="67" applyFont="1" applyFill="1" applyBorder="1">
      <alignment/>
      <protection/>
    </xf>
    <xf numFmtId="0" fontId="20" fillId="0" borderId="0" xfId="67" applyFont="1" applyFill="1" applyBorder="1" applyAlignment="1">
      <alignment horizontal="left"/>
      <protection/>
    </xf>
    <xf numFmtId="0" fontId="16" fillId="0" borderId="0" xfId="67" applyFont="1" applyFill="1" applyBorder="1" applyAlignment="1" applyProtection="1">
      <alignment horizontal="left"/>
      <protection/>
    </xf>
    <xf numFmtId="0" fontId="13" fillId="0" borderId="13" xfId="67" applyFont="1" applyFill="1" applyBorder="1">
      <alignment/>
      <protection/>
    </xf>
    <xf numFmtId="0" fontId="5" fillId="0" borderId="0" xfId="67" applyFont="1" applyFill="1" applyBorder="1" applyAlignment="1">
      <alignment horizontal="left"/>
      <protection/>
    </xf>
    <xf numFmtId="0" fontId="16" fillId="0" borderId="0" xfId="67" applyFont="1" applyFill="1" applyAlignment="1">
      <alignment vertical="center"/>
      <protection/>
    </xf>
    <xf numFmtId="0" fontId="16" fillId="0" borderId="13" xfId="67" applyFont="1" applyFill="1" applyBorder="1" applyAlignment="1">
      <alignment vertical="center"/>
      <protection/>
    </xf>
    <xf numFmtId="0" fontId="16" fillId="0" borderId="0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horizontal="left" vertical="center"/>
      <protection/>
    </xf>
    <xf numFmtId="0" fontId="20" fillId="0" borderId="0" xfId="67" applyFont="1" applyFill="1" applyBorder="1" applyAlignment="1">
      <alignment vertical="center"/>
      <protection/>
    </xf>
    <xf numFmtId="0" fontId="16" fillId="0" borderId="14" xfId="67" applyFont="1" applyFill="1" applyBorder="1" applyAlignment="1">
      <alignment vertical="center"/>
      <protection/>
    </xf>
    <xf numFmtId="0" fontId="16" fillId="0" borderId="0" xfId="67" applyFont="1" applyAlignment="1">
      <alignment vertical="center"/>
      <protection/>
    </xf>
    <xf numFmtId="0" fontId="13" fillId="0" borderId="0" xfId="67" applyFont="1" applyFill="1" applyAlignment="1">
      <alignment vertical="center"/>
      <protection/>
    </xf>
    <xf numFmtId="0" fontId="13" fillId="0" borderId="13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3" fillId="0" borderId="14" xfId="67" applyFont="1" applyFill="1" applyBorder="1" applyAlignment="1">
      <alignment vertical="center"/>
      <protection/>
    </xf>
    <xf numFmtId="0" fontId="20" fillId="0" borderId="0" xfId="67" applyFont="1" applyFill="1" applyAlignment="1">
      <alignment vertical="center"/>
      <protection/>
    </xf>
    <xf numFmtId="0" fontId="25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4" fillId="0" borderId="0" xfId="67" applyFont="1" applyFill="1" applyAlignment="1">
      <alignment horizontal="centerContinuous"/>
      <protection/>
    </xf>
    <xf numFmtId="0" fontId="24" fillId="0" borderId="0" xfId="67" applyFont="1" applyFill="1" applyBorder="1" applyAlignment="1">
      <alignment horizontal="centerContinuous"/>
      <protection/>
    </xf>
    <xf numFmtId="0" fontId="26" fillId="0" borderId="14" xfId="67" applyFont="1" applyFill="1" applyBorder="1" applyAlignment="1">
      <alignment horizontal="centerContinuous"/>
      <protection/>
    </xf>
    <xf numFmtId="0" fontId="13" fillId="0" borderId="15" xfId="67" applyFont="1" applyFill="1" applyBorder="1" applyAlignment="1" applyProtection="1">
      <alignment horizontal="left"/>
      <protection/>
    </xf>
    <xf numFmtId="0" fontId="13" fillId="0" borderId="39" xfId="67" applyFont="1" applyFill="1" applyBorder="1" applyAlignment="1" applyProtection="1">
      <alignment horizontal="center"/>
      <protection/>
    </xf>
    <xf numFmtId="0" fontId="13" fillId="0" borderId="20" xfId="67" applyFont="1" applyFill="1" applyBorder="1" applyAlignment="1">
      <alignment horizontal="center"/>
      <protection/>
    </xf>
    <xf numFmtId="0" fontId="3" fillId="0" borderId="15" xfId="67" applyFont="1" applyFill="1" applyBorder="1" applyAlignment="1" applyProtection="1" quotePrefix="1">
      <alignment horizontal="left"/>
      <protection/>
    </xf>
    <xf numFmtId="0" fontId="3" fillId="0" borderId="21" xfId="67" applyFont="1" applyFill="1" applyBorder="1" applyAlignment="1" applyProtection="1">
      <alignment horizontal="center"/>
      <protection/>
    </xf>
    <xf numFmtId="164" fontId="3" fillId="0" borderId="20" xfId="67" applyNumberFormat="1" applyFont="1" applyFill="1" applyBorder="1" applyAlignment="1" applyProtection="1">
      <alignment horizontal="center"/>
      <protection/>
    </xf>
    <xf numFmtId="22" fontId="13" fillId="0" borderId="0" xfId="67" applyNumberFormat="1" applyFont="1" applyFill="1" applyBorder="1">
      <alignment/>
      <protection/>
    </xf>
    <xf numFmtId="0" fontId="29" fillId="0" borderId="0" xfId="67" applyFont="1" applyFill="1" applyBorder="1">
      <alignment/>
      <protection/>
    </xf>
    <xf numFmtId="0" fontId="30" fillId="0" borderId="20" xfId="67" applyFont="1" applyFill="1" applyBorder="1" applyAlignment="1">
      <alignment horizontal="center" vertical="center"/>
      <protection/>
    </xf>
    <xf numFmtId="0" fontId="30" fillId="0" borderId="20" xfId="67" applyFont="1" applyFill="1" applyBorder="1" applyAlignment="1" applyProtection="1">
      <alignment horizontal="center" vertical="center" wrapText="1"/>
      <protection/>
    </xf>
    <xf numFmtId="0" fontId="30" fillId="0" borderId="20" xfId="67" applyFont="1" applyFill="1" applyBorder="1" applyAlignment="1" applyProtection="1">
      <alignment horizontal="center" vertical="center"/>
      <protection/>
    </xf>
    <xf numFmtId="0" fontId="30" fillId="0" borderId="20" xfId="67" applyFont="1" applyFill="1" applyBorder="1" applyAlignment="1" applyProtection="1" quotePrefix="1">
      <alignment horizontal="center" vertical="center" wrapText="1"/>
      <protection/>
    </xf>
    <xf numFmtId="0" fontId="30" fillId="0" borderId="20" xfId="67" applyFont="1" applyFill="1" applyBorder="1" applyAlignment="1">
      <alignment horizontal="center" vertical="center" wrapText="1"/>
      <protection/>
    </xf>
    <xf numFmtId="0" fontId="60" fillId="37" borderId="20" xfId="67" applyFont="1" applyFill="1" applyBorder="1" applyAlignment="1" applyProtection="1">
      <alignment horizontal="center" vertical="center"/>
      <protection/>
    </xf>
    <xf numFmtId="0" fontId="30" fillId="0" borderId="15" xfId="67" applyFont="1" applyFill="1" applyBorder="1" applyAlignment="1" applyProtection="1">
      <alignment horizontal="center" vertical="center"/>
      <protection/>
    </xf>
    <xf numFmtId="0" fontId="61" fillId="42" borderId="20" xfId="67" applyFont="1" applyFill="1" applyBorder="1" applyAlignment="1" applyProtection="1">
      <alignment horizontal="center" vertical="center"/>
      <protection/>
    </xf>
    <xf numFmtId="0" fontId="65" fillId="39" borderId="20" xfId="67" applyFont="1" applyFill="1" applyBorder="1" applyAlignment="1">
      <alignment horizontal="center" vertical="center" wrapText="1"/>
      <protection/>
    </xf>
    <xf numFmtId="0" fontId="66" fillId="36" borderId="20" xfId="67" applyFont="1" applyFill="1" applyBorder="1" applyAlignment="1">
      <alignment horizontal="center" vertical="center" wrapText="1"/>
      <protection/>
    </xf>
    <xf numFmtId="0" fontId="67" fillId="43" borderId="15" xfId="67" applyFont="1" applyFill="1" applyBorder="1" applyAlignment="1" applyProtection="1">
      <alignment horizontal="centerContinuous" vertical="center" wrapText="1"/>
      <protection/>
    </xf>
    <xf numFmtId="0" fontId="67" fillId="43" borderId="16" xfId="67" applyFont="1" applyFill="1" applyBorder="1" applyAlignment="1">
      <alignment horizontal="centerContinuous" vertical="center"/>
      <protection/>
    </xf>
    <xf numFmtId="0" fontId="34" fillId="44" borderId="20" xfId="67" applyFont="1" applyFill="1" applyBorder="1" applyAlignment="1">
      <alignment horizontal="center" vertical="center" wrapText="1"/>
      <protection/>
    </xf>
    <xf numFmtId="0" fontId="68" fillId="39" borderId="20" xfId="67" applyFont="1" applyFill="1" applyBorder="1" applyAlignment="1">
      <alignment horizontal="center" vertical="center" wrapText="1"/>
      <protection/>
    </xf>
    <xf numFmtId="0" fontId="13" fillId="0" borderId="41" xfId="67" applyFont="1" applyFill="1" applyBorder="1" applyAlignment="1">
      <alignment horizontal="center"/>
      <protection/>
    </xf>
    <xf numFmtId="164" fontId="13" fillId="0" borderId="41" xfId="67" applyNumberFormat="1" applyFont="1" applyFill="1" applyBorder="1" applyAlignment="1" applyProtection="1">
      <alignment horizontal="center"/>
      <protection/>
    </xf>
    <xf numFmtId="0" fontId="62" fillId="37" borderId="41" xfId="67" applyFont="1" applyFill="1" applyBorder="1" applyAlignment="1">
      <alignment horizontal="center"/>
      <protection/>
    </xf>
    <xf numFmtId="0" fontId="13" fillId="0" borderId="42" xfId="67" applyFont="1" applyFill="1" applyBorder="1" applyAlignment="1">
      <alignment horizontal="center"/>
      <protection/>
    </xf>
    <xf numFmtId="0" fontId="29" fillId="42" borderId="41" xfId="67" applyFont="1" applyFill="1" applyBorder="1" applyAlignment="1">
      <alignment horizontal="center"/>
      <protection/>
    </xf>
    <xf numFmtId="0" fontId="69" fillId="39" borderId="41" xfId="67" applyFont="1" applyFill="1" applyBorder="1" applyAlignment="1">
      <alignment horizontal="center"/>
      <protection/>
    </xf>
    <xf numFmtId="0" fontId="70" fillId="36" borderId="41" xfId="67" applyFont="1" applyFill="1" applyBorder="1" applyAlignment="1">
      <alignment horizontal="center"/>
      <protection/>
    </xf>
    <xf numFmtId="0" fontId="52" fillId="37" borderId="23" xfId="67" applyFont="1" applyFill="1" applyBorder="1" applyAlignment="1">
      <alignment horizontal="center"/>
      <protection/>
    </xf>
    <xf numFmtId="0" fontId="52" fillId="37" borderId="25" xfId="67" applyFont="1" applyFill="1" applyBorder="1" applyAlignment="1">
      <alignment horizontal="center"/>
      <protection/>
    </xf>
    <xf numFmtId="0" fontId="71" fillId="43" borderId="43" xfId="67" applyFont="1" applyFill="1" applyBorder="1" applyAlignment="1">
      <alignment horizontal="center"/>
      <protection/>
    </xf>
    <xf numFmtId="0" fontId="71" fillId="43" borderId="44" xfId="67" applyFont="1" applyFill="1" applyBorder="1" applyAlignment="1">
      <alignment horizontal="center"/>
      <protection/>
    </xf>
    <xf numFmtId="0" fontId="50" fillId="44" borderId="41" xfId="67" applyFont="1" applyFill="1" applyBorder="1" applyAlignment="1">
      <alignment horizontal="center"/>
      <protection/>
    </xf>
    <xf numFmtId="0" fontId="72" fillId="39" borderId="41" xfId="67" applyFont="1" applyFill="1" applyBorder="1" applyAlignment="1">
      <alignment horizontal="center"/>
      <protection/>
    </xf>
    <xf numFmtId="7" fontId="48" fillId="0" borderId="42" xfId="67" applyNumberFormat="1" applyFont="1" applyFill="1" applyBorder="1" applyAlignment="1">
      <alignment/>
      <protection/>
    </xf>
    <xf numFmtId="164" fontId="13" fillId="0" borderId="26" xfId="67" applyNumberFormat="1" applyFont="1" applyFill="1" applyBorder="1" applyAlignment="1" applyProtection="1">
      <alignment horizontal="center"/>
      <protection/>
    </xf>
    <xf numFmtId="0" fontId="62" fillId="37" borderId="26" xfId="67" applyFont="1" applyFill="1" applyBorder="1" applyAlignment="1">
      <alignment horizontal="center"/>
      <protection/>
    </xf>
    <xf numFmtId="0" fontId="13" fillId="0" borderId="45" xfId="67" applyFont="1" applyFill="1" applyBorder="1" applyAlignment="1">
      <alignment horizontal="center"/>
      <protection/>
    </xf>
    <xf numFmtId="0" fontId="29" fillId="42" borderId="26" xfId="67" applyFont="1" applyFill="1" applyBorder="1" applyAlignment="1">
      <alignment horizontal="center"/>
      <protection/>
    </xf>
    <xf numFmtId="0" fontId="69" fillId="39" borderId="26" xfId="67" applyFont="1" applyFill="1" applyBorder="1" applyAlignment="1">
      <alignment horizontal="center"/>
      <protection/>
    </xf>
    <xf numFmtId="0" fontId="70" fillId="36" borderId="26" xfId="67" applyFont="1" applyFill="1" applyBorder="1" applyAlignment="1">
      <alignment horizontal="center"/>
      <protection/>
    </xf>
    <xf numFmtId="0" fontId="52" fillId="37" borderId="46" xfId="67" applyFont="1" applyFill="1" applyBorder="1" applyAlignment="1">
      <alignment horizontal="center"/>
      <protection/>
    </xf>
    <xf numFmtId="0" fontId="52" fillId="37" borderId="47" xfId="67" applyFont="1" applyFill="1" applyBorder="1" applyAlignment="1">
      <alignment horizontal="center"/>
      <protection/>
    </xf>
    <xf numFmtId="0" fontId="71" fillId="43" borderId="46" xfId="67" applyFont="1" applyFill="1" applyBorder="1" applyAlignment="1">
      <alignment horizontal="center"/>
      <protection/>
    </xf>
    <xf numFmtId="0" fontId="71" fillId="43" borderId="47" xfId="67" applyFont="1" applyFill="1" applyBorder="1" applyAlignment="1">
      <alignment horizontal="center"/>
      <protection/>
    </xf>
    <xf numFmtId="0" fontId="50" fillId="44" borderId="26" xfId="67" applyFont="1" applyFill="1" applyBorder="1" applyAlignment="1">
      <alignment horizontal="center"/>
      <protection/>
    </xf>
    <xf numFmtId="0" fontId="72" fillId="39" borderId="26" xfId="67" applyFont="1" applyFill="1" applyBorder="1" applyAlignment="1">
      <alignment horizontal="center"/>
      <protection/>
    </xf>
    <xf numFmtId="0" fontId="48" fillId="0" borderId="45" xfId="67" applyFont="1" applyFill="1" applyBorder="1" applyAlignment="1">
      <alignment horizontal="center"/>
      <protection/>
    </xf>
    <xf numFmtId="0" fontId="13" fillId="0" borderId="26" xfId="67" applyFont="1" applyBorder="1" applyAlignment="1" applyProtection="1">
      <alignment horizontal="center"/>
      <protection locked="0"/>
    </xf>
    <xf numFmtId="0" fontId="13" fillId="0" borderId="31" xfId="67" applyFont="1" applyBorder="1" applyAlignment="1" applyProtection="1">
      <alignment horizontal="center"/>
      <protection locked="0"/>
    </xf>
    <xf numFmtId="164" fontId="13" fillId="0" borderId="26" xfId="67" applyNumberFormat="1" applyFont="1" applyBorder="1" applyAlignment="1" applyProtection="1">
      <alignment horizontal="center"/>
      <protection locked="0"/>
    </xf>
    <xf numFmtId="1" fontId="13" fillId="0" borderId="47" xfId="67" applyNumberFormat="1" applyFont="1" applyBorder="1" applyAlignment="1" applyProtection="1" quotePrefix="1">
      <alignment horizontal="center"/>
      <protection locked="0"/>
    </xf>
    <xf numFmtId="174" fontId="62" fillId="37" borderId="27" xfId="67" applyNumberFormat="1" applyFont="1" applyFill="1" applyBorder="1" applyAlignment="1" applyProtection="1">
      <alignment horizontal="center"/>
      <protection/>
    </xf>
    <xf numFmtId="22" fontId="13" fillId="0" borderId="27" xfId="67" applyNumberFormat="1" applyFont="1" applyFill="1" applyBorder="1" applyAlignment="1" applyProtection="1">
      <alignment horizontal="center"/>
      <protection locked="0"/>
    </xf>
    <xf numFmtId="4" fontId="13" fillId="0" borderId="27" xfId="67" applyNumberFormat="1" applyFont="1" applyFill="1" applyBorder="1" applyAlignment="1" applyProtection="1">
      <alignment horizontal="center"/>
      <protection/>
    </xf>
    <xf numFmtId="3" fontId="13" fillId="0" borderId="27" xfId="67" applyNumberFormat="1" applyFont="1" applyFill="1" applyBorder="1" applyAlignment="1" applyProtection="1">
      <alignment horizontal="center"/>
      <protection/>
    </xf>
    <xf numFmtId="168" fontId="13" fillId="0" borderId="27" xfId="67" applyNumberFormat="1" applyFont="1" applyFill="1" applyBorder="1" applyAlignment="1" applyProtection="1">
      <alignment horizontal="center"/>
      <protection locked="0"/>
    </xf>
    <xf numFmtId="168" fontId="13" fillId="0" borderId="27" xfId="67" applyNumberFormat="1" applyFont="1" applyBorder="1" applyAlignment="1" applyProtection="1" quotePrefix="1">
      <alignment horizontal="center"/>
      <protection/>
    </xf>
    <xf numFmtId="164" fontId="29" fillId="42" borderId="27" xfId="67" applyNumberFormat="1" applyFont="1" applyFill="1" applyBorder="1" applyAlignment="1" applyProtection="1">
      <alignment horizontal="center"/>
      <protection/>
    </xf>
    <xf numFmtId="2" fontId="69" fillId="39" borderId="27" xfId="67" applyNumberFormat="1" applyFont="1" applyFill="1" applyBorder="1" applyAlignment="1">
      <alignment horizontal="center"/>
      <protection/>
    </xf>
    <xf numFmtId="2" fontId="70" fillId="36" borderId="27" xfId="67" applyNumberFormat="1" applyFont="1" applyFill="1" applyBorder="1" applyAlignment="1">
      <alignment horizontal="center"/>
      <protection/>
    </xf>
    <xf numFmtId="168" fontId="52" fillId="37" borderId="46" xfId="67" applyNumberFormat="1" applyFont="1" applyFill="1" applyBorder="1" applyAlignment="1" applyProtection="1" quotePrefix="1">
      <alignment horizontal="center"/>
      <protection/>
    </xf>
    <xf numFmtId="168" fontId="52" fillId="37" borderId="47" xfId="67" applyNumberFormat="1" applyFont="1" applyFill="1" applyBorder="1" applyAlignment="1" applyProtection="1" quotePrefix="1">
      <alignment horizontal="center"/>
      <protection/>
    </xf>
    <xf numFmtId="168" fontId="71" fillId="43" borderId="46" xfId="67" applyNumberFormat="1" applyFont="1" applyFill="1" applyBorder="1" applyAlignment="1" applyProtection="1" quotePrefix="1">
      <alignment horizontal="center"/>
      <protection/>
    </xf>
    <xf numFmtId="168" fontId="71" fillId="43" borderId="47" xfId="67" applyNumberFormat="1" applyFont="1" applyFill="1" applyBorder="1" applyAlignment="1" applyProtection="1" quotePrefix="1">
      <alignment horizontal="center"/>
      <protection/>
    </xf>
    <xf numFmtId="168" fontId="50" fillId="44" borderId="27" xfId="67" applyNumberFormat="1" applyFont="1" applyFill="1" applyBorder="1" applyAlignment="1" applyProtection="1" quotePrefix="1">
      <alignment horizontal="center"/>
      <protection/>
    </xf>
    <xf numFmtId="168" fontId="72" fillId="39" borderId="26" xfId="67" applyNumberFormat="1" applyFont="1" applyFill="1" applyBorder="1" applyAlignment="1" applyProtection="1" quotePrefix="1">
      <alignment horizontal="center"/>
      <protection/>
    </xf>
    <xf numFmtId="168" fontId="13" fillId="0" borderId="28" xfId="67" applyNumberFormat="1" applyFont="1" applyFill="1" applyBorder="1" applyAlignment="1">
      <alignment horizontal="center"/>
      <protection/>
    </xf>
    <xf numFmtId="0" fontId="13" fillId="0" borderId="45" xfId="67" applyFont="1" applyBorder="1" applyAlignment="1" applyProtection="1">
      <alignment horizontal="center"/>
      <protection locked="0"/>
    </xf>
    <xf numFmtId="0" fontId="73" fillId="0" borderId="34" xfId="67" applyFont="1" applyFill="1" applyBorder="1" applyAlignment="1" applyProtection="1">
      <alignment horizontal="center"/>
      <protection locked="0"/>
    </xf>
    <xf numFmtId="0" fontId="73" fillId="0" borderId="34" xfId="67" applyFont="1" applyFill="1" applyBorder="1" applyAlignment="1" applyProtection="1" quotePrefix="1">
      <alignment horizontal="center"/>
      <protection locked="0"/>
    </xf>
    <xf numFmtId="164" fontId="49" fillId="0" borderId="33" xfId="67" applyNumberFormat="1" applyFont="1" applyFill="1" applyBorder="1" applyAlignment="1" applyProtection="1">
      <alignment horizontal="center"/>
      <protection locked="0"/>
    </xf>
    <xf numFmtId="168" fontId="62" fillId="37" borderId="34" xfId="67" applyNumberFormat="1" applyFont="1" applyFill="1" applyBorder="1" applyAlignment="1" applyProtection="1">
      <alignment horizontal="center"/>
      <protection/>
    </xf>
    <xf numFmtId="0" fontId="13" fillId="0" borderId="34" xfId="67" applyFont="1" applyFill="1" applyBorder="1" applyAlignment="1" applyProtection="1">
      <alignment horizontal="center"/>
      <protection locked="0"/>
    </xf>
    <xf numFmtId="38" fontId="13" fillId="0" borderId="34" xfId="67" applyNumberFormat="1" applyFont="1" applyFill="1" applyBorder="1" applyAlignment="1" applyProtection="1">
      <alignment horizontal="center"/>
      <protection locked="0"/>
    </xf>
    <xf numFmtId="38" fontId="13" fillId="0" borderId="34" xfId="67" applyNumberFormat="1" applyFont="1" applyFill="1" applyBorder="1" applyAlignment="1" applyProtection="1">
      <alignment horizontal="center"/>
      <protection/>
    </xf>
    <xf numFmtId="164" fontId="13" fillId="0" borderId="34" xfId="67" applyNumberFormat="1" applyFont="1" applyFill="1" applyBorder="1" applyAlignment="1" applyProtection="1" quotePrefix="1">
      <alignment horizontal="center"/>
      <protection/>
    </xf>
    <xf numFmtId="168" fontId="13" fillId="0" borderId="34" xfId="67" applyNumberFormat="1" applyFont="1" applyFill="1" applyBorder="1" applyAlignment="1" applyProtection="1">
      <alignment horizontal="center"/>
      <protection locked="0"/>
    </xf>
    <xf numFmtId="168" fontId="13" fillId="0" borderId="48" xfId="67" applyNumberFormat="1" applyFont="1" applyFill="1" applyBorder="1" applyAlignment="1" applyProtection="1">
      <alignment horizontal="center"/>
      <protection locked="0"/>
    </xf>
    <xf numFmtId="164" fontId="29" fillId="42" borderId="34" xfId="67" applyNumberFormat="1" applyFont="1" applyFill="1" applyBorder="1" applyAlignment="1" applyProtection="1">
      <alignment horizontal="center"/>
      <protection/>
    </xf>
    <xf numFmtId="2" fontId="69" fillId="39" borderId="34" xfId="67" applyNumberFormat="1" applyFont="1" applyFill="1" applyBorder="1" applyAlignment="1">
      <alignment horizontal="center"/>
      <protection/>
    </xf>
    <xf numFmtId="2" fontId="70" fillId="36" borderId="34" xfId="67" applyNumberFormat="1" applyFont="1" applyFill="1" applyBorder="1" applyAlignment="1">
      <alignment horizontal="center"/>
      <protection/>
    </xf>
    <xf numFmtId="168" fontId="52" fillId="37" borderId="49" xfId="67" applyNumberFormat="1" applyFont="1" applyFill="1" applyBorder="1" applyAlignment="1" applyProtection="1" quotePrefix="1">
      <alignment horizontal="center"/>
      <protection/>
    </xf>
    <xf numFmtId="168" fontId="52" fillId="37" borderId="50" xfId="67" applyNumberFormat="1" applyFont="1" applyFill="1" applyBorder="1" applyAlignment="1" applyProtection="1" quotePrefix="1">
      <alignment horizontal="center"/>
      <protection/>
    </xf>
    <xf numFmtId="168" fontId="71" fillId="43" borderId="35" xfId="67" applyNumberFormat="1" applyFont="1" applyFill="1" applyBorder="1" applyAlignment="1" applyProtection="1" quotePrefix="1">
      <alignment horizontal="center"/>
      <protection/>
    </xf>
    <xf numFmtId="168" fontId="71" fillId="43" borderId="37" xfId="67" applyNumberFormat="1" applyFont="1" applyFill="1" applyBorder="1" applyAlignment="1" applyProtection="1" quotePrefix="1">
      <alignment horizontal="center"/>
      <protection/>
    </xf>
    <xf numFmtId="168" fontId="50" fillId="44" borderId="34" xfId="67" applyNumberFormat="1" applyFont="1" applyFill="1" applyBorder="1" applyAlignment="1" applyProtection="1" quotePrefix="1">
      <alignment horizontal="center"/>
      <protection/>
    </xf>
    <xf numFmtId="168" fontId="72" fillId="39" borderId="34" xfId="67" applyNumberFormat="1" applyFont="1" applyFill="1" applyBorder="1" applyAlignment="1" applyProtection="1" quotePrefix="1">
      <alignment horizontal="center"/>
      <protection/>
    </xf>
    <xf numFmtId="168" fontId="74" fillId="0" borderId="48" xfId="67" applyNumberFormat="1" applyFont="1" applyFill="1" applyBorder="1" applyAlignment="1">
      <alignment horizontal="center"/>
      <protection/>
    </xf>
    <xf numFmtId="168" fontId="64" fillId="0" borderId="51" xfId="67" applyNumberFormat="1" applyFont="1" applyFill="1" applyBorder="1" applyAlignment="1">
      <alignment horizontal="center"/>
      <protection/>
    </xf>
    <xf numFmtId="4" fontId="69" fillId="39" borderId="20" xfId="67" applyNumberFormat="1" applyFont="1" applyFill="1" applyBorder="1" applyAlignment="1">
      <alignment horizontal="center"/>
      <protection/>
    </xf>
    <xf numFmtId="4" fontId="70" fillId="36" borderId="20" xfId="67" applyNumberFormat="1" applyFont="1" applyFill="1" applyBorder="1" applyAlignment="1">
      <alignment horizontal="center"/>
      <protection/>
    </xf>
    <xf numFmtId="4" fontId="52" fillId="37" borderId="52" xfId="67" applyNumberFormat="1" applyFont="1" applyFill="1" applyBorder="1" applyAlignment="1">
      <alignment horizontal="center"/>
      <protection/>
    </xf>
    <xf numFmtId="4" fontId="52" fillId="37" borderId="16" xfId="67" applyNumberFormat="1" applyFont="1" applyFill="1" applyBorder="1" applyAlignment="1">
      <alignment horizontal="center"/>
      <protection/>
    </xf>
    <xf numFmtId="4" fontId="71" fillId="43" borderId="52" xfId="67" applyNumberFormat="1" applyFont="1" applyFill="1" applyBorder="1" applyAlignment="1">
      <alignment horizontal="center"/>
      <protection/>
    </xf>
    <xf numFmtId="4" fontId="71" fillId="43" borderId="53" xfId="67" applyNumberFormat="1" applyFont="1" applyFill="1" applyBorder="1" applyAlignment="1">
      <alignment horizontal="center"/>
      <protection/>
    </xf>
    <xf numFmtId="4" fontId="50" fillId="44" borderId="20" xfId="67" applyNumberFormat="1" applyFont="1" applyFill="1" applyBorder="1" applyAlignment="1">
      <alignment horizontal="center"/>
      <protection/>
    </xf>
    <xf numFmtId="4" fontId="72" fillId="39" borderId="20" xfId="67" applyNumberFormat="1" applyFont="1" applyFill="1" applyBorder="1" applyAlignment="1">
      <alignment horizontal="center"/>
      <protection/>
    </xf>
    <xf numFmtId="7" fontId="75" fillId="0" borderId="20" xfId="67" applyNumberFormat="1" applyFont="1" applyFill="1" applyBorder="1" applyAlignment="1">
      <alignment horizontal="right"/>
      <protection/>
    </xf>
    <xf numFmtId="0" fontId="13" fillId="0" borderId="17" xfId="67" applyFont="1" applyFill="1" applyBorder="1">
      <alignment/>
      <protection/>
    </xf>
    <xf numFmtId="0" fontId="13" fillId="0" borderId="18" xfId="67" applyFont="1" applyFill="1" applyBorder="1">
      <alignment/>
      <protection/>
    </xf>
    <xf numFmtId="0" fontId="13" fillId="0" borderId="19" xfId="67" applyFont="1" applyFill="1" applyBorder="1">
      <alignment/>
      <protection/>
    </xf>
    <xf numFmtId="0" fontId="3" fillId="0" borderId="0" xfId="67" applyFill="1">
      <alignment/>
      <protection/>
    </xf>
    <xf numFmtId="0" fontId="0" fillId="0" borderId="0" xfId="67" applyFont="1">
      <alignment/>
      <protection/>
    </xf>
    <xf numFmtId="0" fontId="13" fillId="0" borderId="0" xfId="67" applyFont="1" applyFill="1" applyAlignment="1">
      <alignment vertical="top"/>
      <protection/>
    </xf>
    <xf numFmtId="0" fontId="16" fillId="0" borderId="0" xfId="67" applyFont="1" applyFill="1" applyAlignment="1">
      <alignment vertical="top"/>
      <protection/>
    </xf>
    <xf numFmtId="0" fontId="13" fillId="0" borderId="12" xfId="67" applyFont="1" applyBorder="1">
      <alignment/>
      <protection/>
    </xf>
    <xf numFmtId="0" fontId="20" fillId="0" borderId="0" xfId="67" applyFont="1" applyFill="1" applyBorder="1">
      <alignment/>
      <protection/>
    </xf>
    <xf numFmtId="0" fontId="16" fillId="0" borderId="14" xfId="67" applyFont="1" applyBorder="1">
      <alignment/>
      <protection/>
    </xf>
    <xf numFmtId="0" fontId="20" fillId="0" borderId="0" xfId="67" applyFont="1" applyFill="1">
      <alignment/>
      <protection/>
    </xf>
    <xf numFmtId="0" fontId="77" fillId="0" borderId="0" xfId="67" applyFont="1" applyFill="1">
      <alignment/>
      <protection/>
    </xf>
    <xf numFmtId="0" fontId="16" fillId="0" borderId="0" xfId="67" applyFont="1" applyFill="1" applyBorder="1" applyProtection="1">
      <alignment/>
      <protection/>
    </xf>
    <xf numFmtId="0" fontId="5" fillId="0" borderId="0" xfId="67" applyFont="1" applyFill="1">
      <alignment/>
      <protection/>
    </xf>
    <xf numFmtId="0" fontId="13" fillId="0" borderId="0" xfId="67" applyFont="1" applyFill="1" applyBorder="1" applyProtection="1">
      <alignment/>
      <protection/>
    </xf>
    <xf numFmtId="0" fontId="24" fillId="0" borderId="0" xfId="67" applyFont="1" applyBorder="1" applyAlignment="1" applyProtection="1">
      <alignment horizontal="centerContinuous"/>
      <protection/>
    </xf>
    <xf numFmtId="0" fontId="24" fillId="0" borderId="14" xfId="67" applyFont="1" applyBorder="1" applyAlignment="1">
      <alignment horizontal="centerContinuous"/>
      <protection/>
    </xf>
    <xf numFmtId="0" fontId="25" fillId="0" borderId="13" xfId="67" applyFont="1" applyBorder="1" applyAlignment="1">
      <alignment horizontal="centerContinuous"/>
      <protection/>
    </xf>
    <xf numFmtId="0" fontId="25" fillId="0" borderId="0" xfId="67" applyFont="1" applyBorder="1" applyAlignment="1">
      <alignment horizontal="centerContinuous"/>
      <protection/>
    </xf>
    <xf numFmtId="0" fontId="25" fillId="0" borderId="0" xfId="67" applyFont="1" applyBorder="1" applyAlignment="1" applyProtection="1">
      <alignment horizontal="centerContinuous"/>
      <protection/>
    </xf>
    <xf numFmtId="0" fontId="25" fillId="0" borderId="14" xfId="67" applyFont="1" applyBorder="1" applyAlignment="1">
      <alignment horizontal="centerContinuous"/>
      <protection/>
    </xf>
    <xf numFmtId="0" fontId="3" fillId="0" borderId="0" xfId="67" applyFont="1" applyBorder="1">
      <alignment/>
      <protection/>
    </xf>
    <xf numFmtId="0" fontId="3" fillId="0" borderId="20" xfId="67" applyFont="1" applyBorder="1" applyAlignment="1">
      <alignment horizontal="center"/>
      <protection/>
    </xf>
    <xf numFmtId="0" fontId="3" fillId="0" borderId="15" xfId="67" applyFont="1" applyBorder="1" applyAlignment="1" applyProtection="1">
      <alignment horizontal="left" vertical="center"/>
      <protection/>
    </xf>
    <xf numFmtId="174" fontId="3" fillId="0" borderId="16" xfId="67" applyNumberFormat="1" applyFont="1" applyBorder="1" applyAlignment="1" applyProtection="1">
      <alignment horizontal="center" vertical="center"/>
      <protection/>
    </xf>
    <xf numFmtId="0" fontId="3" fillId="0" borderId="20" xfId="67" applyFont="1" applyBorder="1" applyAlignment="1">
      <alignment horizontal="center" vertical="center"/>
      <protection/>
    </xf>
    <xf numFmtId="0" fontId="3" fillId="0" borderId="15" xfId="67" applyFont="1" applyBorder="1" applyAlignment="1">
      <alignment vertical="center"/>
      <protection/>
    </xf>
    <xf numFmtId="174" fontId="3" fillId="0" borderId="16" xfId="67" applyNumberFormat="1" applyFont="1" applyBorder="1" applyAlignment="1">
      <alignment horizontal="center" vertical="center"/>
      <protection/>
    </xf>
    <xf numFmtId="0" fontId="3" fillId="0" borderId="15" xfId="67" applyFont="1" applyBorder="1" applyAlignment="1">
      <alignment horizontal="left" vertical="center"/>
      <protection/>
    </xf>
    <xf numFmtId="0" fontId="30" fillId="0" borderId="16" xfId="67" applyFont="1" applyBorder="1" applyAlignment="1" applyProtection="1">
      <alignment horizontal="center" vertical="center"/>
      <protection/>
    </xf>
    <xf numFmtId="0" fontId="30" fillId="0" borderId="21" xfId="67" applyFont="1" applyBorder="1" applyAlignment="1">
      <alignment horizontal="center" vertical="center" wrapText="1"/>
      <protection/>
    </xf>
    <xf numFmtId="0" fontId="30" fillId="0" borderId="16" xfId="67" applyFont="1" applyBorder="1" applyAlignment="1" applyProtection="1">
      <alignment horizontal="center" vertical="center" wrapText="1"/>
      <protection/>
    </xf>
    <xf numFmtId="0" fontId="61" fillId="34" borderId="20" xfId="67" applyFont="1" applyFill="1" applyBorder="1" applyAlignment="1" applyProtection="1">
      <alignment horizontal="center" vertical="center"/>
      <protection/>
    </xf>
    <xf numFmtId="0" fontId="67" fillId="43" borderId="20" xfId="67" applyFont="1" applyFill="1" applyBorder="1" applyAlignment="1">
      <alignment horizontal="center" vertical="center" wrapText="1"/>
      <protection/>
    </xf>
    <xf numFmtId="0" fontId="35" fillId="36" borderId="15" xfId="67" applyFont="1" applyFill="1" applyBorder="1" applyAlignment="1" applyProtection="1">
      <alignment horizontal="centerContinuous" vertical="center" wrapText="1"/>
      <protection/>
    </xf>
    <xf numFmtId="0" fontId="35" fillId="36" borderId="16" xfId="67" applyFont="1" applyFill="1" applyBorder="1" applyAlignment="1">
      <alignment horizontal="centerContinuous" vertical="center"/>
      <protection/>
    </xf>
    <xf numFmtId="0" fontId="61" fillId="35" borderId="20" xfId="67" applyFont="1" applyFill="1" applyBorder="1" applyAlignment="1">
      <alignment horizontal="center" vertical="center" wrapText="1"/>
      <protection/>
    </xf>
    <xf numFmtId="0" fontId="73" fillId="0" borderId="27" xfId="67" applyFont="1" applyBorder="1" applyAlignment="1" applyProtection="1">
      <alignment horizontal="center"/>
      <protection/>
    </xf>
    <xf numFmtId="0" fontId="29" fillId="34" borderId="22" xfId="67" applyFont="1" applyFill="1" applyBorder="1" applyAlignment="1" applyProtection="1">
      <alignment horizontal="center"/>
      <protection/>
    </xf>
    <xf numFmtId="0" fontId="71" fillId="43" borderId="22" xfId="67" applyFont="1" applyFill="1" applyBorder="1" applyAlignment="1" applyProtection="1">
      <alignment horizontal="center"/>
      <protection/>
    </xf>
    <xf numFmtId="168" fontId="51" fillId="36" borderId="23" xfId="67" applyNumberFormat="1" applyFont="1" applyFill="1" applyBorder="1" applyAlignment="1" applyProtection="1" quotePrefix="1">
      <alignment horizontal="center"/>
      <protection/>
    </xf>
    <xf numFmtId="168" fontId="51" fillId="36" borderId="25" xfId="67" applyNumberFormat="1" applyFont="1" applyFill="1" applyBorder="1" applyAlignment="1" applyProtection="1" quotePrefix="1">
      <alignment horizontal="center"/>
      <protection/>
    </xf>
    <xf numFmtId="168" fontId="63" fillId="35" borderId="22" xfId="67" applyNumberFormat="1" applyFont="1" applyFill="1" applyBorder="1" applyAlignment="1" applyProtection="1" quotePrefix="1">
      <alignment horizontal="center"/>
      <protection/>
    </xf>
    <xf numFmtId="7" fontId="78" fillId="0" borderId="27" xfId="67" applyNumberFormat="1" applyFont="1" applyBorder="1" applyAlignment="1" applyProtection="1">
      <alignment/>
      <protection/>
    </xf>
    <xf numFmtId="0" fontId="73" fillId="0" borderId="32" xfId="67" applyFont="1" applyBorder="1" applyAlignment="1" applyProtection="1">
      <alignment horizontal="center"/>
      <protection/>
    </xf>
    <xf numFmtId="0" fontId="62" fillId="37" borderId="32" xfId="67" applyFont="1" applyFill="1" applyBorder="1" applyAlignment="1" applyProtection="1">
      <alignment horizontal="center"/>
      <protection/>
    </xf>
    <xf numFmtId="0" fontId="29" fillId="34" borderId="27" xfId="67" applyFont="1" applyFill="1" applyBorder="1" applyAlignment="1" applyProtection="1">
      <alignment horizontal="center"/>
      <protection/>
    </xf>
    <xf numFmtId="0" fontId="71" fillId="43" borderId="27" xfId="67" applyFont="1" applyFill="1" applyBorder="1" applyAlignment="1" applyProtection="1">
      <alignment horizontal="center"/>
      <protection/>
    </xf>
    <xf numFmtId="168" fontId="51" fillId="36" borderId="29" xfId="67" applyNumberFormat="1" applyFont="1" applyFill="1" applyBorder="1" applyAlignment="1" applyProtection="1" quotePrefix="1">
      <alignment horizontal="center"/>
      <protection/>
    </xf>
    <xf numFmtId="168" fontId="51" fillId="36" borderId="54" xfId="67" applyNumberFormat="1" applyFont="1" applyFill="1" applyBorder="1" applyAlignment="1" applyProtection="1" quotePrefix="1">
      <alignment horizontal="center"/>
      <protection/>
    </xf>
    <xf numFmtId="168" fontId="63" fillId="35" borderId="27" xfId="67" applyNumberFormat="1" applyFont="1" applyFill="1" applyBorder="1" applyAlignment="1" applyProtection="1" quotePrefix="1">
      <alignment horizontal="center"/>
      <protection/>
    </xf>
    <xf numFmtId="168" fontId="76" fillId="0" borderId="27" xfId="67" applyNumberFormat="1" applyFont="1" applyFill="1" applyBorder="1" applyAlignment="1">
      <alignment horizontal="center"/>
      <protection/>
    </xf>
    <xf numFmtId="0" fontId="73" fillId="0" borderId="32" xfId="67" applyFont="1" applyBorder="1" applyAlignment="1" applyProtection="1">
      <alignment horizontal="center"/>
      <protection locked="0"/>
    </xf>
    <xf numFmtId="164" fontId="49" fillId="0" borderId="27" xfId="67" applyNumberFormat="1" applyFont="1" applyBorder="1" applyAlignment="1" applyProtection="1" quotePrefix="1">
      <alignment horizontal="center"/>
      <protection locked="0"/>
    </xf>
    <xf numFmtId="168" fontId="62" fillId="37" borderId="27" xfId="67" applyNumberFormat="1" applyFont="1" applyFill="1" applyBorder="1" applyAlignment="1" applyProtection="1">
      <alignment horizontal="center"/>
      <protection/>
    </xf>
    <xf numFmtId="22" fontId="13" fillId="0" borderId="29" xfId="67" applyNumberFormat="1" applyFont="1" applyBorder="1" applyAlignment="1" applyProtection="1">
      <alignment horizontal="center"/>
      <protection locked="0"/>
    </xf>
    <xf numFmtId="22" fontId="13" fillId="0" borderId="27" xfId="67" applyNumberFormat="1" applyFont="1" applyBorder="1" applyAlignment="1" applyProtection="1">
      <alignment horizontal="center"/>
      <protection locked="0"/>
    </xf>
    <xf numFmtId="2" fontId="13" fillId="0" borderId="27" xfId="67" applyNumberFormat="1" applyFont="1" applyFill="1" applyBorder="1" applyAlignment="1" applyProtection="1" quotePrefix="1">
      <alignment horizontal="center"/>
      <protection/>
    </xf>
    <xf numFmtId="164" fontId="13" fillId="0" borderId="27" xfId="67" applyNumberFormat="1" applyFont="1" applyFill="1" applyBorder="1" applyAlignment="1" applyProtection="1" quotePrefix="1">
      <alignment horizontal="center"/>
      <protection/>
    </xf>
    <xf numFmtId="164" fontId="29" fillId="34" borderId="27" xfId="67" applyNumberFormat="1" applyFont="1" applyFill="1" applyBorder="1" applyAlignment="1" applyProtection="1">
      <alignment horizontal="center"/>
      <protection/>
    </xf>
    <xf numFmtId="2" fontId="71" fillId="43" borderId="27" xfId="67" applyNumberFormat="1" applyFont="1" applyFill="1" applyBorder="1" applyAlignment="1" applyProtection="1">
      <alignment horizontal="center"/>
      <protection/>
    </xf>
    <xf numFmtId="4" fontId="76" fillId="0" borderId="27" xfId="67" applyNumberFormat="1" applyFont="1" applyFill="1" applyBorder="1" applyAlignment="1">
      <alignment horizontal="right"/>
      <protection/>
    </xf>
    <xf numFmtId="168" fontId="13" fillId="0" borderId="48" xfId="67" applyNumberFormat="1" applyFont="1" applyBorder="1" applyAlignment="1" applyProtection="1">
      <alignment horizontal="center"/>
      <protection locked="0"/>
    </xf>
    <xf numFmtId="168" fontId="13" fillId="0" borderId="48" xfId="67" applyNumberFormat="1" applyFont="1" applyBorder="1" applyAlignment="1" applyProtection="1">
      <alignment horizontal="center"/>
      <protection/>
    </xf>
    <xf numFmtId="164" fontId="29" fillId="34" borderId="34" xfId="67" applyNumberFormat="1" applyFont="1" applyFill="1" applyBorder="1" applyAlignment="1" applyProtection="1">
      <alignment horizontal="center"/>
      <protection locked="0"/>
    </xf>
    <xf numFmtId="2" fontId="71" fillId="43" borderId="34" xfId="67" applyNumberFormat="1" applyFont="1" applyFill="1" applyBorder="1" applyAlignment="1" applyProtection="1">
      <alignment horizontal="center"/>
      <protection locked="0"/>
    </xf>
    <xf numFmtId="168" fontId="51" fillId="36" borderId="35" xfId="67" applyNumberFormat="1" applyFont="1" applyFill="1" applyBorder="1" applyAlignment="1" applyProtection="1" quotePrefix="1">
      <alignment horizontal="center"/>
      <protection locked="0"/>
    </xf>
    <xf numFmtId="168" fontId="51" fillId="36" borderId="37" xfId="67" applyNumberFormat="1" applyFont="1" applyFill="1" applyBorder="1" applyAlignment="1" applyProtection="1" quotePrefix="1">
      <alignment horizontal="center"/>
      <protection locked="0"/>
    </xf>
    <xf numFmtId="168" fontId="63" fillId="35" borderId="34" xfId="67" applyNumberFormat="1" applyFont="1" applyFill="1" applyBorder="1" applyAlignment="1" applyProtection="1" quotePrefix="1">
      <alignment horizontal="center"/>
      <protection locked="0"/>
    </xf>
    <xf numFmtId="7" fontId="64" fillId="0" borderId="38" xfId="67" applyNumberFormat="1" applyFont="1" applyFill="1" applyBorder="1" applyAlignment="1">
      <alignment horizontal="right"/>
      <protection/>
    </xf>
    <xf numFmtId="4" fontId="71" fillId="43" borderId="20" xfId="67" applyNumberFormat="1" applyFont="1" applyFill="1" applyBorder="1" applyAlignment="1">
      <alignment horizontal="center"/>
      <protection/>
    </xf>
    <xf numFmtId="4" fontId="51" fillId="36" borderId="52" xfId="67" applyNumberFormat="1" applyFont="1" applyFill="1" applyBorder="1" applyAlignment="1">
      <alignment horizontal="center"/>
      <protection/>
    </xf>
    <xf numFmtId="4" fontId="51" fillId="36" borderId="53" xfId="67" applyNumberFormat="1" applyFont="1" applyFill="1" applyBorder="1" applyAlignment="1">
      <alignment horizontal="center"/>
      <protection/>
    </xf>
    <xf numFmtId="4" fontId="63" fillId="35" borderId="20" xfId="67" applyNumberFormat="1" applyFont="1" applyFill="1" applyBorder="1" applyAlignment="1">
      <alignment horizontal="center"/>
      <protection/>
    </xf>
    <xf numFmtId="4" fontId="19" fillId="0" borderId="0" xfId="67" applyNumberFormat="1" applyFont="1" applyFill="1" applyBorder="1" applyAlignment="1">
      <alignment horizontal="center"/>
      <protection/>
    </xf>
    <xf numFmtId="7" fontId="4" fillId="0" borderId="20" xfId="67" applyNumberFormat="1" applyFont="1" applyFill="1" applyBorder="1" applyAlignment="1">
      <alignment horizontal="right"/>
      <protection/>
    </xf>
    <xf numFmtId="0" fontId="20" fillId="0" borderId="0" xfId="67" applyFont="1" applyFill="1" applyAlignment="1">
      <alignment vertical="top"/>
      <protection/>
    </xf>
    <xf numFmtId="0" fontId="77" fillId="0" borderId="0" xfId="67" applyFont="1" applyFill="1" applyAlignment="1">
      <alignment vertical="top"/>
      <protection/>
    </xf>
    <xf numFmtId="0" fontId="16" fillId="0" borderId="0" xfId="67" applyFont="1" applyFill="1" applyBorder="1" applyAlignment="1" applyProtection="1">
      <alignment vertical="top"/>
      <protection/>
    </xf>
    <xf numFmtId="0" fontId="16" fillId="0" borderId="14" xfId="67" applyFont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13" fillId="0" borderId="0" xfId="67" applyFont="1" applyFill="1" applyBorder="1" applyAlignment="1" applyProtection="1">
      <alignment vertical="top"/>
      <protection/>
    </xf>
    <xf numFmtId="0" fontId="25" fillId="0" borderId="0" xfId="67" applyFont="1" applyBorder="1" applyAlignment="1">
      <alignment vertical="top"/>
      <protection/>
    </xf>
    <xf numFmtId="0" fontId="13" fillId="0" borderId="14" xfId="67" applyFont="1" applyBorder="1" applyAlignment="1">
      <alignment vertical="top"/>
      <protection/>
    </xf>
    <xf numFmtId="174" fontId="3" fillId="0" borderId="16" xfId="67" applyNumberFormat="1" applyFont="1" applyBorder="1" applyAlignment="1" applyProtection="1">
      <alignment horizontal="center" vertical="center"/>
      <protection locked="0"/>
    </xf>
    <xf numFmtId="0" fontId="9" fillId="0" borderId="0" xfId="67" applyFont="1" applyAlignment="1">
      <alignment horizontal="centerContinuous"/>
      <protection/>
    </xf>
    <xf numFmtId="0" fontId="16" fillId="0" borderId="14" xfId="67" applyFont="1" applyBorder="1" applyAlignment="1">
      <alignment horizontal="centerContinuous"/>
      <protection/>
    </xf>
    <xf numFmtId="0" fontId="5" fillId="0" borderId="0" xfId="67" applyFont="1" applyBorder="1">
      <alignment/>
      <protection/>
    </xf>
    <xf numFmtId="0" fontId="24" fillId="0" borderId="0" xfId="67" applyFont="1" applyBorder="1" applyAlignment="1">
      <alignment horizontal="centerContinuous"/>
      <protection/>
    </xf>
    <xf numFmtId="0" fontId="24" fillId="0" borderId="0" xfId="67" applyFont="1" applyBorder="1" applyAlignment="1" applyProtection="1">
      <alignment horizontal="centerContinuous"/>
      <protection/>
    </xf>
    <xf numFmtId="0" fontId="24" fillId="0" borderId="14" xfId="67" applyFont="1" applyBorder="1" applyAlignment="1">
      <alignment horizontal="centerContinuous"/>
      <protection/>
    </xf>
    <xf numFmtId="0" fontId="13" fillId="0" borderId="55" xfId="67" applyFont="1" applyBorder="1" applyAlignment="1">
      <alignment horizontal="center"/>
      <protection/>
    </xf>
    <xf numFmtId="0" fontId="13" fillId="0" borderId="41" xfId="67" applyFont="1" applyBorder="1" applyAlignment="1">
      <alignment horizontal="center"/>
      <protection/>
    </xf>
    <xf numFmtId="0" fontId="73" fillId="0" borderId="31" xfId="67" applyFont="1" applyBorder="1" applyAlignment="1" applyProtection="1">
      <alignment horizontal="center"/>
      <protection/>
    </xf>
    <xf numFmtId="0" fontId="73" fillId="0" borderId="26" xfId="67" applyFont="1" applyBorder="1" applyAlignment="1" applyProtection="1">
      <alignment horizontal="center"/>
      <protection/>
    </xf>
    <xf numFmtId="0" fontId="73" fillId="0" borderId="56" xfId="67" applyFont="1" applyBorder="1" applyAlignment="1" applyProtection="1">
      <alignment horizontal="center"/>
      <protection locked="0"/>
    </xf>
    <xf numFmtId="0" fontId="73" fillId="0" borderId="27" xfId="67" applyFont="1" applyBorder="1" applyAlignment="1" applyProtection="1">
      <alignment horizontal="center"/>
      <protection locked="0"/>
    </xf>
    <xf numFmtId="0" fontId="73" fillId="0" borderId="34" xfId="67" applyFont="1" applyBorder="1" applyAlignment="1" applyProtection="1">
      <alignment horizontal="center"/>
      <protection locked="0"/>
    </xf>
    <xf numFmtId="0" fontId="0" fillId="0" borderId="0" xfId="67" applyFont="1" applyBorder="1">
      <alignment/>
      <protection/>
    </xf>
    <xf numFmtId="22" fontId="13" fillId="0" borderId="27" xfId="67" applyNumberFormat="1" applyFont="1" applyFill="1" applyBorder="1" applyAlignment="1">
      <alignment horizontal="center"/>
      <protection/>
    </xf>
    <xf numFmtId="0" fontId="79" fillId="37" borderId="57" xfId="67" applyFont="1" applyFill="1" applyBorder="1">
      <alignment/>
      <protection/>
    </xf>
    <xf numFmtId="0" fontId="79" fillId="0" borderId="0" xfId="67" applyFont="1">
      <alignment/>
      <protection/>
    </xf>
    <xf numFmtId="0" fontId="79" fillId="0" borderId="0" xfId="67" applyFont="1" applyFill="1">
      <alignment/>
      <protection/>
    </xf>
    <xf numFmtId="0" fontId="79" fillId="0" borderId="57" xfId="67" applyFont="1" applyBorder="1">
      <alignment/>
      <protection/>
    </xf>
    <xf numFmtId="0" fontId="79" fillId="0" borderId="57" xfId="67" applyFont="1" applyBorder="1" quotePrefix="1">
      <alignment/>
      <protection/>
    </xf>
    <xf numFmtId="0" fontId="80" fillId="0" borderId="0" xfId="60" applyFont="1" applyFill="1" applyAlignment="1">
      <alignment/>
      <protection/>
    </xf>
    <xf numFmtId="0" fontId="79" fillId="37" borderId="57" xfId="67" applyFont="1" applyFill="1" applyBorder="1" applyAlignment="1">
      <alignment horizontal="center"/>
      <protection/>
    </xf>
    <xf numFmtId="0" fontId="79" fillId="45" borderId="0" xfId="67" applyFont="1" applyFill="1">
      <alignment/>
      <protection/>
    </xf>
    <xf numFmtId="0" fontId="79" fillId="45" borderId="0" xfId="67" applyNumberFormat="1" applyFont="1" applyFill="1">
      <alignment/>
      <protection/>
    </xf>
    <xf numFmtId="0" fontId="79" fillId="0" borderId="57" xfId="67" applyFont="1" applyFill="1" applyBorder="1" applyAlignment="1">
      <alignment horizontal="center"/>
      <protection/>
    </xf>
    <xf numFmtId="0" fontId="79" fillId="45" borderId="0" xfId="60" applyFont="1" applyFill="1" applyAlignment="1">
      <alignment/>
      <protection/>
    </xf>
    <xf numFmtId="0" fontId="81" fillId="0" borderId="57" xfId="67" applyFont="1" applyBorder="1">
      <alignment/>
      <protection/>
    </xf>
    <xf numFmtId="0" fontId="81" fillId="0" borderId="57" xfId="67" applyFont="1" applyFill="1" applyBorder="1">
      <alignment/>
      <protection/>
    </xf>
    <xf numFmtId="0" fontId="81" fillId="0" borderId="58" xfId="67" applyFont="1" applyBorder="1">
      <alignment/>
      <protection/>
    </xf>
    <xf numFmtId="0" fontId="81" fillId="0" borderId="58" xfId="67" applyFont="1" applyFill="1" applyBorder="1">
      <alignment/>
      <protection/>
    </xf>
    <xf numFmtId="0" fontId="82" fillId="0" borderId="57" xfId="67" applyFont="1" applyFill="1" applyBorder="1">
      <alignment/>
      <protection/>
    </xf>
    <xf numFmtId="0" fontId="82" fillId="0" borderId="57" xfId="67" applyFont="1" applyBorder="1">
      <alignment/>
      <protection/>
    </xf>
    <xf numFmtId="0" fontId="81" fillId="0" borderId="0" xfId="67" applyFont="1" applyFill="1">
      <alignment/>
      <protection/>
    </xf>
    <xf numFmtId="0" fontId="82" fillId="0" borderId="58" xfId="67" applyFont="1" applyBorder="1">
      <alignment/>
      <protection/>
    </xf>
    <xf numFmtId="0" fontId="82" fillId="0" borderId="58" xfId="67" applyFont="1" applyFill="1" applyBorder="1">
      <alignment/>
      <protection/>
    </xf>
    <xf numFmtId="0" fontId="83" fillId="0" borderId="57" xfId="67" applyFont="1" applyFill="1" applyBorder="1">
      <alignment/>
      <protection/>
    </xf>
    <xf numFmtId="0" fontId="83" fillId="0" borderId="58" xfId="67" applyFont="1" applyFill="1" applyBorder="1">
      <alignment/>
      <protection/>
    </xf>
    <xf numFmtId="0" fontId="83" fillId="46" borderId="57" xfId="67" applyFont="1" applyFill="1" applyBorder="1">
      <alignment/>
      <protection/>
    </xf>
    <xf numFmtId="0" fontId="3" fillId="0" borderId="0" xfId="67" quotePrefix="1">
      <alignment/>
      <protection/>
    </xf>
    <xf numFmtId="1" fontId="13" fillId="0" borderId="47" xfId="67" applyNumberFormat="1" applyFont="1" applyBorder="1" applyAlignment="1" applyProtection="1">
      <alignment horizontal="center"/>
      <protection locked="0"/>
    </xf>
    <xf numFmtId="0" fontId="13" fillId="0" borderId="31" xfId="67" applyFont="1" applyFill="1" applyBorder="1" applyAlignment="1">
      <alignment horizontal="center"/>
      <protection/>
    </xf>
    <xf numFmtId="164" fontId="13" fillId="0" borderId="45" xfId="67" applyNumberFormat="1" applyFont="1" applyFill="1" applyBorder="1" applyAlignment="1" applyProtection="1">
      <alignment horizontal="center"/>
      <protection/>
    </xf>
    <xf numFmtId="0" fontId="8" fillId="0" borderId="0" xfId="68" applyFont="1">
      <alignment/>
      <protection/>
    </xf>
    <xf numFmtId="0" fontId="11" fillId="0" borderId="0" xfId="68" applyFont="1" applyAlignment="1">
      <alignment horizontal="right" vertical="top"/>
      <protection/>
    </xf>
    <xf numFmtId="0" fontId="8" fillId="0" borderId="0" xfId="68" applyFont="1" applyFill="1">
      <alignment/>
      <protection/>
    </xf>
    <xf numFmtId="0" fontId="9" fillId="0" borderId="0" xfId="68" applyFont="1" applyAlignment="1">
      <alignment horizontal="centerContinuous"/>
      <protection/>
    </xf>
    <xf numFmtId="0" fontId="13" fillId="0" borderId="0" xfId="68" applyFont="1" applyFill="1">
      <alignment/>
      <protection/>
    </xf>
    <xf numFmtId="0" fontId="13" fillId="0" borderId="0" xfId="68" applyFont="1">
      <alignment/>
      <protection/>
    </xf>
    <xf numFmtId="0" fontId="6" fillId="0" borderId="0" xfId="68" applyFont="1" applyFill="1" applyBorder="1" applyAlignment="1" applyProtection="1">
      <alignment horizontal="centerContinuous"/>
      <protection/>
    </xf>
    <xf numFmtId="0" fontId="14" fillId="0" borderId="0" xfId="68" applyFont="1" applyAlignment="1">
      <alignment horizontal="centerContinuous"/>
      <protection/>
    </xf>
    <xf numFmtId="0" fontId="14" fillId="0" borderId="0" xfId="68" applyFont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3" fillId="0" borderId="12" xfId="68" applyFont="1" applyBorder="1">
      <alignment/>
      <protection/>
    </xf>
    <xf numFmtId="0" fontId="16" fillId="0" borderId="0" xfId="68" applyFont="1">
      <alignment/>
      <protection/>
    </xf>
    <xf numFmtId="0" fontId="16" fillId="0" borderId="13" xfId="68" applyFont="1" applyBorder="1">
      <alignment/>
      <protection/>
    </xf>
    <xf numFmtId="0" fontId="16" fillId="0" borderId="0" xfId="68" applyFont="1" applyBorder="1">
      <alignment/>
      <protection/>
    </xf>
    <xf numFmtId="0" fontId="20" fillId="0" borderId="0" xfId="68" applyFont="1" applyFill="1" applyBorder="1">
      <alignment/>
      <protection/>
    </xf>
    <xf numFmtId="0" fontId="16" fillId="0" borderId="0" xfId="68" applyFont="1" applyFill="1">
      <alignment/>
      <protection/>
    </xf>
    <xf numFmtId="0" fontId="16" fillId="0" borderId="0" xfId="68" applyFont="1" applyFill="1" applyBorder="1">
      <alignment/>
      <protection/>
    </xf>
    <xf numFmtId="0" fontId="16" fillId="0" borderId="14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 applyBorder="1">
      <alignment/>
      <protection/>
    </xf>
    <xf numFmtId="0" fontId="13" fillId="0" borderId="0" xfId="68" applyFont="1" applyFill="1" applyBorder="1">
      <alignment/>
      <protection/>
    </xf>
    <xf numFmtId="0" fontId="13" fillId="0" borderId="14" xfId="68" applyFont="1" applyBorder="1">
      <alignment/>
      <protection/>
    </xf>
    <xf numFmtId="0" fontId="20" fillId="0" borderId="0" xfId="68" applyFont="1" applyFill="1">
      <alignment/>
      <protection/>
    </xf>
    <xf numFmtId="0" fontId="77" fillId="0" borderId="0" xfId="68" applyFont="1" applyFill="1">
      <alignment/>
      <protection/>
    </xf>
    <xf numFmtId="0" fontId="16" fillId="0" borderId="0" xfId="68" applyFont="1" applyFill="1" applyBorder="1" applyProtection="1">
      <alignment/>
      <protection/>
    </xf>
    <xf numFmtId="0" fontId="5" fillId="0" borderId="0" xfId="68" applyFont="1" applyFill="1">
      <alignment/>
      <protection/>
    </xf>
    <xf numFmtId="0" fontId="13" fillId="0" borderId="0" xfId="68" applyFont="1" applyFill="1" applyBorder="1" applyProtection="1">
      <alignment/>
      <protection/>
    </xf>
    <xf numFmtId="0" fontId="25" fillId="0" borderId="0" xfId="68" applyFont="1" applyBorder="1">
      <alignment/>
      <protection/>
    </xf>
    <xf numFmtId="0" fontId="24" fillId="0" borderId="13" xfId="68" applyFont="1" applyBorder="1" applyAlignment="1">
      <alignment horizontal="centerContinuous"/>
      <protection/>
    </xf>
    <xf numFmtId="0" fontId="24" fillId="0" borderId="0" xfId="68" applyFont="1" applyBorder="1" applyAlignment="1">
      <alignment horizontal="centerContinuous"/>
      <protection/>
    </xf>
    <xf numFmtId="0" fontId="24" fillId="0" borderId="0" xfId="68" applyFont="1" applyBorder="1" applyAlignment="1" applyProtection="1">
      <alignment horizontal="centerContinuous"/>
      <protection/>
    </xf>
    <xf numFmtId="0" fontId="24" fillId="0" borderId="14" xfId="68" applyFont="1" applyBorder="1" applyAlignment="1">
      <alignment horizontal="centerContinuous"/>
      <protection/>
    </xf>
    <xf numFmtId="0" fontId="25" fillId="0" borderId="13" xfId="68" applyFont="1" applyBorder="1" applyAlignment="1">
      <alignment horizontal="centerContinuous"/>
      <protection/>
    </xf>
    <xf numFmtId="0" fontId="25" fillId="0" borderId="0" xfId="68" applyFont="1" applyBorder="1" applyAlignment="1">
      <alignment horizontal="centerContinuous"/>
      <protection/>
    </xf>
    <xf numFmtId="0" fontId="25" fillId="0" borderId="0" xfId="68" applyFont="1" applyBorder="1" applyAlignment="1" applyProtection="1">
      <alignment horizontal="centerContinuous"/>
      <protection/>
    </xf>
    <xf numFmtId="0" fontId="25" fillId="0" borderId="14" xfId="68" applyFont="1" applyBorder="1" applyAlignment="1">
      <alignment horizontal="centerContinuous"/>
      <protection/>
    </xf>
    <xf numFmtId="0" fontId="3" fillId="0" borderId="0" xfId="68" applyFont="1" applyBorder="1">
      <alignment/>
      <protection/>
    </xf>
    <xf numFmtId="0" fontId="3" fillId="0" borderId="20" xfId="68" applyFont="1" applyBorder="1" applyAlignment="1">
      <alignment horizontal="center"/>
      <protection/>
    </xf>
    <xf numFmtId="0" fontId="3" fillId="0" borderId="15" xfId="68" applyFont="1" applyBorder="1" applyAlignment="1" applyProtection="1">
      <alignment horizontal="left" vertical="center"/>
      <protection/>
    </xf>
    <xf numFmtId="174" fontId="3" fillId="0" borderId="16" xfId="68" applyNumberFormat="1" applyFont="1" applyBorder="1" applyAlignment="1" applyProtection="1">
      <alignment horizontal="center" vertical="center"/>
      <protection/>
    </xf>
    <xf numFmtId="0" fontId="3" fillId="0" borderId="20" xfId="68" applyFont="1" applyBorder="1" applyAlignment="1">
      <alignment horizontal="center" vertical="center"/>
      <protection/>
    </xf>
    <xf numFmtId="22" fontId="13" fillId="0" borderId="0" xfId="68" applyNumberFormat="1" applyFont="1" applyBorder="1">
      <alignment/>
      <protection/>
    </xf>
    <xf numFmtId="0" fontId="3" fillId="0" borderId="15" xfId="68" applyFont="1" applyBorder="1" applyAlignment="1">
      <alignment vertical="center"/>
      <protection/>
    </xf>
    <xf numFmtId="174" fontId="3" fillId="0" borderId="16" xfId="68" applyNumberFormat="1" applyFont="1" applyBorder="1" applyAlignment="1">
      <alignment horizontal="center" vertical="center"/>
      <protection/>
    </xf>
    <xf numFmtId="0" fontId="3" fillId="0" borderId="15" xfId="68" applyFont="1" applyBorder="1" applyAlignment="1">
      <alignment horizontal="left" vertical="center"/>
      <protection/>
    </xf>
    <xf numFmtId="0" fontId="3" fillId="0" borderId="0" xfId="68" applyFont="1" applyBorder="1" applyAlignment="1" applyProtection="1">
      <alignment horizontal="center"/>
      <protection/>
    </xf>
    <xf numFmtId="174" fontId="3" fillId="0" borderId="0" xfId="68" applyNumberFormat="1" applyFont="1" applyBorder="1" applyAlignment="1">
      <alignment horizontal="centerContinuous"/>
      <protection/>
    </xf>
    <xf numFmtId="0" fontId="29" fillId="0" borderId="0" xfId="68" applyFont="1" applyBorder="1">
      <alignment/>
      <protection/>
    </xf>
    <xf numFmtId="0" fontId="30" fillId="0" borderId="20" xfId="68" applyFont="1" applyFill="1" applyBorder="1" applyAlignment="1">
      <alignment horizontal="center" vertical="center"/>
      <protection/>
    </xf>
    <xf numFmtId="0" fontId="30" fillId="0" borderId="20" xfId="68" applyFont="1" applyBorder="1" applyAlignment="1">
      <alignment horizontal="center" vertical="center"/>
      <protection/>
    </xf>
    <xf numFmtId="0" fontId="30" fillId="0" borderId="20" xfId="68" applyFont="1" applyBorder="1" applyAlignment="1" applyProtection="1">
      <alignment horizontal="center" vertical="center" wrapText="1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0" fillId="0" borderId="21" xfId="68" applyFont="1" applyBorder="1" applyAlignment="1">
      <alignment horizontal="center" vertical="center" wrapText="1"/>
      <protection/>
    </xf>
    <xf numFmtId="0" fontId="60" fillId="37" borderId="20" xfId="68" applyFont="1" applyFill="1" applyBorder="1" applyAlignment="1" applyProtection="1">
      <alignment horizontal="center"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 wrapText="1"/>
      <protection/>
    </xf>
    <xf numFmtId="0" fontId="30" fillId="0" borderId="15" xfId="68" applyFont="1" applyBorder="1" applyAlignment="1" applyProtection="1">
      <alignment horizontal="center" vertical="center" wrapText="1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61" fillId="34" borderId="20" xfId="68" applyFont="1" applyFill="1" applyBorder="1" applyAlignment="1" applyProtection="1">
      <alignment horizontal="center" vertical="center"/>
      <protection/>
    </xf>
    <xf numFmtId="0" fontId="67" fillId="43" borderId="20" xfId="68" applyFont="1" applyFill="1" applyBorder="1" applyAlignment="1">
      <alignment horizontal="center" vertical="center" wrapText="1"/>
      <protection/>
    </xf>
    <xf numFmtId="0" fontId="35" fillId="36" borderId="15" xfId="68" applyFont="1" applyFill="1" applyBorder="1" applyAlignment="1" applyProtection="1">
      <alignment horizontal="centerContinuous" vertical="center" wrapText="1"/>
      <protection/>
    </xf>
    <xf numFmtId="0" fontId="35" fillId="36" borderId="16" xfId="68" applyFont="1" applyFill="1" applyBorder="1" applyAlignment="1">
      <alignment horizontal="centerContinuous" vertical="center"/>
      <protection/>
    </xf>
    <xf numFmtId="0" fontId="61" fillId="35" borderId="20" xfId="68" applyFont="1" applyFill="1" applyBorder="1" applyAlignment="1">
      <alignment horizontal="center" vertical="center" wrapText="1"/>
      <protection/>
    </xf>
    <xf numFmtId="0" fontId="30" fillId="0" borderId="20" xfId="68" applyFont="1" applyBorder="1" applyAlignment="1">
      <alignment horizontal="center" vertical="center" wrapText="1"/>
      <protection/>
    </xf>
    <xf numFmtId="0" fontId="30" fillId="0" borderId="20" xfId="68" applyFont="1" applyFill="1" applyBorder="1" applyAlignment="1">
      <alignment horizontal="center" vertical="center" wrapText="1"/>
      <protection/>
    </xf>
    <xf numFmtId="0" fontId="13" fillId="0" borderId="41" xfId="68" applyFont="1" applyFill="1" applyBorder="1" applyAlignment="1">
      <alignment horizontal="center"/>
      <protection/>
    </xf>
    <xf numFmtId="0" fontId="73" fillId="0" borderId="27" xfId="68" applyFont="1" applyBorder="1" applyAlignment="1" applyProtection="1">
      <alignment horizontal="center"/>
      <protection/>
    </xf>
    <xf numFmtId="0" fontId="62" fillId="37" borderId="27" xfId="68" applyFont="1" applyFill="1" applyBorder="1" applyAlignment="1" applyProtection="1">
      <alignment horizontal="center"/>
      <protection/>
    </xf>
    <xf numFmtId="0" fontId="29" fillId="34" borderId="22" xfId="68" applyFont="1" applyFill="1" applyBorder="1" applyAlignment="1" applyProtection="1">
      <alignment horizontal="center"/>
      <protection/>
    </xf>
    <xf numFmtId="0" fontId="71" fillId="43" borderId="22" xfId="68" applyFont="1" applyFill="1" applyBorder="1" applyAlignment="1" applyProtection="1">
      <alignment horizontal="center"/>
      <protection/>
    </xf>
    <xf numFmtId="168" fontId="51" fillId="36" borderId="23" xfId="68" applyNumberFormat="1" applyFont="1" applyFill="1" applyBorder="1" applyAlignment="1" applyProtection="1" quotePrefix="1">
      <alignment horizontal="center"/>
      <protection/>
    </xf>
    <xf numFmtId="168" fontId="51" fillId="36" borderId="25" xfId="68" applyNumberFormat="1" applyFont="1" applyFill="1" applyBorder="1" applyAlignment="1" applyProtection="1" quotePrefix="1">
      <alignment horizontal="center"/>
      <protection/>
    </xf>
    <xf numFmtId="168" fontId="63" fillId="35" borderId="22" xfId="68" applyNumberFormat="1" applyFont="1" applyFill="1" applyBorder="1" applyAlignment="1" applyProtection="1" quotePrefix="1">
      <alignment horizontal="center"/>
      <protection/>
    </xf>
    <xf numFmtId="7" fontId="78" fillId="0" borderId="27" xfId="68" applyNumberFormat="1" applyFont="1" applyBorder="1" applyAlignment="1" applyProtection="1">
      <alignment/>
      <protection/>
    </xf>
    <xf numFmtId="0" fontId="13" fillId="0" borderId="26" xfId="68" applyFont="1" applyFill="1" applyBorder="1" applyAlignment="1">
      <alignment horizontal="center"/>
      <protection/>
    </xf>
    <xf numFmtId="0" fontId="73" fillId="0" borderId="32" xfId="68" applyFont="1" applyBorder="1" applyAlignment="1" applyProtection="1">
      <alignment horizontal="center"/>
      <protection/>
    </xf>
    <xf numFmtId="0" fontId="62" fillId="37" borderId="32" xfId="68" applyFont="1" applyFill="1" applyBorder="1" applyAlignment="1" applyProtection="1">
      <alignment horizontal="center"/>
      <protection/>
    </xf>
    <xf numFmtId="0" fontId="29" fillId="34" borderId="27" xfId="68" applyFont="1" applyFill="1" applyBorder="1" applyAlignment="1" applyProtection="1">
      <alignment horizontal="center"/>
      <protection/>
    </xf>
    <xf numFmtId="0" fontId="71" fillId="43" borderId="27" xfId="68" applyFont="1" applyFill="1" applyBorder="1" applyAlignment="1" applyProtection="1">
      <alignment horizontal="center"/>
      <protection/>
    </xf>
    <xf numFmtId="168" fontId="51" fillId="36" borderId="29" xfId="68" applyNumberFormat="1" applyFont="1" applyFill="1" applyBorder="1" applyAlignment="1" applyProtection="1" quotePrefix="1">
      <alignment horizontal="center"/>
      <protection/>
    </xf>
    <xf numFmtId="168" fontId="51" fillId="36" borderId="54" xfId="68" applyNumberFormat="1" applyFont="1" applyFill="1" applyBorder="1" applyAlignment="1" applyProtection="1" quotePrefix="1">
      <alignment horizontal="center"/>
      <protection/>
    </xf>
    <xf numFmtId="168" fontId="63" fillId="35" borderId="27" xfId="68" applyNumberFormat="1" applyFont="1" applyFill="1" applyBorder="1" applyAlignment="1" applyProtection="1" quotePrefix="1">
      <alignment horizontal="center"/>
      <protection/>
    </xf>
    <xf numFmtId="168" fontId="76" fillId="0" borderId="27" xfId="68" applyNumberFormat="1" applyFont="1" applyFill="1" applyBorder="1" applyAlignment="1">
      <alignment horizontal="center"/>
      <protection/>
    </xf>
    <xf numFmtId="0" fontId="13" fillId="0" borderId="27" xfId="68" applyFont="1" applyFill="1" applyBorder="1" applyAlignment="1" applyProtection="1">
      <alignment horizontal="center"/>
      <protection locked="0"/>
    </xf>
    <xf numFmtId="0" fontId="13" fillId="0" borderId="32" xfId="68" applyFont="1" applyBorder="1" applyAlignment="1" applyProtection="1">
      <alignment horizontal="center"/>
      <protection locked="0"/>
    </xf>
    <xf numFmtId="164" fontId="13" fillId="0" borderId="27" xfId="68" applyNumberFormat="1" applyFont="1" applyBorder="1" applyAlignment="1" applyProtection="1" quotePrefix="1">
      <alignment horizontal="center"/>
      <protection locked="0"/>
    </xf>
    <xf numFmtId="168" fontId="62" fillId="37" borderId="27" xfId="68" applyNumberFormat="1" applyFont="1" applyFill="1" applyBorder="1" applyAlignment="1" applyProtection="1">
      <alignment horizontal="center"/>
      <protection/>
    </xf>
    <xf numFmtId="22" fontId="13" fillId="0" borderId="29" xfId="68" applyNumberFormat="1" applyFont="1" applyBorder="1" applyAlignment="1" applyProtection="1">
      <alignment horizontal="center"/>
      <protection locked="0"/>
    </xf>
    <xf numFmtId="22" fontId="13" fillId="0" borderId="27" xfId="68" applyNumberFormat="1" applyFont="1" applyBorder="1" applyAlignment="1" applyProtection="1">
      <alignment horizontal="center"/>
      <protection locked="0"/>
    </xf>
    <xf numFmtId="2" fontId="13" fillId="0" borderId="27" xfId="68" applyNumberFormat="1" applyFont="1" applyFill="1" applyBorder="1" applyAlignment="1" applyProtection="1" quotePrefix="1">
      <alignment horizontal="center"/>
      <protection/>
    </xf>
    <xf numFmtId="164" fontId="13" fillId="0" borderId="27" xfId="68" applyNumberFormat="1" applyFont="1" applyFill="1" applyBorder="1" applyAlignment="1" applyProtection="1" quotePrefix="1">
      <alignment horizontal="center"/>
      <protection/>
    </xf>
    <xf numFmtId="168" fontId="13" fillId="0" borderId="28" xfId="68" applyNumberFormat="1" applyFont="1" applyBorder="1" applyAlignment="1" applyProtection="1">
      <alignment horizontal="center"/>
      <protection locked="0"/>
    </xf>
    <xf numFmtId="168" fontId="13" fillId="0" borderId="27" xfId="68" applyNumberFormat="1" applyFont="1" applyBorder="1" applyAlignment="1" applyProtection="1">
      <alignment horizontal="center"/>
      <protection/>
    </xf>
    <xf numFmtId="164" fontId="29" fillId="34" borderId="27" xfId="68" applyNumberFormat="1" applyFont="1" applyFill="1" applyBorder="1" applyAlignment="1" applyProtection="1">
      <alignment horizontal="center"/>
      <protection/>
    </xf>
    <xf numFmtId="2" fontId="71" fillId="43" borderId="27" xfId="68" applyNumberFormat="1" applyFont="1" applyFill="1" applyBorder="1" applyAlignment="1" applyProtection="1">
      <alignment horizontal="center"/>
      <protection/>
    </xf>
    <xf numFmtId="4" fontId="76" fillId="0" borderId="27" xfId="68" applyNumberFormat="1" applyFont="1" applyFill="1" applyBorder="1" applyAlignment="1">
      <alignment horizontal="right"/>
      <protection/>
    </xf>
    <xf numFmtId="0" fontId="73" fillId="0" borderId="32" xfId="68" applyFont="1" applyBorder="1" applyAlignment="1" applyProtection="1">
      <alignment horizontal="center"/>
      <protection locked="0"/>
    </xf>
    <xf numFmtId="164" fontId="49" fillId="0" borderId="27" xfId="68" applyNumberFormat="1" applyFont="1" applyBorder="1" applyAlignment="1" applyProtection="1" quotePrefix="1">
      <alignment horizontal="center"/>
      <protection locked="0"/>
    </xf>
    <xf numFmtId="164" fontId="49" fillId="0" borderId="34" xfId="68" applyNumberFormat="1" applyFont="1" applyBorder="1" applyAlignment="1" applyProtection="1">
      <alignment horizontal="center"/>
      <protection locked="0"/>
    </xf>
    <xf numFmtId="168" fontId="62" fillId="37" borderId="34" xfId="68" applyNumberFormat="1" applyFont="1" applyFill="1" applyBorder="1" applyAlignment="1" applyProtection="1">
      <alignment horizontal="center"/>
      <protection/>
    </xf>
    <xf numFmtId="168" fontId="13" fillId="0" borderId="48" xfId="68" applyNumberFormat="1" applyFont="1" applyBorder="1" applyAlignment="1" applyProtection="1">
      <alignment horizontal="center"/>
      <protection locked="0"/>
    </xf>
    <xf numFmtId="168" fontId="13" fillId="0" borderId="48" xfId="68" applyNumberFormat="1" applyFont="1" applyBorder="1" applyAlignment="1" applyProtection="1">
      <alignment horizontal="center"/>
      <protection/>
    </xf>
    <xf numFmtId="168" fontId="13" fillId="0" borderId="34" xfId="68" applyNumberFormat="1" applyFont="1" applyBorder="1" applyAlignment="1" applyProtection="1">
      <alignment horizontal="center"/>
      <protection locked="0"/>
    </xf>
    <xf numFmtId="164" fontId="29" fillId="34" borderId="34" xfId="68" applyNumberFormat="1" applyFont="1" applyFill="1" applyBorder="1" applyAlignment="1" applyProtection="1">
      <alignment horizontal="center"/>
      <protection locked="0"/>
    </xf>
    <xf numFmtId="2" fontId="71" fillId="43" borderId="34" xfId="68" applyNumberFormat="1" applyFont="1" applyFill="1" applyBorder="1" applyAlignment="1" applyProtection="1">
      <alignment horizontal="center"/>
      <protection locked="0"/>
    </xf>
    <xf numFmtId="168" fontId="51" fillId="36" borderId="35" xfId="68" applyNumberFormat="1" applyFont="1" applyFill="1" applyBorder="1" applyAlignment="1" applyProtection="1" quotePrefix="1">
      <alignment horizontal="center"/>
      <protection locked="0"/>
    </xf>
    <xf numFmtId="168" fontId="51" fillId="36" borderId="37" xfId="68" applyNumberFormat="1" applyFont="1" applyFill="1" applyBorder="1" applyAlignment="1" applyProtection="1" quotePrefix="1">
      <alignment horizontal="center"/>
      <protection locked="0"/>
    </xf>
    <xf numFmtId="168" fontId="63" fillId="35" borderId="34" xfId="68" applyNumberFormat="1" applyFont="1" applyFill="1" applyBorder="1" applyAlignment="1" applyProtection="1" quotePrefix="1">
      <alignment horizontal="center"/>
      <protection locked="0"/>
    </xf>
    <xf numFmtId="7" fontId="64" fillId="0" borderId="38" xfId="68" applyNumberFormat="1" applyFont="1" applyFill="1" applyBorder="1" applyAlignment="1">
      <alignment horizontal="right"/>
      <protection/>
    </xf>
    <xf numFmtId="0" fontId="87" fillId="0" borderId="39" xfId="68" applyFont="1" applyBorder="1" applyAlignment="1">
      <alignment horizontal="center"/>
      <protection/>
    </xf>
    <xf numFmtId="0" fontId="87" fillId="0" borderId="0" xfId="68" applyFont="1" applyBorder="1" applyAlignment="1">
      <alignment horizontal="left"/>
      <protection/>
    </xf>
    <xf numFmtId="0" fontId="57" fillId="0" borderId="39" xfId="68" applyFont="1" applyBorder="1" applyAlignment="1">
      <alignment horizontal="center"/>
      <protection/>
    </xf>
    <xf numFmtId="0" fontId="58" fillId="0" borderId="0" xfId="68" applyFont="1" applyBorder="1" applyAlignment="1" applyProtection="1">
      <alignment horizontal="left"/>
      <protection/>
    </xf>
    <xf numFmtId="0" fontId="3" fillId="0" borderId="0" xfId="68">
      <alignment/>
      <protection/>
    </xf>
    <xf numFmtId="4" fontId="71" fillId="43" borderId="20" xfId="68" applyNumberFormat="1" applyFont="1" applyFill="1" applyBorder="1" applyAlignment="1">
      <alignment horizontal="center"/>
      <protection/>
    </xf>
    <xf numFmtId="4" fontId="51" fillId="36" borderId="52" xfId="68" applyNumberFormat="1" applyFont="1" applyFill="1" applyBorder="1" applyAlignment="1">
      <alignment horizontal="center"/>
      <protection/>
    </xf>
    <xf numFmtId="4" fontId="51" fillId="36" borderId="53" xfId="68" applyNumberFormat="1" applyFont="1" applyFill="1" applyBorder="1" applyAlignment="1">
      <alignment horizontal="center"/>
      <protection/>
    </xf>
    <xf numFmtId="4" fontId="63" fillId="35" borderId="20" xfId="68" applyNumberFormat="1" applyFont="1" applyFill="1" applyBorder="1" applyAlignment="1">
      <alignment horizontal="center"/>
      <protection/>
    </xf>
    <xf numFmtId="4" fontId="19" fillId="0" borderId="0" xfId="68" applyNumberFormat="1" applyFont="1" applyFill="1" applyBorder="1" applyAlignment="1">
      <alignment horizontal="center"/>
      <protection/>
    </xf>
    <xf numFmtId="7" fontId="4" fillId="0" borderId="20" xfId="68" applyNumberFormat="1" applyFont="1" applyFill="1" applyBorder="1" applyAlignment="1">
      <alignment horizontal="right"/>
      <protection/>
    </xf>
    <xf numFmtId="0" fontId="13" fillId="0" borderId="17" xfId="68" applyFont="1" applyBorder="1">
      <alignment/>
      <protection/>
    </xf>
    <xf numFmtId="0" fontId="13" fillId="0" borderId="18" xfId="68" applyFont="1" applyBorder="1">
      <alignment/>
      <protection/>
    </xf>
    <xf numFmtId="0" fontId="13" fillId="0" borderId="19" xfId="68" applyFont="1" applyBorder="1">
      <alignment/>
      <protection/>
    </xf>
    <xf numFmtId="0" fontId="0" fillId="0" borderId="0" xfId="68" applyFont="1">
      <alignment/>
      <protection/>
    </xf>
    <xf numFmtId="0" fontId="88" fillId="0" borderId="0" xfId="67" applyFont="1">
      <alignment/>
      <protection/>
    </xf>
    <xf numFmtId="0" fontId="20" fillId="0" borderId="0" xfId="67" applyFont="1" applyBorder="1" applyAlignment="1">
      <alignment vertical="top"/>
      <protection/>
    </xf>
    <xf numFmtId="0" fontId="16" fillId="0" borderId="14" xfId="67" applyFont="1" applyFill="1" applyBorder="1" applyAlignment="1">
      <alignment vertical="top"/>
      <protection/>
    </xf>
    <xf numFmtId="0" fontId="20" fillId="0" borderId="0" xfId="67" applyFont="1" applyBorder="1" applyAlignment="1">
      <alignment horizontal="left" vertical="top"/>
      <protection/>
    </xf>
    <xf numFmtId="0" fontId="13" fillId="0" borderId="0" xfId="67" applyFont="1" applyBorder="1" applyAlignment="1" applyProtection="1">
      <alignment vertical="top"/>
      <protection/>
    </xf>
    <xf numFmtId="0" fontId="13" fillId="0" borderId="14" xfId="67" applyFont="1" applyFill="1" applyBorder="1" applyAlignment="1">
      <alignment vertical="top"/>
      <protection/>
    </xf>
    <xf numFmtId="0" fontId="13" fillId="0" borderId="27" xfId="66" applyFont="1" applyFill="1" applyBorder="1" applyAlignment="1" applyProtection="1">
      <alignment horizontal="center"/>
      <protection locked="0"/>
    </xf>
    <xf numFmtId="164" fontId="13" fillId="0" borderId="27" xfId="66" applyNumberFormat="1" applyFont="1" applyFill="1" applyBorder="1" applyAlignment="1" applyProtection="1">
      <alignment horizontal="center"/>
      <protection locked="0"/>
    </xf>
    <xf numFmtId="170" fontId="13" fillId="0" borderId="27" xfId="66" applyNumberFormat="1" applyFont="1" applyFill="1" applyBorder="1" applyAlignment="1" applyProtection="1">
      <alignment horizontal="center"/>
      <protection locked="0"/>
    </xf>
    <xf numFmtId="2" fontId="50" fillId="35" borderId="27" xfId="67" applyNumberFormat="1" applyFont="1" applyFill="1" applyBorder="1" applyAlignment="1" applyProtection="1">
      <alignment horizontal="center"/>
      <protection/>
    </xf>
    <xf numFmtId="2" fontId="51" fillId="36" borderId="28" xfId="67" applyNumberFormat="1" applyFont="1" applyFill="1" applyBorder="1" applyAlignment="1" applyProtection="1">
      <alignment horizontal="center"/>
      <protection/>
    </xf>
    <xf numFmtId="168" fontId="52" fillId="37" borderId="29" xfId="67" applyNumberFormat="1" applyFont="1" applyFill="1" applyBorder="1" applyAlignment="1" applyProtection="1" quotePrefix="1">
      <alignment horizontal="center"/>
      <protection/>
    </xf>
    <xf numFmtId="168" fontId="52" fillId="37" borderId="30" xfId="67" applyNumberFormat="1" applyFont="1" applyFill="1" applyBorder="1" applyAlignment="1" applyProtection="1" quotePrefix="1">
      <alignment horizontal="center"/>
      <protection/>
    </xf>
    <xf numFmtId="4" fontId="52" fillId="37" borderId="28" xfId="67" applyNumberFormat="1" applyFont="1" applyFill="1" applyBorder="1" applyAlignment="1" applyProtection="1">
      <alignment horizontal="center"/>
      <protection/>
    </xf>
    <xf numFmtId="168" fontId="53" fillId="38" borderId="29" xfId="67" applyNumberFormat="1" applyFont="1" applyFill="1" applyBorder="1" applyAlignment="1" applyProtection="1" quotePrefix="1">
      <alignment horizontal="center"/>
      <protection/>
    </xf>
    <xf numFmtId="168" fontId="53" fillId="38" borderId="30" xfId="67" applyNumberFormat="1" applyFont="1" applyFill="1" applyBorder="1" applyAlignment="1" applyProtection="1" quotePrefix="1">
      <alignment horizontal="center"/>
      <protection/>
    </xf>
    <xf numFmtId="4" fontId="53" fillId="38" borderId="28" xfId="67" applyNumberFormat="1" applyFont="1" applyFill="1" applyBorder="1" applyAlignment="1" applyProtection="1">
      <alignment horizontal="center"/>
      <protection/>
    </xf>
    <xf numFmtId="4" fontId="54" fillId="39" borderId="27" xfId="67" applyNumberFormat="1" applyFont="1" applyFill="1" applyBorder="1" applyAlignment="1" applyProtection="1">
      <alignment horizontal="center"/>
      <protection/>
    </xf>
    <xf numFmtId="4" fontId="55" fillId="40" borderId="27" xfId="67" applyNumberFormat="1" applyFont="1" applyFill="1" applyBorder="1" applyAlignment="1" applyProtection="1">
      <alignment horizontal="center"/>
      <protection/>
    </xf>
    <xf numFmtId="4" fontId="13" fillId="0" borderId="27" xfId="67" applyNumberFormat="1" applyFont="1" applyBorder="1" applyAlignment="1" applyProtection="1">
      <alignment horizontal="center"/>
      <protection/>
    </xf>
    <xf numFmtId="22" fontId="13" fillId="0" borderId="26" xfId="67" applyNumberFormat="1" applyFont="1" applyFill="1" applyBorder="1" applyAlignment="1" applyProtection="1">
      <alignment horizontal="center"/>
      <protection locked="0"/>
    </xf>
    <xf numFmtId="0" fontId="87" fillId="0" borderId="39" xfId="67" applyFont="1" applyBorder="1" applyAlignment="1">
      <alignment horizontal="center"/>
      <protection/>
    </xf>
    <xf numFmtId="0" fontId="87" fillId="0" borderId="39" xfId="67" applyFont="1" applyBorder="1" applyAlignment="1">
      <alignment horizontal="left"/>
      <protection/>
    </xf>
    <xf numFmtId="170" fontId="13" fillId="0" borderId="27" xfId="67" applyNumberFormat="1" applyFont="1" applyFill="1" applyBorder="1">
      <alignment/>
      <protection/>
    </xf>
    <xf numFmtId="0" fontId="13" fillId="0" borderId="27" xfId="67" applyFont="1" applyFill="1" applyBorder="1">
      <alignment/>
      <protection/>
    </xf>
    <xf numFmtId="0" fontId="41" fillId="0" borderId="27" xfId="67" applyFont="1" applyFill="1" applyBorder="1">
      <alignment/>
      <protection/>
    </xf>
    <xf numFmtId="0" fontId="42" fillId="0" borderId="27" xfId="67" applyFont="1" applyFill="1" applyBorder="1">
      <alignment/>
      <protection/>
    </xf>
    <xf numFmtId="22" fontId="13" fillId="0" borderId="28" xfId="67" applyNumberFormat="1" applyFont="1" applyFill="1" applyBorder="1">
      <alignment/>
      <protection/>
    </xf>
    <xf numFmtId="22" fontId="13" fillId="0" borderId="56" xfId="67" applyNumberFormat="1" applyFont="1" applyFill="1" applyBorder="1">
      <alignment/>
      <protection/>
    </xf>
    <xf numFmtId="0" fontId="13" fillId="0" borderId="28" xfId="67" applyFont="1" applyFill="1" applyBorder="1">
      <alignment/>
      <protection/>
    </xf>
    <xf numFmtId="0" fontId="43" fillId="0" borderId="27" xfId="67" applyFont="1" applyFill="1" applyBorder="1">
      <alignment/>
      <protection/>
    </xf>
    <xf numFmtId="0" fontId="44" fillId="0" borderId="28" xfId="67" applyFont="1" applyFill="1" applyBorder="1">
      <alignment/>
      <protection/>
    </xf>
    <xf numFmtId="0" fontId="13" fillId="0" borderId="29" xfId="67" applyFont="1" applyFill="1" applyBorder="1">
      <alignment/>
      <protection/>
    </xf>
    <xf numFmtId="0" fontId="13" fillId="0" borderId="30" xfId="67" applyFont="1" applyFill="1" applyBorder="1">
      <alignment/>
      <protection/>
    </xf>
    <xf numFmtId="0" fontId="45" fillId="0" borderId="29" xfId="67" applyFont="1" applyFill="1" applyBorder="1">
      <alignment/>
      <protection/>
    </xf>
    <xf numFmtId="0" fontId="45" fillId="0" borderId="30" xfId="67" applyFont="1" applyFill="1" applyBorder="1">
      <alignment/>
      <protection/>
    </xf>
    <xf numFmtId="0" fontId="45" fillId="0" borderId="28" xfId="67" applyFont="1" applyFill="1" applyBorder="1">
      <alignment/>
      <protection/>
    </xf>
    <xf numFmtId="0" fontId="46" fillId="0" borderId="27" xfId="67" applyFont="1" applyFill="1" applyBorder="1">
      <alignment/>
      <protection/>
    </xf>
    <xf numFmtId="0" fontId="47" fillId="0" borderId="27" xfId="67" applyFont="1" applyFill="1" applyBorder="1">
      <alignment/>
      <protection/>
    </xf>
    <xf numFmtId="7" fontId="48" fillId="0" borderId="28" xfId="67" applyNumberFormat="1" applyFont="1" applyBorder="1" applyAlignment="1">
      <alignment/>
      <protection/>
    </xf>
    <xf numFmtId="0" fontId="87" fillId="0" borderId="39" xfId="63" applyFont="1" applyBorder="1" applyAlignment="1">
      <alignment horizontal="center"/>
      <protection/>
    </xf>
    <xf numFmtId="0" fontId="87" fillId="0" borderId="0" xfId="63" applyFont="1" applyBorder="1" applyAlignment="1">
      <alignment horizontal="left"/>
      <protection/>
    </xf>
    <xf numFmtId="7" fontId="48" fillId="0" borderId="27" xfId="67" applyNumberFormat="1" applyFont="1" applyBorder="1" applyAlignment="1" applyProtection="1">
      <alignment/>
      <protection/>
    </xf>
    <xf numFmtId="0" fontId="13" fillId="0" borderId="32" xfId="67" applyFont="1" applyBorder="1" applyAlignment="1" applyProtection="1">
      <alignment horizontal="center"/>
      <protection locked="0"/>
    </xf>
    <xf numFmtId="164" fontId="13" fillId="0" borderId="27" xfId="67" applyNumberFormat="1" applyFont="1" applyBorder="1" applyAlignment="1" applyProtection="1" quotePrefix="1">
      <alignment horizontal="center"/>
      <protection locked="0"/>
    </xf>
    <xf numFmtId="168" fontId="13" fillId="0" borderId="26" xfId="67" applyNumberFormat="1" applyFont="1" applyBorder="1" applyAlignment="1" applyProtection="1">
      <alignment horizontal="center"/>
      <protection/>
    </xf>
    <xf numFmtId="2" fontId="70" fillId="36" borderId="26" xfId="67" applyNumberFormat="1" applyFont="1" applyFill="1" applyBorder="1" applyAlignment="1" applyProtection="1">
      <alignment horizontal="center"/>
      <protection/>
    </xf>
    <xf numFmtId="2" fontId="70" fillId="36" borderId="27" xfId="67" applyNumberFormat="1" applyFont="1" applyFill="1" applyBorder="1" applyAlignment="1" applyProtection="1">
      <alignment horizontal="center"/>
      <protection/>
    </xf>
    <xf numFmtId="4" fontId="76" fillId="0" borderId="28" xfId="67" applyNumberFormat="1" applyFont="1" applyFill="1" applyBorder="1" applyAlignment="1">
      <alignment horizontal="right"/>
      <protection/>
    </xf>
    <xf numFmtId="0" fontId="20" fillId="0" borderId="0" xfId="67" applyFont="1" applyBorder="1" applyAlignment="1">
      <alignment horizontal="centerContinuous"/>
      <protection/>
    </xf>
    <xf numFmtId="0" fontId="20" fillId="0" borderId="0" xfId="67" applyFont="1">
      <alignment/>
      <protection/>
    </xf>
    <xf numFmtId="0" fontId="16" fillId="0" borderId="0" xfId="67" applyFont="1" applyBorder="1" applyProtection="1">
      <alignment/>
      <protection/>
    </xf>
    <xf numFmtId="0" fontId="3" fillId="0" borderId="15" xfId="67" applyFont="1" applyBorder="1" applyAlignment="1" applyProtection="1">
      <alignment horizontal="left"/>
      <protection/>
    </xf>
    <xf numFmtId="0" fontId="3" fillId="0" borderId="39" xfId="67" applyFont="1" applyBorder="1" applyAlignment="1" applyProtection="1">
      <alignment horizontal="center"/>
      <protection/>
    </xf>
    <xf numFmtId="0" fontId="3" fillId="0" borderId="15" xfId="67" applyFont="1" applyBorder="1" applyAlignment="1" applyProtection="1" quotePrefix="1">
      <alignment horizontal="left"/>
      <protection/>
    </xf>
    <xf numFmtId="0" fontId="3" fillId="0" borderId="21" xfId="67" applyFont="1" applyBorder="1" applyAlignment="1" applyProtection="1">
      <alignment horizontal="center"/>
      <protection/>
    </xf>
    <xf numFmtId="164" fontId="3" fillId="0" borderId="20" xfId="67" applyNumberFormat="1" applyFont="1" applyBorder="1" applyAlignment="1" applyProtection="1">
      <alignment horizontal="center"/>
      <protection/>
    </xf>
    <xf numFmtId="0" fontId="30" fillId="0" borderId="20" xfId="67" applyFont="1" applyBorder="1" applyAlignment="1" applyProtection="1" quotePrefix="1">
      <alignment horizontal="center" vertical="center" wrapText="1"/>
      <protection/>
    </xf>
    <xf numFmtId="0" fontId="89" fillId="39" borderId="20" xfId="67" applyFont="1" applyFill="1" applyBorder="1" applyAlignment="1">
      <alignment horizontal="center" vertical="center" wrapText="1"/>
      <protection/>
    </xf>
    <xf numFmtId="0" fontId="34" fillId="47" borderId="15" xfId="67" applyFont="1" applyFill="1" applyBorder="1" applyAlignment="1" applyProtection="1">
      <alignment horizontal="centerContinuous" vertical="center" wrapText="1"/>
      <protection/>
    </xf>
    <xf numFmtId="0" fontId="34" fillId="47" borderId="16" xfId="67" applyFont="1" applyFill="1" applyBorder="1" applyAlignment="1">
      <alignment horizontal="centerContinuous" vertical="center"/>
      <protection/>
    </xf>
    <xf numFmtId="0" fontId="37" fillId="36" borderId="20" xfId="67" applyFont="1" applyFill="1" applyBorder="1" applyAlignment="1">
      <alignment horizontal="center" vertical="center" wrapText="1"/>
      <protection/>
    </xf>
    <xf numFmtId="0" fontId="89" fillId="0" borderId="20" xfId="67" applyFont="1" applyFill="1" applyBorder="1" applyAlignment="1">
      <alignment horizontal="center" vertical="center" wrapText="1"/>
      <protection/>
    </xf>
    <xf numFmtId="0" fontId="62" fillId="37" borderId="59" xfId="67" applyFont="1" applyFill="1" applyBorder="1" applyAlignment="1">
      <alignment horizontal="center"/>
      <protection/>
    </xf>
    <xf numFmtId="0" fontId="13" fillId="0" borderId="60" xfId="67" applyFont="1" applyBorder="1" applyAlignment="1">
      <alignment horizontal="center"/>
      <protection/>
    </xf>
    <xf numFmtId="0" fontId="13" fillId="0" borderId="59" xfId="67" applyFont="1" applyBorder="1" applyAlignment="1">
      <alignment horizontal="center"/>
      <protection/>
    </xf>
    <xf numFmtId="0" fontId="13" fillId="0" borderId="59" xfId="67" applyFont="1" applyBorder="1">
      <alignment/>
      <protection/>
    </xf>
    <xf numFmtId="0" fontId="62" fillId="37" borderId="0" xfId="67" applyFont="1" applyFill="1" applyBorder="1" applyAlignment="1">
      <alignment horizontal="center"/>
      <protection/>
    </xf>
    <xf numFmtId="0" fontId="90" fillId="39" borderId="41" xfId="67" applyFont="1" applyFill="1" applyBorder="1" applyAlignment="1">
      <alignment horizontal="center"/>
      <protection/>
    </xf>
    <xf numFmtId="0" fontId="50" fillId="47" borderId="43" xfId="67" applyFont="1" applyFill="1" applyBorder="1" applyAlignment="1">
      <alignment horizontal="center"/>
      <protection/>
    </xf>
    <xf numFmtId="0" fontId="50" fillId="47" borderId="44" xfId="67" applyFont="1" applyFill="1" applyBorder="1" applyAlignment="1">
      <alignment horizontal="center"/>
      <protection/>
    </xf>
    <xf numFmtId="0" fontId="53" fillId="36" borderId="41" xfId="67" applyFont="1" applyFill="1" applyBorder="1" applyAlignment="1">
      <alignment horizontal="center"/>
      <protection/>
    </xf>
    <xf numFmtId="7" fontId="76" fillId="0" borderId="41" xfId="67" applyNumberFormat="1" applyFont="1" applyFill="1" applyBorder="1" applyAlignment="1">
      <alignment horizontal="center"/>
      <protection/>
    </xf>
    <xf numFmtId="0" fontId="13" fillId="0" borderId="26" xfId="67" applyFont="1" applyBorder="1" applyAlignment="1">
      <alignment horizontal="center"/>
      <protection/>
    </xf>
    <xf numFmtId="0" fontId="13" fillId="0" borderId="45" xfId="67" applyFont="1" applyBorder="1" applyAlignment="1">
      <alignment horizontal="center"/>
      <protection/>
    </xf>
    <xf numFmtId="0" fontId="13" fillId="0" borderId="61" xfId="67" applyFont="1" applyBorder="1" applyAlignment="1">
      <alignment horizontal="center"/>
      <protection/>
    </xf>
    <xf numFmtId="0" fontId="13" fillId="0" borderId="45" xfId="67" applyFont="1" applyBorder="1">
      <alignment/>
      <protection/>
    </xf>
    <xf numFmtId="0" fontId="62" fillId="37" borderId="31" xfId="67" applyFont="1" applyFill="1" applyBorder="1" applyAlignment="1">
      <alignment horizontal="center"/>
      <protection/>
    </xf>
    <xf numFmtId="0" fontId="90" fillId="39" borderId="26" xfId="67" applyFont="1" applyFill="1" applyBorder="1" applyAlignment="1">
      <alignment horizontal="center"/>
      <protection/>
    </xf>
    <xf numFmtId="0" fontId="50" fillId="47" borderId="46" xfId="67" applyFont="1" applyFill="1" applyBorder="1" applyAlignment="1">
      <alignment horizontal="center"/>
      <protection/>
    </xf>
    <xf numFmtId="0" fontId="50" fillId="47" borderId="47" xfId="67" applyFont="1" applyFill="1" applyBorder="1" applyAlignment="1">
      <alignment horizontal="center"/>
      <protection/>
    </xf>
    <xf numFmtId="0" fontId="53" fillId="36" borderId="26" xfId="67" applyFont="1" applyFill="1" applyBorder="1" applyAlignment="1">
      <alignment horizontal="center"/>
      <protection/>
    </xf>
    <xf numFmtId="7" fontId="76" fillId="0" borderId="26" xfId="67" applyNumberFormat="1" applyFont="1" applyFill="1" applyBorder="1" applyAlignment="1">
      <alignment horizontal="center"/>
      <protection/>
    </xf>
    <xf numFmtId="0" fontId="13" fillId="0" borderId="26" xfId="67" applyFont="1" applyFill="1" applyBorder="1" applyAlignment="1" applyProtection="1">
      <alignment horizontal="center"/>
      <protection locked="0"/>
    </xf>
    <xf numFmtId="0" fontId="13" fillId="0" borderId="61" xfId="67" applyFont="1" applyBorder="1" applyAlignment="1" applyProtection="1">
      <alignment horizontal="center"/>
      <protection locked="0"/>
    </xf>
    <xf numFmtId="174" fontId="62" fillId="37" borderId="26" xfId="67" applyNumberFormat="1" applyFont="1" applyFill="1" applyBorder="1" applyAlignment="1" applyProtection="1">
      <alignment horizontal="center"/>
      <protection/>
    </xf>
    <xf numFmtId="22" fontId="13" fillId="0" borderId="46" xfId="67" applyNumberFormat="1" applyFont="1" applyBorder="1" applyAlignment="1" applyProtection="1">
      <alignment horizontal="center"/>
      <protection locked="0"/>
    </xf>
    <xf numFmtId="22" fontId="13" fillId="0" borderId="61" xfId="67" applyNumberFormat="1" applyFont="1" applyBorder="1" applyAlignment="1" applyProtection="1">
      <alignment horizontal="center"/>
      <protection locked="0"/>
    </xf>
    <xf numFmtId="2" fontId="13" fillId="0" borderId="26" xfId="67" applyNumberFormat="1" applyFont="1" applyFill="1" applyBorder="1" applyAlignment="1" applyProtection="1" quotePrefix="1">
      <alignment horizontal="center"/>
      <protection/>
    </xf>
    <xf numFmtId="164" fontId="13" fillId="0" borderId="26" xfId="67" applyNumberFormat="1" applyFont="1" applyFill="1" applyBorder="1" applyAlignment="1" applyProtection="1" quotePrefix="1">
      <alignment horizontal="center"/>
      <protection/>
    </xf>
    <xf numFmtId="168" fontId="13" fillId="0" borderId="45" xfId="67" applyNumberFormat="1" applyFont="1" applyBorder="1" applyAlignment="1" applyProtection="1">
      <alignment horizontal="center"/>
      <protection locked="0"/>
    </xf>
    <xf numFmtId="173" fontId="13" fillId="0" borderId="45" xfId="67" applyNumberFormat="1" applyFont="1" applyBorder="1" applyAlignment="1" applyProtection="1" quotePrefix="1">
      <alignment horizontal="center"/>
      <protection/>
    </xf>
    <xf numFmtId="164" fontId="62" fillId="37" borderId="31" xfId="67" applyNumberFormat="1" applyFont="1" applyFill="1" applyBorder="1" applyAlignment="1" applyProtection="1">
      <alignment horizontal="center"/>
      <protection/>
    </xf>
    <xf numFmtId="2" fontId="90" fillId="39" borderId="26" xfId="67" applyNumberFormat="1" applyFont="1" applyFill="1" applyBorder="1" applyAlignment="1" applyProtection="1">
      <alignment horizontal="center"/>
      <protection/>
    </xf>
    <xf numFmtId="168" fontId="50" fillId="47" borderId="46" xfId="67" applyNumberFormat="1" applyFont="1" applyFill="1" applyBorder="1" applyAlignment="1" applyProtection="1" quotePrefix="1">
      <alignment horizontal="center"/>
      <protection/>
    </xf>
    <xf numFmtId="168" fontId="50" fillId="47" borderId="47" xfId="67" applyNumberFormat="1" applyFont="1" applyFill="1" applyBorder="1" applyAlignment="1" applyProtection="1" quotePrefix="1">
      <alignment horizontal="center"/>
      <protection/>
    </xf>
    <xf numFmtId="168" fontId="53" fillId="36" borderId="26" xfId="67" applyNumberFormat="1" applyFont="1" applyFill="1" applyBorder="1" applyAlignment="1" applyProtection="1" quotePrefix="1">
      <alignment horizontal="center"/>
      <protection/>
    </xf>
    <xf numFmtId="4" fontId="76" fillId="0" borderId="26" xfId="67" applyNumberFormat="1" applyFont="1" applyFill="1" applyBorder="1" applyAlignment="1">
      <alignment horizontal="right"/>
      <protection/>
    </xf>
    <xf numFmtId="0" fontId="13" fillId="0" borderId="56" xfId="67" applyFont="1" applyBorder="1" applyAlignment="1" applyProtection="1">
      <alignment horizontal="center"/>
      <protection locked="0"/>
    </xf>
    <xf numFmtId="164" fontId="62" fillId="37" borderId="56" xfId="67" applyNumberFormat="1" applyFont="1" applyFill="1" applyBorder="1" applyAlignment="1" applyProtection="1">
      <alignment horizontal="center"/>
      <protection/>
    </xf>
    <xf numFmtId="2" fontId="90" fillId="39" borderId="27" xfId="67" applyNumberFormat="1" applyFont="1" applyFill="1" applyBorder="1" applyAlignment="1" applyProtection="1">
      <alignment horizontal="center"/>
      <protection/>
    </xf>
    <xf numFmtId="2" fontId="13" fillId="0" borderId="62" xfId="67" applyNumberFormat="1" applyFont="1" applyFill="1" applyBorder="1" applyAlignment="1" applyProtection="1" quotePrefix="1">
      <alignment horizontal="center"/>
      <protection/>
    </xf>
    <xf numFmtId="164" fontId="62" fillId="37" borderId="63" xfId="67" applyNumberFormat="1" applyFont="1" applyFill="1" applyBorder="1" applyAlignment="1" applyProtection="1">
      <alignment horizontal="center"/>
      <protection locked="0"/>
    </xf>
    <xf numFmtId="2" fontId="90" fillId="39" borderId="34" xfId="67" applyNumberFormat="1" applyFont="1" applyFill="1" applyBorder="1" applyAlignment="1" applyProtection="1">
      <alignment horizontal="center"/>
      <protection locked="0"/>
    </xf>
    <xf numFmtId="168" fontId="50" fillId="47" borderId="49" xfId="67" applyNumberFormat="1" applyFont="1" applyFill="1" applyBorder="1" applyAlignment="1" applyProtection="1" quotePrefix="1">
      <alignment horizontal="center"/>
      <protection locked="0"/>
    </xf>
    <xf numFmtId="168" fontId="50" fillId="47" borderId="50" xfId="67" applyNumberFormat="1" applyFont="1" applyFill="1" applyBorder="1" applyAlignment="1" applyProtection="1" quotePrefix="1">
      <alignment horizontal="center"/>
      <protection locked="0"/>
    </xf>
    <xf numFmtId="168" fontId="53" fillId="36" borderId="34" xfId="67" applyNumberFormat="1" applyFont="1" applyFill="1" applyBorder="1" applyAlignment="1" applyProtection="1" quotePrefix="1">
      <alignment horizontal="center"/>
      <protection locked="0"/>
    </xf>
    <xf numFmtId="168" fontId="76" fillId="0" borderId="38" xfId="67" applyNumberFormat="1" applyFont="1" applyFill="1" applyBorder="1" applyAlignment="1">
      <alignment horizontal="center"/>
      <protection/>
    </xf>
    <xf numFmtId="4" fontId="90" fillId="39" borderId="20" xfId="67" applyNumberFormat="1" applyFont="1" applyFill="1" applyBorder="1" applyAlignment="1">
      <alignment horizontal="center"/>
      <protection/>
    </xf>
    <xf numFmtId="4" fontId="50" fillId="47" borderId="52" xfId="67" applyNumberFormat="1" applyFont="1" applyFill="1" applyBorder="1" applyAlignment="1">
      <alignment horizontal="center"/>
      <protection/>
    </xf>
    <xf numFmtId="4" fontId="50" fillId="47" borderId="16" xfId="67" applyNumberFormat="1" applyFont="1" applyFill="1" applyBorder="1" applyAlignment="1">
      <alignment horizontal="center"/>
      <protection/>
    </xf>
    <xf numFmtId="4" fontId="53" fillId="36" borderId="20" xfId="67" applyNumberFormat="1" applyFont="1" applyFill="1" applyBorder="1" applyAlignment="1">
      <alignment horizontal="center"/>
      <protection/>
    </xf>
    <xf numFmtId="0" fontId="13" fillId="0" borderId="64" xfId="67" applyFont="1" applyBorder="1">
      <alignment/>
      <protection/>
    </xf>
    <xf numFmtId="0" fontId="48" fillId="0" borderId="18" xfId="67" applyFont="1" applyBorder="1" applyAlignment="1">
      <alignment horizontal="center"/>
      <protection/>
    </xf>
    <xf numFmtId="0" fontId="48" fillId="0" borderId="18" xfId="67" applyFont="1" applyBorder="1">
      <alignment/>
      <protection/>
    </xf>
    <xf numFmtId="0" fontId="8" fillId="0" borderId="0" xfId="63" applyFont="1">
      <alignment/>
      <protection/>
    </xf>
    <xf numFmtId="0" fontId="11" fillId="0" borderId="0" xfId="63" applyFont="1" applyAlignment="1">
      <alignment horizontal="right" vertical="top"/>
      <protection/>
    </xf>
    <xf numFmtId="0" fontId="8" fillId="0" borderId="0" xfId="63" applyFont="1" applyFill="1">
      <alignment/>
      <protection/>
    </xf>
    <xf numFmtId="0" fontId="9" fillId="0" borderId="0" xfId="63" applyFont="1" applyAlignment="1">
      <alignment horizontal="centerContinuous"/>
      <protection/>
    </xf>
    <xf numFmtId="0" fontId="13" fillId="0" borderId="0" xfId="63" applyFont="1" applyFill="1">
      <alignment/>
      <protection/>
    </xf>
    <xf numFmtId="0" fontId="13" fillId="0" borderId="0" xfId="63" applyFont="1">
      <alignment/>
      <protection/>
    </xf>
    <xf numFmtId="0" fontId="6" fillId="0" borderId="0" xfId="63" applyFont="1" applyFill="1" applyBorder="1" applyAlignment="1" applyProtection="1">
      <alignment horizontal="centerContinuous"/>
      <protection/>
    </xf>
    <xf numFmtId="0" fontId="14" fillId="0" borderId="0" xfId="63" applyFont="1" applyAlignment="1">
      <alignment horizontal="centerContinuous"/>
      <protection/>
    </xf>
    <xf numFmtId="0" fontId="14" fillId="0" borderId="0" xfId="63" applyFont="1">
      <alignment/>
      <protection/>
    </xf>
    <xf numFmtId="0" fontId="13" fillId="0" borderId="10" xfId="63" applyFont="1" applyBorder="1">
      <alignment/>
      <protection/>
    </xf>
    <xf numFmtId="0" fontId="13" fillId="0" borderId="11" xfId="63" applyFont="1" applyBorder="1">
      <alignment/>
      <protection/>
    </xf>
    <xf numFmtId="0" fontId="13" fillId="0" borderId="12" xfId="63" applyFont="1" applyBorder="1">
      <alignment/>
      <protection/>
    </xf>
    <xf numFmtId="0" fontId="16" fillId="0" borderId="0" xfId="63" applyFont="1">
      <alignment/>
      <protection/>
    </xf>
    <xf numFmtId="0" fontId="16" fillId="0" borderId="13" xfId="63" applyFont="1" applyBorder="1">
      <alignment/>
      <protection/>
    </xf>
    <xf numFmtId="0" fontId="16" fillId="0" borderId="0" xfId="63" applyFont="1" applyBorder="1">
      <alignment/>
      <protection/>
    </xf>
    <xf numFmtId="0" fontId="20" fillId="0" borderId="0" xfId="63" applyFont="1" applyBorder="1" applyAlignment="1">
      <alignment horizontal="left"/>
      <protection/>
    </xf>
    <xf numFmtId="0" fontId="20" fillId="0" borderId="0" xfId="63" applyFont="1" applyBorder="1" applyAlignment="1">
      <alignment horizontal="centerContinuous"/>
      <protection/>
    </xf>
    <xf numFmtId="0" fontId="16" fillId="0" borderId="0" xfId="63" applyFont="1" applyBorder="1" applyAlignment="1">
      <alignment horizontal="centerContinuous"/>
      <protection/>
    </xf>
    <xf numFmtId="0" fontId="16" fillId="0" borderId="0" xfId="63" applyFont="1" applyAlignment="1">
      <alignment horizontal="centerContinuous"/>
      <protection/>
    </xf>
    <xf numFmtId="0" fontId="16" fillId="0" borderId="14" xfId="63" applyFont="1" applyBorder="1" applyAlignment="1">
      <alignment horizontal="centerContinuous"/>
      <protection/>
    </xf>
    <xf numFmtId="0" fontId="13" fillId="0" borderId="13" xfId="63" applyFont="1" applyBorder="1">
      <alignment/>
      <protection/>
    </xf>
    <xf numFmtId="0" fontId="13" fillId="0" borderId="0" xfId="63" applyFont="1" applyBorder="1">
      <alignment/>
      <protection/>
    </xf>
    <xf numFmtId="0" fontId="13" fillId="0" borderId="14" xfId="63" applyFont="1" applyBorder="1">
      <alignment/>
      <protection/>
    </xf>
    <xf numFmtId="0" fontId="20" fillId="0" borderId="0" xfId="63" applyFont="1" applyBorder="1">
      <alignment/>
      <protection/>
    </xf>
    <xf numFmtId="0" fontId="20" fillId="0" borderId="0" xfId="63" applyFont="1">
      <alignment/>
      <protection/>
    </xf>
    <xf numFmtId="0" fontId="16" fillId="0" borderId="0" xfId="63" applyFont="1" applyBorder="1" applyProtection="1">
      <alignment/>
      <protection/>
    </xf>
    <xf numFmtId="0" fontId="3" fillId="0" borderId="0" xfId="63">
      <alignment/>
      <protection/>
    </xf>
    <xf numFmtId="0" fontId="16" fillId="0" borderId="14" xfId="63" applyFont="1" applyBorder="1">
      <alignment/>
      <protection/>
    </xf>
    <xf numFmtId="0" fontId="5" fillId="0" borderId="0" xfId="63" applyFont="1" applyBorder="1">
      <alignment/>
      <protection/>
    </xf>
    <xf numFmtId="0" fontId="19" fillId="0" borderId="0" xfId="63" applyFont="1">
      <alignment/>
      <protection/>
    </xf>
    <xf numFmtId="0" fontId="13" fillId="0" borderId="0" xfId="63" applyFont="1" applyBorder="1" applyProtection="1">
      <alignment/>
      <protection/>
    </xf>
    <xf numFmtId="0" fontId="23" fillId="0" borderId="0" xfId="63" applyFont="1">
      <alignment/>
      <protection/>
    </xf>
    <xf numFmtId="0" fontId="24" fillId="0" borderId="13" xfId="63" applyFont="1" applyBorder="1" applyAlignment="1">
      <alignment horizontal="centerContinuous"/>
      <protection/>
    </xf>
    <xf numFmtId="0" fontId="24" fillId="0" borderId="0" xfId="63" applyFont="1" applyBorder="1" applyAlignment="1">
      <alignment horizontal="centerContinuous"/>
      <protection/>
    </xf>
    <xf numFmtId="0" fontId="24" fillId="0" borderId="0" xfId="63" applyFont="1" applyBorder="1" applyAlignment="1">
      <alignment horizontal="centerContinuous"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3" fillId="0" borderId="0" xfId="63" applyFont="1" applyBorder="1" applyAlignment="1">
      <alignment horizontal="center" vertical="center"/>
      <protection/>
    </xf>
    <xf numFmtId="0" fontId="13" fillId="0" borderId="0" xfId="63" applyFont="1" applyFill="1" applyBorder="1">
      <alignment/>
      <protection/>
    </xf>
    <xf numFmtId="0" fontId="3" fillId="0" borderId="15" xfId="63" applyFont="1" applyBorder="1" applyAlignment="1" applyProtection="1">
      <alignment horizontal="left"/>
      <protection/>
    </xf>
    <xf numFmtId="0" fontId="3" fillId="0" borderId="39" xfId="63" applyFont="1" applyBorder="1" applyAlignment="1" applyProtection="1">
      <alignment horizontal="center"/>
      <protection/>
    </xf>
    <xf numFmtId="174" fontId="3" fillId="0" borderId="20" xfId="63" applyNumberFormat="1" applyFont="1" applyBorder="1" applyAlignment="1">
      <alignment horizontal="center"/>
      <protection/>
    </xf>
    <xf numFmtId="0" fontId="3" fillId="0" borderId="0" xfId="63" applyFont="1" applyBorder="1">
      <alignment/>
      <protection/>
    </xf>
    <xf numFmtId="0" fontId="5" fillId="0" borderId="0" xfId="63" applyFont="1" applyBorder="1" applyAlignment="1">
      <alignment horizontal="center"/>
      <protection/>
    </xf>
    <xf numFmtId="0" fontId="3" fillId="0" borderId="15" xfId="63" applyFont="1" applyBorder="1" applyAlignment="1" applyProtection="1" quotePrefix="1">
      <alignment horizontal="left"/>
      <protection/>
    </xf>
    <xf numFmtId="0" fontId="3" fillId="0" borderId="21" xfId="63" applyFont="1" applyBorder="1" applyAlignment="1" applyProtection="1">
      <alignment horizontal="center"/>
      <protection/>
    </xf>
    <xf numFmtId="164" fontId="3" fillId="0" borderId="20" xfId="63" applyNumberFormat="1" applyFont="1" applyBorder="1" applyAlignment="1" applyProtection="1">
      <alignment horizontal="center"/>
      <protection/>
    </xf>
    <xf numFmtId="0" fontId="48" fillId="0" borderId="0" xfId="63" applyFont="1" applyBorder="1" applyAlignment="1">
      <alignment horizontal="right"/>
      <protection/>
    </xf>
    <xf numFmtId="0" fontId="91" fillId="0" borderId="0" xfId="63" applyFont="1" applyBorder="1" applyAlignment="1">
      <alignment horizontal="center"/>
      <protection/>
    </xf>
    <xf numFmtId="22" fontId="13" fillId="0" borderId="0" xfId="63" applyNumberFormat="1" applyFont="1" applyBorder="1">
      <alignment/>
      <protection/>
    </xf>
    <xf numFmtId="0" fontId="3" fillId="0" borderId="0" xfId="63" applyFont="1" applyBorder="1" applyAlignment="1" applyProtection="1" quotePrefix="1">
      <alignment horizontal="left"/>
      <protection/>
    </xf>
    <xf numFmtId="0" fontId="3" fillId="0" borderId="0" xfId="63" applyFont="1" applyBorder="1" applyAlignment="1" applyProtection="1">
      <alignment horizontal="center"/>
      <protection/>
    </xf>
    <xf numFmtId="164" fontId="3" fillId="0" borderId="0" xfId="63" applyNumberFormat="1" applyFont="1" applyBorder="1" applyAlignment="1" applyProtection="1">
      <alignment horizontal="center"/>
      <protection/>
    </xf>
    <xf numFmtId="0" fontId="29" fillId="0" borderId="0" xfId="63" applyFont="1" applyBorder="1">
      <alignment/>
      <protection/>
    </xf>
    <xf numFmtId="0" fontId="30" fillId="0" borderId="20" xfId="63" applyFont="1" applyFill="1" applyBorder="1" applyAlignment="1">
      <alignment horizontal="center" vertical="center"/>
      <protection/>
    </xf>
    <xf numFmtId="0" fontId="30" fillId="0" borderId="20" xfId="63" applyFont="1" applyBorder="1" applyAlignment="1">
      <alignment horizontal="center" vertical="center"/>
      <protection/>
    </xf>
    <xf numFmtId="0" fontId="30" fillId="0" borderId="20" xfId="63" applyFont="1" applyBorder="1" applyAlignment="1" applyProtection="1">
      <alignment horizontal="center" vertical="center" wrapText="1"/>
      <protection/>
    </xf>
    <xf numFmtId="0" fontId="30" fillId="0" borderId="20" xfId="63" applyFont="1" applyBorder="1" applyAlignment="1" applyProtection="1">
      <alignment horizontal="center" vertical="center"/>
      <protection/>
    </xf>
    <xf numFmtId="0" fontId="30" fillId="0" borderId="20" xfId="63" applyFont="1" applyBorder="1" applyAlignment="1" applyProtection="1" quotePrefix="1">
      <alignment horizontal="center" vertical="center" wrapText="1"/>
      <protection/>
    </xf>
    <xf numFmtId="0" fontId="60" fillId="37" borderId="20" xfId="63" applyFont="1" applyFill="1" applyBorder="1" applyAlignment="1" applyProtection="1">
      <alignment horizontal="center" vertical="center"/>
      <protection/>
    </xf>
    <xf numFmtId="0" fontId="30" fillId="0" borderId="15" xfId="63" applyFont="1" applyBorder="1" applyAlignment="1" applyProtection="1">
      <alignment horizontal="center" vertical="center" wrapText="1"/>
      <protection/>
    </xf>
    <xf numFmtId="0" fontId="31" fillId="48" borderId="20" xfId="63" applyFont="1" applyFill="1" applyBorder="1" applyAlignment="1">
      <alignment horizontal="center" vertical="center" wrapText="1"/>
      <protection/>
    </xf>
    <xf numFmtId="0" fontId="68" fillId="36" borderId="15" xfId="63" applyFont="1" applyFill="1" applyBorder="1" applyAlignment="1" applyProtection="1">
      <alignment horizontal="centerContinuous" vertical="center" wrapText="1"/>
      <protection/>
    </xf>
    <xf numFmtId="0" fontId="68" fillId="36" borderId="16" xfId="63" applyFont="1" applyFill="1" applyBorder="1" applyAlignment="1">
      <alignment horizontal="centerContinuous" vertical="center"/>
      <protection/>
    </xf>
    <xf numFmtId="0" fontId="61" fillId="39" borderId="20" xfId="63" applyFont="1" applyFill="1" applyBorder="1" applyAlignment="1">
      <alignment horizontal="center" vertical="center" wrapText="1"/>
      <protection/>
    </xf>
    <xf numFmtId="0" fontId="30" fillId="0" borderId="20" xfId="63" applyFont="1" applyBorder="1" applyAlignment="1">
      <alignment horizontal="center" vertical="center" wrapText="1"/>
      <protection/>
    </xf>
    <xf numFmtId="0" fontId="89" fillId="37" borderId="20" xfId="63" applyFont="1" applyFill="1" applyBorder="1" applyAlignment="1">
      <alignment horizontal="center" vertical="center" wrapText="1"/>
      <protection/>
    </xf>
    <xf numFmtId="0" fontId="89" fillId="0" borderId="20" xfId="63" applyFont="1" applyFill="1" applyBorder="1" applyAlignment="1">
      <alignment horizontal="center" vertical="center" wrapText="1"/>
      <protection/>
    </xf>
    <xf numFmtId="0" fontId="13" fillId="0" borderId="41" xfId="63" applyFont="1" applyFill="1" applyBorder="1" applyAlignment="1">
      <alignment horizontal="center"/>
      <protection/>
    </xf>
    <xf numFmtId="0" fontId="13" fillId="0" borderId="59" xfId="63" applyFont="1" applyBorder="1" applyAlignment="1">
      <alignment horizontal="center"/>
      <protection/>
    </xf>
    <xf numFmtId="0" fontId="62" fillId="37" borderId="59" xfId="63" applyFont="1" applyFill="1" applyBorder="1" applyAlignment="1">
      <alignment horizontal="center"/>
      <protection/>
    </xf>
    <xf numFmtId="0" fontId="13" fillId="0" borderId="60" xfId="63" applyFont="1" applyBorder="1" applyAlignment="1">
      <alignment horizontal="center"/>
      <protection/>
    </xf>
    <xf numFmtId="0" fontId="13" fillId="0" borderId="55" xfId="63" applyFont="1" applyBorder="1" applyAlignment="1">
      <alignment horizontal="center"/>
      <protection/>
    </xf>
    <xf numFmtId="0" fontId="13" fillId="0" borderId="27" xfId="63" applyFont="1" applyBorder="1">
      <alignment/>
      <protection/>
    </xf>
    <xf numFmtId="0" fontId="62" fillId="37" borderId="41" xfId="63" applyFont="1" applyFill="1" applyBorder="1" applyAlignment="1">
      <alignment horizontal="center"/>
      <protection/>
    </xf>
    <xf numFmtId="0" fontId="92" fillId="48" borderId="41" xfId="63" applyFont="1" applyFill="1" applyBorder="1" applyAlignment="1">
      <alignment horizontal="center"/>
      <protection/>
    </xf>
    <xf numFmtId="0" fontId="72" fillId="36" borderId="23" xfId="63" applyFont="1" applyFill="1" applyBorder="1" applyAlignment="1">
      <alignment horizontal="center"/>
      <protection/>
    </xf>
    <xf numFmtId="0" fontId="72" fillId="36" borderId="25" xfId="63" applyFont="1" applyFill="1" applyBorder="1" applyAlignment="1">
      <alignment horizontal="center"/>
      <protection/>
    </xf>
    <xf numFmtId="0" fontId="63" fillId="39" borderId="41" xfId="63" applyFont="1" applyFill="1" applyBorder="1" applyAlignment="1">
      <alignment horizontal="center"/>
      <protection/>
    </xf>
    <xf numFmtId="0" fontId="13" fillId="0" borderId="39" xfId="63" applyFont="1" applyBorder="1" applyAlignment="1">
      <alignment horizontal="center"/>
      <protection/>
    </xf>
    <xf numFmtId="7" fontId="76" fillId="37" borderId="41" xfId="63" applyNumberFormat="1" applyFont="1" applyFill="1" applyBorder="1" applyAlignment="1">
      <alignment horizontal="center"/>
      <protection/>
    </xf>
    <xf numFmtId="7" fontId="76" fillId="0" borderId="41" xfId="63" applyNumberFormat="1" applyFont="1" applyFill="1" applyBorder="1" applyAlignment="1">
      <alignment horizontal="center"/>
      <protection/>
    </xf>
    <xf numFmtId="0" fontId="13" fillId="0" borderId="26" xfId="63" applyFont="1" applyFill="1" applyBorder="1" applyAlignment="1">
      <alignment horizontal="center"/>
      <protection/>
    </xf>
    <xf numFmtId="0" fontId="73" fillId="0" borderId="26" xfId="63" applyFont="1" applyBorder="1" applyAlignment="1" applyProtection="1">
      <alignment horizontal="center"/>
      <protection/>
    </xf>
    <xf numFmtId="168" fontId="62" fillId="37" borderId="26" xfId="63" applyNumberFormat="1" applyFont="1" applyFill="1" applyBorder="1" applyAlignment="1" applyProtection="1">
      <alignment horizontal="center"/>
      <protection/>
    </xf>
    <xf numFmtId="22" fontId="13" fillId="0" borderId="46" xfId="63" applyNumberFormat="1" applyFont="1" applyBorder="1" applyAlignment="1">
      <alignment horizontal="center"/>
      <protection/>
    </xf>
    <xf numFmtId="22" fontId="13" fillId="0" borderId="61" xfId="63" applyNumberFormat="1" applyFont="1" applyBorder="1" applyAlignment="1" applyProtection="1">
      <alignment horizontal="center"/>
      <protection/>
    </xf>
    <xf numFmtId="2" fontId="13" fillId="0" borderId="26" xfId="63" applyNumberFormat="1" applyFont="1" applyFill="1" applyBorder="1" applyAlignment="1" applyProtection="1" quotePrefix="1">
      <alignment horizontal="center"/>
      <protection/>
    </xf>
    <xf numFmtId="164" fontId="13" fillId="0" borderId="26" xfId="63" applyNumberFormat="1" applyFont="1" applyFill="1" applyBorder="1" applyAlignment="1" applyProtection="1" quotePrefix="1">
      <alignment horizontal="center"/>
      <protection/>
    </xf>
    <xf numFmtId="168" fontId="13" fillId="0" borderId="45" xfId="63" applyNumberFormat="1" applyFont="1" applyBorder="1" applyAlignment="1" applyProtection="1">
      <alignment horizontal="center"/>
      <protection/>
    </xf>
    <xf numFmtId="0" fontId="13" fillId="0" borderId="28" xfId="63" applyFont="1" applyBorder="1">
      <alignment/>
      <protection/>
    </xf>
    <xf numFmtId="168" fontId="13" fillId="0" borderId="26" xfId="63" applyNumberFormat="1" applyFont="1" applyBorder="1" applyAlignment="1" applyProtection="1">
      <alignment horizontal="center"/>
      <protection/>
    </xf>
    <xf numFmtId="164" fontId="62" fillId="37" borderId="26" xfId="63" applyNumberFormat="1" applyFont="1" applyFill="1" applyBorder="1" applyAlignment="1" applyProtection="1">
      <alignment horizontal="center"/>
      <protection/>
    </xf>
    <xf numFmtId="2" fontId="92" fillId="48" borderId="26" xfId="63" applyNumberFormat="1" applyFont="1" applyFill="1" applyBorder="1" applyAlignment="1">
      <alignment horizontal="center"/>
      <protection/>
    </xf>
    <xf numFmtId="168" fontId="72" fillId="36" borderId="46" xfId="63" applyNumberFormat="1" applyFont="1" applyFill="1" applyBorder="1" applyAlignment="1" applyProtection="1" quotePrefix="1">
      <alignment horizontal="center"/>
      <protection/>
    </xf>
    <xf numFmtId="168" fontId="72" fillId="36" borderId="47" xfId="63" applyNumberFormat="1" applyFont="1" applyFill="1" applyBorder="1" applyAlignment="1" applyProtection="1" quotePrefix="1">
      <alignment horizontal="center"/>
      <protection/>
    </xf>
    <xf numFmtId="168" fontId="63" fillId="39" borderId="26" xfId="63" applyNumberFormat="1" applyFont="1" applyFill="1" applyBorder="1" applyAlignment="1" applyProtection="1" quotePrefix="1">
      <alignment horizontal="center"/>
      <protection/>
    </xf>
    <xf numFmtId="168" fontId="13" fillId="0" borderId="61" xfId="63" applyNumberFormat="1" applyFont="1" applyBorder="1" applyAlignment="1" applyProtection="1">
      <alignment horizontal="center"/>
      <protection/>
    </xf>
    <xf numFmtId="168" fontId="76" fillId="37" borderId="26" xfId="63" applyNumberFormat="1" applyFont="1" applyFill="1" applyBorder="1" applyAlignment="1">
      <alignment horizontal="center"/>
      <protection/>
    </xf>
    <xf numFmtId="168" fontId="76" fillId="0" borderId="26" xfId="63" applyNumberFormat="1" applyFont="1" applyFill="1" applyBorder="1" applyAlignment="1">
      <alignment horizontal="center"/>
      <protection/>
    </xf>
    <xf numFmtId="0" fontId="13" fillId="0" borderId="27" xfId="63" applyFont="1" applyBorder="1" applyAlignment="1" applyProtection="1">
      <alignment horizontal="center"/>
      <protection locked="0"/>
    </xf>
    <xf numFmtId="174" fontId="62" fillId="37" borderId="27" xfId="63" applyNumberFormat="1" applyFont="1" applyFill="1" applyBorder="1" applyAlignment="1" applyProtection="1">
      <alignment horizontal="center"/>
      <protection/>
    </xf>
    <xf numFmtId="22" fontId="13" fillId="0" borderId="29" xfId="63" applyNumberFormat="1" applyFont="1" applyBorder="1" applyAlignment="1" applyProtection="1">
      <alignment horizontal="center"/>
      <protection locked="0"/>
    </xf>
    <xf numFmtId="22" fontId="13" fillId="0" borderId="32" xfId="63" applyNumberFormat="1" applyFont="1" applyBorder="1" applyAlignment="1" applyProtection="1">
      <alignment horizontal="center"/>
      <protection locked="0"/>
    </xf>
    <xf numFmtId="2" fontId="13" fillId="0" borderId="27" xfId="63" applyNumberFormat="1" applyFont="1" applyFill="1" applyBorder="1" applyAlignment="1" applyProtection="1" quotePrefix="1">
      <alignment horizontal="center"/>
      <protection/>
    </xf>
    <xf numFmtId="164" fontId="13" fillId="0" borderId="27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Border="1" applyAlignment="1" applyProtection="1">
      <alignment horizontal="center"/>
      <protection locked="0"/>
    </xf>
    <xf numFmtId="173" fontId="13" fillId="0" borderId="28" xfId="63" applyNumberFormat="1" applyFont="1" applyBorder="1" applyAlignment="1" applyProtection="1" quotePrefix="1">
      <alignment horizontal="center"/>
      <protection/>
    </xf>
    <xf numFmtId="168" fontId="13" fillId="0" borderId="27" xfId="63" applyNumberFormat="1" applyFont="1" applyBorder="1" applyAlignment="1" applyProtection="1">
      <alignment horizontal="center"/>
      <protection/>
    </xf>
    <xf numFmtId="164" fontId="62" fillId="37" borderId="27" xfId="63" applyNumberFormat="1" applyFont="1" applyFill="1" applyBorder="1" applyAlignment="1" applyProtection="1">
      <alignment horizontal="center"/>
      <protection/>
    </xf>
    <xf numFmtId="2" fontId="92" fillId="48" borderId="27" xfId="63" applyNumberFormat="1" applyFont="1" applyFill="1" applyBorder="1" applyAlignment="1" applyProtection="1">
      <alignment horizontal="center"/>
      <protection/>
    </xf>
    <xf numFmtId="168" fontId="13" fillId="0" borderId="32" xfId="63" applyNumberFormat="1" applyFont="1" applyBorder="1" applyAlignment="1" applyProtection="1">
      <alignment horizontal="center"/>
      <protection/>
    </xf>
    <xf numFmtId="4" fontId="76" fillId="37" borderId="27" xfId="63" applyNumberFormat="1" applyFont="1" applyFill="1" applyBorder="1" applyAlignment="1">
      <alignment horizontal="right"/>
      <protection/>
    </xf>
    <xf numFmtId="4" fontId="76" fillId="0" borderId="27" xfId="63" applyNumberFormat="1" applyFont="1" applyFill="1" applyBorder="1" applyAlignment="1">
      <alignment horizontal="right"/>
      <protection/>
    </xf>
    <xf numFmtId="2" fontId="13" fillId="0" borderId="62" xfId="63" applyNumberFormat="1" applyFont="1" applyFill="1" applyBorder="1" applyAlignment="1" applyProtection="1" quotePrefix="1">
      <alignment horizontal="center"/>
      <protection/>
    </xf>
    <xf numFmtId="0" fontId="73" fillId="0" borderId="27" xfId="63" applyFont="1" applyBorder="1" applyAlignment="1" applyProtection="1">
      <alignment horizontal="center"/>
      <protection locked="0"/>
    </xf>
    <xf numFmtId="0" fontId="73" fillId="0" borderId="34" xfId="63" applyFont="1" applyBorder="1" applyAlignment="1" applyProtection="1">
      <alignment horizontal="center"/>
      <protection locked="0"/>
    </xf>
    <xf numFmtId="168" fontId="62" fillId="37" borderId="34" xfId="63" applyNumberFormat="1" applyFont="1" applyFill="1" applyBorder="1" applyAlignment="1" applyProtection="1">
      <alignment horizontal="center"/>
      <protection/>
    </xf>
    <xf numFmtId="168" fontId="13" fillId="0" borderId="48" xfId="63" applyNumberFormat="1" applyFont="1" applyBorder="1" applyAlignment="1" applyProtection="1">
      <alignment horizontal="center"/>
      <protection locked="0"/>
    </xf>
    <xf numFmtId="168" fontId="13" fillId="0" borderId="48" xfId="63" applyNumberFormat="1" applyFont="1" applyBorder="1" applyAlignment="1" applyProtection="1">
      <alignment horizontal="center"/>
      <protection/>
    </xf>
    <xf numFmtId="173" fontId="13" fillId="0" borderId="34" xfId="63" applyNumberFormat="1" applyFont="1" applyBorder="1" applyAlignment="1" applyProtection="1" quotePrefix="1">
      <alignment horizontal="center"/>
      <protection locked="0"/>
    </xf>
    <xf numFmtId="168" fontId="13" fillId="0" borderId="34" xfId="63" applyNumberFormat="1" applyFont="1" applyBorder="1" applyAlignment="1" applyProtection="1">
      <alignment horizontal="center"/>
      <protection locked="0"/>
    </xf>
    <xf numFmtId="164" fontId="62" fillId="37" borderId="34" xfId="63" applyNumberFormat="1" applyFont="1" applyFill="1" applyBorder="1" applyAlignment="1" applyProtection="1">
      <alignment horizontal="center"/>
      <protection locked="0"/>
    </xf>
    <xf numFmtId="2" fontId="92" fillId="48" borderId="34" xfId="63" applyNumberFormat="1" applyFont="1" applyFill="1" applyBorder="1" applyAlignment="1" applyProtection="1">
      <alignment horizontal="center"/>
      <protection locked="0"/>
    </xf>
    <xf numFmtId="168" fontId="72" fillId="36" borderId="49" xfId="63" applyNumberFormat="1" applyFont="1" applyFill="1" applyBorder="1" applyAlignment="1" applyProtection="1" quotePrefix="1">
      <alignment horizontal="center"/>
      <protection locked="0"/>
    </xf>
    <xf numFmtId="168" fontId="72" fillId="36" borderId="50" xfId="63" applyNumberFormat="1" applyFont="1" applyFill="1" applyBorder="1" applyAlignment="1" applyProtection="1" quotePrefix="1">
      <alignment horizontal="center"/>
      <protection locked="0"/>
    </xf>
    <xf numFmtId="168" fontId="63" fillId="39" borderId="34" xfId="63" applyNumberFormat="1" applyFont="1" applyFill="1" applyBorder="1" applyAlignment="1" applyProtection="1" quotePrefix="1">
      <alignment horizontal="center"/>
      <protection locked="0"/>
    </xf>
    <xf numFmtId="168" fontId="13" fillId="0" borderId="65" xfId="63" applyNumberFormat="1" applyFont="1" applyBorder="1" applyAlignment="1" applyProtection="1">
      <alignment horizontal="center"/>
      <protection locked="0"/>
    </xf>
    <xf numFmtId="168" fontId="76" fillId="37" borderId="38" xfId="63" applyNumberFormat="1" applyFont="1" applyFill="1" applyBorder="1" applyAlignment="1">
      <alignment horizontal="center"/>
      <protection/>
    </xf>
    <xf numFmtId="168" fontId="76" fillId="0" borderId="38" xfId="63" applyNumberFormat="1" applyFont="1" applyFill="1" applyBorder="1" applyAlignment="1">
      <alignment horizontal="center"/>
      <protection/>
    </xf>
    <xf numFmtId="0" fontId="57" fillId="0" borderId="39" xfId="63" applyFont="1" applyBorder="1" applyAlignment="1">
      <alignment horizontal="center"/>
      <protection/>
    </xf>
    <xf numFmtId="0" fontId="58" fillId="0" borderId="0" xfId="63" applyFont="1" applyBorder="1" applyAlignment="1" applyProtection="1">
      <alignment horizontal="left"/>
      <protection/>
    </xf>
    <xf numFmtId="4" fontId="92" fillId="48" borderId="15" xfId="63" applyNumberFormat="1" applyFont="1" applyFill="1" applyBorder="1" applyAlignment="1">
      <alignment horizontal="center"/>
      <protection/>
    </xf>
    <xf numFmtId="4" fontId="72" fillId="36" borderId="52" xfId="63" applyNumberFormat="1" applyFont="1" applyFill="1" applyBorder="1" applyAlignment="1">
      <alignment horizontal="center"/>
      <protection/>
    </xf>
    <xf numFmtId="4" fontId="72" fillId="36" borderId="16" xfId="63" applyNumberFormat="1" applyFont="1" applyFill="1" applyBorder="1" applyAlignment="1">
      <alignment horizontal="center"/>
      <protection/>
    </xf>
    <xf numFmtId="4" fontId="63" fillId="39" borderId="20" xfId="63" applyNumberFormat="1" applyFont="1" applyFill="1" applyBorder="1" applyAlignment="1">
      <alignment horizontal="center"/>
      <protection/>
    </xf>
    <xf numFmtId="7" fontId="4" fillId="37" borderId="20" xfId="63" applyNumberFormat="1" applyFont="1" applyFill="1" applyBorder="1" applyAlignment="1">
      <alignment horizontal="right"/>
      <protection/>
    </xf>
    <xf numFmtId="7" fontId="4" fillId="0" borderId="20" xfId="63" applyNumberFormat="1" applyFont="1" applyFill="1" applyBorder="1" applyAlignment="1">
      <alignment horizontal="right"/>
      <protection/>
    </xf>
    <xf numFmtId="0" fontId="13" fillId="0" borderId="64" xfId="63" applyFont="1" applyBorder="1">
      <alignment/>
      <protection/>
    </xf>
    <xf numFmtId="0" fontId="13" fillId="0" borderId="17" xfId="63" applyFont="1" applyBorder="1">
      <alignment/>
      <protection/>
    </xf>
    <xf numFmtId="0" fontId="13" fillId="0" borderId="18" xfId="63" applyFont="1" applyBorder="1">
      <alignment/>
      <protection/>
    </xf>
    <xf numFmtId="0" fontId="13" fillId="0" borderId="19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0" xfId="63" applyFont="1">
      <alignment/>
      <protection/>
    </xf>
    <xf numFmtId="174" fontId="3" fillId="0" borderId="20" xfId="67" applyNumberFormat="1" applyFont="1" applyBorder="1" applyAlignment="1">
      <alignment horizontal="center"/>
      <protection/>
    </xf>
    <xf numFmtId="0" fontId="50" fillId="47" borderId="23" xfId="67" applyFont="1" applyFill="1" applyBorder="1" applyAlignment="1">
      <alignment horizontal="center"/>
      <protection/>
    </xf>
    <xf numFmtId="0" fontId="50" fillId="47" borderId="25" xfId="67" applyFont="1" applyFill="1" applyBorder="1" applyAlignment="1">
      <alignment horizontal="center"/>
      <protection/>
    </xf>
    <xf numFmtId="0" fontId="73" fillId="0" borderId="61" xfId="67" applyFont="1" applyBorder="1" applyAlignment="1" applyProtection="1">
      <alignment horizontal="center"/>
      <protection/>
    </xf>
    <xf numFmtId="168" fontId="62" fillId="37" borderId="26" xfId="67" applyNumberFormat="1" applyFont="1" applyFill="1" applyBorder="1" applyAlignment="1" applyProtection="1">
      <alignment horizontal="center"/>
      <protection/>
    </xf>
    <xf numFmtId="22" fontId="13" fillId="0" borderId="46" xfId="67" applyNumberFormat="1" applyFont="1" applyBorder="1" applyAlignment="1">
      <alignment horizontal="center"/>
      <protection/>
    </xf>
    <xf numFmtId="22" fontId="13" fillId="0" borderId="61" xfId="67" applyNumberFormat="1" applyFont="1" applyBorder="1" applyAlignment="1" applyProtection="1">
      <alignment horizontal="center"/>
      <protection/>
    </xf>
    <xf numFmtId="168" fontId="13" fillId="0" borderId="45" xfId="67" applyNumberFormat="1" applyFont="1" applyBorder="1" applyAlignment="1" applyProtection="1">
      <alignment horizontal="center"/>
      <protection/>
    </xf>
    <xf numFmtId="2" fontId="90" fillId="39" borderId="26" xfId="67" applyNumberFormat="1" applyFont="1" applyFill="1" applyBorder="1" applyAlignment="1">
      <alignment horizontal="center"/>
      <protection/>
    </xf>
    <xf numFmtId="168" fontId="76" fillId="0" borderId="26" xfId="67" applyNumberFormat="1" applyFont="1" applyFill="1" applyBorder="1" applyAlignment="1">
      <alignment horizontal="center"/>
      <protection/>
    </xf>
    <xf numFmtId="0" fontId="73" fillId="0" borderId="65" xfId="67" applyFont="1" applyBorder="1" applyAlignment="1" applyProtection="1">
      <alignment horizontal="center"/>
      <protection locked="0"/>
    </xf>
    <xf numFmtId="0" fontId="13" fillId="0" borderId="18" xfId="67" applyFont="1" applyBorder="1" applyAlignment="1">
      <alignment horizontal="center"/>
      <protection/>
    </xf>
    <xf numFmtId="7" fontId="23" fillId="0" borderId="0" xfId="67" applyNumberFormat="1" applyFont="1" applyBorder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>
      <alignment/>
      <protection/>
    </xf>
    <xf numFmtId="0" fontId="3" fillId="0" borderId="0" xfId="59">
      <alignment/>
      <protection/>
    </xf>
    <xf numFmtId="0" fontId="11" fillId="0" borderId="0" xfId="59" applyFont="1" applyAlignment="1">
      <alignment horizontal="right" vertical="top"/>
      <protection/>
    </xf>
    <xf numFmtId="0" fontId="6" fillId="0" borderId="0" xfId="59" applyFont="1" applyFill="1" applyBorder="1" applyAlignment="1" applyProtection="1">
      <alignment horizontal="center"/>
      <protection/>
    </xf>
    <xf numFmtId="0" fontId="93" fillId="0" borderId="0" xfId="59" applyFont="1" applyFill="1">
      <alignment/>
      <protection/>
    </xf>
    <xf numFmtId="0" fontId="94" fillId="0" borderId="0" xfId="59" applyFont="1" applyAlignment="1">
      <alignment horizontal="centerContinuous"/>
      <protection/>
    </xf>
    <xf numFmtId="0" fontId="93" fillId="0" borderId="0" xfId="59" applyFont="1" applyAlignment="1">
      <alignment horizontal="centerContinuous"/>
      <protection/>
    </xf>
    <xf numFmtId="0" fontId="93" fillId="0" borderId="0" xfId="59" applyFont="1">
      <alignment/>
      <protection/>
    </xf>
    <xf numFmtId="0" fontId="14" fillId="0" borderId="0" xfId="59" applyFont="1">
      <alignment/>
      <protection/>
    </xf>
    <xf numFmtId="0" fontId="6" fillId="0" borderId="0" xfId="59" applyFont="1" applyFill="1" applyBorder="1" applyAlignment="1" applyProtection="1">
      <alignment horizontal="left"/>
      <protection/>
    </xf>
    <xf numFmtId="0" fontId="13" fillId="0" borderId="10" xfId="59" applyFont="1" applyBorder="1">
      <alignment/>
      <protection/>
    </xf>
    <xf numFmtId="0" fontId="13" fillId="0" borderId="11" xfId="59" applyFont="1" applyBorder="1">
      <alignment/>
      <protection/>
    </xf>
    <xf numFmtId="0" fontId="13" fillId="0" borderId="11" xfId="59" applyFont="1" applyBorder="1" applyAlignment="1" applyProtection="1">
      <alignment horizontal="left"/>
      <protection/>
    </xf>
    <xf numFmtId="0" fontId="3" fillId="0" borderId="11" xfId="59" applyBorder="1">
      <alignment/>
      <protection/>
    </xf>
    <xf numFmtId="0" fontId="13" fillId="0" borderId="12" xfId="59" applyFont="1" applyFill="1" applyBorder="1">
      <alignment/>
      <protection/>
    </xf>
    <xf numFmtId="0" fontId="13" fillId="0" borderId="13" xfId="59" applyFont="1" applyBorder="1">
      <alignment/>
      <protection/>
    </xf>
    <xf numFmtId="0" fontId="13" fillId="0" borderId="0" xfId="59" applyFont="1" applyBorder="1">
      <alignment/>
      <protection/>
    </xf>
    <xf numFmtId="0" fontId="20" fillId="0" borderId="0" xfId="59" applyFont="1" applyBorder="1" applyAlignment="1">
      <alignment horizontal="left"/>
      <protection/>
    </xf>
    <xf numFmtId="0" fontId="19" fillId="0" borderId="0" xfId="59" applyFont="1" applyBorder="1">
      <alignment/>
      <protection/>
    </xf>
    <xf numFmtId="0" fontId="13" fillId="0" borderId="14" xfId="59" applyFont="1" applyFill="1" applyBorder="1">
      <alignment/>
      <protection/>
    </xf>
    <xf numFmtId="0" fontId="23" fillId="0" borderId="0" xfId="59" applyFont="1">
      <alignment/>
      <protection/>
    </xf>
    <xf numFmtId="0" fontId="23" fillId="0" borderId="13" xfId="59" applyFont="1" applyBorder="1">
      <alignment/>
      <protection/>
    </xf>
    <xf numFmtId="0" fontId="23" fillId="0" borderId="0" xfId="59" applyFont="1" applyBorder="1">
      <alignment/>
      <protection/>
    </xf>
    <xf numFmtId="0" fontId="17" fillId="0" borderId="0" xfId="59" applyFont="1" applyBorder="1">
      <alignment/>
      <protection/>
    </xf>
    <xf numFmtId="0" fontId="23" fillId="0" borderId="14" xfId="59" applyFont="1" applyFill="1" applyBorder="1">
      <alignment/>
      <protection/>
    </xf>
    <xf numFmtId="0" fontId="13" fillId="0" borderId="0" xfId="59" applyFont="1" applyBorder="1" applyProtection="1">
      <alignment/>
      <protection/>
    </xf>
    <xf numFmtId="0" fontId="24" fillId="0" borderId="13" xfId="59" applyFont="1" applyBorder="1" applyAlignment="1">
      <alignment horizontal="centerContinuous"/>
      <protection/>
    </xf>
    <xf numFmtId="0" fontId="3" fillId="0" borderId="0" xfId="59" applyNumberFormat="1" applyAlignment="1">
      <alignment horizontal="centerContinuous"/>
      <protection/>
    </xf>
    <xf numFmtId="0" fontId="24" fillId="0" borderId="0" xfId="59" applyFont="1" applyBorder="1" applyAlignment="1">
      <alignment horizontal="centerContinuous"/>
      <protection/>
    </xf>
    <xf numFmtId="0" fontId="23" fillId="0" borderId="0" xfId="59" applyFont="1" applyBorder="1" applyAlignment="1">
      <alignment horizontal="centerContinuous"/>
      <protection/>
    </xf>
    <xf numFmtId="0" fontId="3" fillId="0" borderId="0" xfId="59" applyAlignment="1">
      <alignment horizontal="centerContinuous"/>
      <protection/>
    </xf>
    <xf numFmtId="0" fontId="23" fillId="0" borderId="0" xfId="59" applyFont="1" applyAlignment="1">
      <alignment horizontal="centerContinuous"/>
      <protection/>
    </xf>
    <xf numFmtId="0" fontId="23" fillId="0" borderId="0" xfId="59" applyFont="1" applyAlignment="1">
      <alignment/>
      <protection/>
    </xf>
    <xf numFmtId="0" fontId="23" fillId="0" borderId="14" xfId="59" applyFont="1" applyBorder="1" applyAlignment="1">
      <alignment horizontal="centerContinuous"/>
      <protection/>
    </xf>
    <xf numFmtId="0" fontId="13" fillId="0" borderId="0" xfId="59" applyFont="1" applyBorder="1" applyAlignment="1">
      <alignment horizontal="center"/>
      <protection/>
    </xf>
    <xf numFmtId="0" fontId="95" fillId="0" borderId="0" xfId="59" applyFont="1" applyBorder="1" applyAlignment="1" quotePrefix="1">
      <alignment horizontal="left"/>
      <protection/>
    </xf>
    <xf numFmtId="168" fontId="48" fillId="0" borderId="0" xfId="59" applyNumberFormat="1" applyFont="1" applyBorder="1" applyAlignment="1" applyProtection="1">
      <alignment horizontal="left"/>
      <protection/>
    </xf>
    <xf numFmtId="0" fontId="3" fillId="0" borderId="0" xfId="59" applyBorder="1">
      <alignment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21" fillId="0" borderId="0" xfId="59" applyFont="1">
      <alignment/>
      <protection/>
    </xf>
    <xf numFmtId="0" fontId="21" fillId="0" borderId="13" xfId="59" applyFont="1" applyBorder="1">
      <alignment/>
      <protection/>
    </xf>
    <xf numFmtId="0" fontId="21" fillId="0" borderId="0" xfId="59" applyFont="1" applyBorder="1">
      <alignment/>
      <protection/>
    </xf>
    <xf numFmtId="0" fontId="21" fillId="0" borderId="0" xfId="59" applyFont="1" applyBorder="1" applyAlignment="1">
      <alignment horizontal="right"/>
      <protection/>
    </xf>
    <xf numFmtId="7" fontId="21" fillId="0" borderId="0" xfId="59" applyNumberFormat="1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96" fillId="0" borderId="0" xfId="59" applyFont="1" applyBorder="1" applyAlignment="1" quotePrefix="1">
      <alignment horizontal="left"/>
      <protection/>
    </xf>
    <xf numFmtId="0" fontId="21" fillId="0" borderId="14" xfId="59" applyFont="1" applyFill="1" applyBorder="1">
      <alignment/>
      <protection/>
    </xf>
    <xf numFmtId="0" fontId="21" fillId="0" borderId="0" xfId="59" applyFont="1" applyBorder="1" applyAlignment="1" applyProtection="1">
      <alignment horizontal="left"/>
      <protection/>
    </xf>
    <xf numFmtId="174" fontId="21" fillId="0" borderId="0" xfId="59" applyNumberFormat="1" applyFont="1" applyBorder="1" applyAlignment="1">
      <alignment horizontal="center"/>
      <protection/>
    </xf>
    <xf numFmtId="168" fontId="21" fillId="0" borderId="0" xfId="59" applyNumberFormat="1" applyFont="1" applyBorder="1" applyAlignment="1" applyProtection="1">
      <alignment horizontal="left"/>
      <protection/>
    </xf>
    <xf numFmtId="0" fontId="21" fillId="0" borderId="0" xfId="59" applyFont="1" applyAlignment="1">
      <alignment horizontal="right"/>
      <protection/>
    </xf>
    <xf numFmtId="10" fontId="21" fillId="0" borderId="0" xfId="59" applyNumberFormat="1" applyFont="1" applyBorder="1" applyAlignment="1" applyProtection="1">
      <alignment horizontal="right"/>
      <protection/>
    </xf>
    <xf numFmtId="183" fontId="21" fillId="0" borderId="0" xfId="59" applyNumberFormat="1" applyFont="1" applyBorder="1">
      <alignment/>
      <protection/>
    </xf>
    <xf numFmtId="0" fontId="21" fillId="0" borderId="0" xfId="59" applyFont="1" applyAlignment="1">
      <alignment horizontal="center"/>
      <protection/>
    </xf>
    <xf numFmtId="0" fontId="21" fillId="0" borderId="0" xfId="59" applyFont="1" applyBorder="1" applyAlignment="1" applyProtection="1">
      <alignment horizontal="center"/>
      <protection/>
    </xf>
    <xf numFmtId="1" fontId="21" fillId="0" borderId="0" xfId="59" applyNumberFormat="1" applyFont="1" applyBorder="1" applyAlignment="1">
      <alignment horizontal="center"/>
      <protection/>
    </xf>
    <xf numFmtId="0" fontId="22" fillId="0" borderId="0" xfId="59" applyFont="1" applyBorder="1">
      <alignment/>
      <protection/>
    </xf>
    <xf numFmtId="168" fontId="4" fillId="0" borderId="15" xfId="59" applyNumberFormat="1" applyFont="1" applyBorder="1" applyAlignment="1" applyProtection="1">
      <alignment horizontal="center"/>
      <protection/>
    </xf>
    <xf numFmtId="183" fontId="21" fillId="0" borderId="16" xfId="59" applyNumberFormat="1" applyFont="1" applyBorder="1" applyAlignment="1" applyProtection="1">
      <alignment horizontal="centerContinuous"/>
      <protection/>
    </xf>
    <xf numFmtId="0" fontId="13" fillId="0" borderId="0" xfId="59" applyFont="1" applyBorder="1" applyAlignment="1" applyProtection="1">
      <alignment horizontal="center"/>
      <protection/>
    </xf>
    <xf numFmtId="0" fontId="30" fillId="0" borderId="20" xfId="59" applyFont="1" applyBorder="1" applyAlignment="1">
      <alignment horizontal="center" vertical="center"/>
      <protection/>
    </xf>
    <xf numFmtId="0" fontId="30" fillId="0" borderId="20" xfId="61" applyFont="1" applyBorder="1" applyAlignment="1">
      <alignment horizontal="center" vertical="center"/>
      <protection/>
    </xf>
    <xf numFmtId="164" fontId="30" fillId="0" borderId="16" xfId="59" applyNumberFormat="1" applyFont="1" applyBorder="1" applyAlignment="1" applyProtection="1">
      <alignment horizontal="center" vertical="center" wrapText="1"/>
      <protection/>
    </xf>
    <xf numFmtId="0" fontId="30" fillId="0" borderId="21" xfId="59" applyFont="1" applyBorder="1" applyAlignment="1" applyProtection="1">
      <alignment horizontal="center" vertical="center" wrapText="1"/>
      <protection/>
    </xf>
    <xf numFmtId="168" fontId="30" fillId="0" borderId="20" xfId="59" applyNumberFormat="1" applyFont="1" applyBorder="1" applyAlignment="1" applyProtection="1">
      <alignment horizontal="center" vertical="center"/>
      <protection/>
    </xf>
    <xf numFmtId="168" fontId="60" fillId="37" borderId="20" xfId="59" applyNumberFormat="1" applyFont="1" applyFill="1" applyBorder="1" applyAlignment="1" applyProtection="1">
      <alignment horizontal="center" vertical="center"/>
      <protection/>
    </xf>
    <xf numFmtId="0" fontId="61" fillId="34" borderId="20" xfId="59" applyFont="1" applyFill="1" applyBorder="1" applyAlignment="1" applyProtection="1">
      <alignment horizontal="center" vertical="center"/>
      <protection/>
    </xf>
    <xf numFmtId="0" fontId="30" fillId="0" borderId="20" xfId="59" applyFont="1" applyBorder="1" applyAlignment="1" applyProtection="1">
      <alignment horizontal="center" vertical="center"/>
      <protection/>
    </xf>
    <xf numFmtId="0" fontId="30" fillId="0" borderId="15" xfId="59" applyFont="1" applyBorder="1" applyAlignment="1" applyProtection="1">
      <alignment horizontal="center" vertical="center"/>
      <protection/>
    </xf>
    <xf numFmtId="0" fontId="30" fillId="0" borderId="15" xfId="59" applyFont="1" applyBorder="1" applyAlignment="1" applyProtection="1">
      <alignment horizontal="center" vertical="center" wrapText="1"/>
      <protection/>
    </xf>
    <xf numFmtId="0" fontId="30" fillId="0" borderId="20" xfId="59" applyFont="1" applyBorder="1" applyAlignment="1" applyProtection="1">
      <alignment horizontal="center" vertical="center" wrapText="1"/>
      <protection/>
    </xf>
    <xf numFmtId="0" fontId="61" fillId="42" borderId="20" xfId="59" applyFont="1" applyFill="1" applyBorder="1" applyAlignment="1">
      <alignment horizontal="center" vertical="center" wrapText="1"/>
      <protection/>
    </xf>
    <xf numFmtId="0" fontId="89" fillId="49" borderId="20" xfId="59" applyFont="1" applyFill="1" applyBorder="1" applyAlignment="1">
      <alignment horizontal="center" vertical="center" wrapText="1"/>
      <protection/>
    </xf>
    <xf numFmtId="0" fontId="97" fillId="35" borderId="15" xfId="59" applyFont="1" applyFill="1" applyBorder="1" applyAlignment="1" applyProtection="1">
      <alignment horizontal="centerContinuous" vertical="center" wrapText="1"/>
      <protection/>
    </xf>
    <xf numFmtId="0" fontId="98" fillId="35" borderId="21" xfId="59" applyFont="1" applyFill="1" applyBorder="1" applyAlignment="1">
      <alignment horizontal="centerContinuous"/>
      <protection/>
    </xf>
    <xf numFmtId="0" fontId="97" fillId="35" borderId="16" xfId="59" applyFont="1" applyFill="1" applyBorder="1" applyAlignment="1">
      <alignment horizontal="centerContinuous" vertical="center"/>
      <protection/>
    </xf>
    <xf numFmtId="0" fontId="61" fillId="50" borderId="15" xfId="59" applyFont="1" applyFill="1" applyBorder="1" applyAlignment="1">
      <alignment horizontal="centerContinuous" vertical="center" wrapText="1"/>
      <protection/>
    </xf>
    <xf numFmtId="0" fontId="99" fillId="50" borderId="21" xfId="59" applyFont="1" applyFill="1" applyBorder="1" applyAlignment="1">
      <alignment horizontal="centerContinuous"/>
      <protection/>
    </xf>
    <xf numFmtId="0" fontId="61" fillId="50" borderId="16" xfId="59" applyFont="1" applyFill="1" applyBorder="1" applyAlignment="1">
      <alignment horizontal="centerContinuous" vertical="center"/>
      <protection/>
    </xf>
    <xf numFmtId="0" fontId="61" fillId="39" borderId="20" xfId="59" applyFont="1" applyFill="1" applyBorder="1" applyAlignment="1">
      <alignment horizontal="centerContinuous" vertical="center" wrapText="1"/>
      <protection/>
    </xf>
    <xf numFmtId="0" fontId="61" fillId="51" borderId="20" xfId="59" applyFont="1" applyFill="1" applyBorder="1" applyAlignment="1">
      <alignment horizontal="centerContinuous" vertical="center" wrapText="1"/>
      <protection/>
    </xf>
    <xf numFmtId="0" fontId="30" fillId="0" borderId="16" xfId="59" applyFont="1" applyBorder="1" applyAlignment="1">
      <alignment horizontal="center" vertical="center" wrapText="1"/>
      <protection/>
    </xf>
    <xf numFmtId="0" fontId="30" fillId="0" borderId="20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/>
      <protection/>
    </xf>
    <xf numFmtId="0" fontId="13" fillId="0" borderId="27" xfId="59" applyFont="1" applyBorder="1" applyAlignment="1">
      <alignment horizontal="center"/>
      <protection/>
    </xf>
    <xf numFmtId="0" fontId="21" fillId="0" borderId="27" xfId="59" applyFont="1" applyBorder="1">
      <alignment/>
      <protection/>
    </xf>
    <xf numFmtId="164" fontId="21" fillId="0" borderId="28" xfId="59" applyNumberFormat="1" applyFont="1" applyBorder="1" applyProtection="1">
      <alignment/>
      <protection/>
    </xf>
    <xf numFmtId="164" fontId="21" fillId="0" borderId="27" xfId="59" applyNumberFormat="1" applyFont="1" applyBorder="1" applyAlignment="1" applyProtection="1">
      <alignment horizontal="center"/>
      <protection/>
    </xf>
    <xf numFmtId="164" fontId="21" fillId="0" borderId="22" xfId="59" applyNumberFormat="1" applyFont="1" applyBorder="1" applyAlignment="1" applyProtection="1">
      <alignment horizontal="center"/>
      <protection/>
    </xf>
    <xf numFmtId="164" fontId="100" fillId="37" borderId="22" xfId="59" applyNumberFormat="1" applyFont="1" applyFill="1" applyBorder="1" applyAlignment="1" applyProtection="1">
      <alignment horizontal="center"/>
      <protection/>
    </xf>
    <xf numFmtId="0" fontId="101" fillId="34" borderId="22" xfId="59" applyFont="1" applyFill="1" applyBorder="1" applyAlignment="1">
      <alignment horizontal="center"/>
      <protection/>
    </xf>
    <xf numFmtId="0" fontId="21" fillId="0" borderId="22" xfId="59" applyFont="1" applyBorder="1" applyAlignment="1">
      <alignment horizontal="center"/>
      <protection/>
    </xf>
    <xf numFmtId="0" fontId="21" fillId="0" borderId="66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22" xfId="59" applyFont="1" applyBorder="1" applyAlignment="1">
      <alignment horizontal="center"/>
      <protection/>
    </xf>
    <xf numFmtId="0" fontId="63" fillId="42" borderId="22" xfId="59" applyFont="1" applyFill="1" applyBorder="1" applyAlignment="1">
      <alignment horizontal="center"/>
      <protection/>
    </xf>
    <xf numFmtId="0" fontId="90" fillId="49" borderId="22" xfId="59" applyFont="1" applyFill="1" applyBorder="1" applyAlignment="1">
      <alignment horizontal="center"/>
      <protection/>
    </xf>
    <xf numFmtId="168" fontId="102" fillId="35" borderId="23" xfId="59" applyNumberFormat="1" applyFont="1" applyFill="1" applyBorder="1" applyAlignment="1" applyProtection="1" quotePrefix="1">
      <alignment horizontal="center"/>
      <protection/>
    </xf>
    <xf numFmtId="168" fontId="102" fillId="35" borderId="24" xfId="59" applyNumberFormat="1" applyFont="1" applyFill="1" applyBorder="1" applyAlignment="1" applyProtection="1" quotePrefix="1">
      <alignment horizontal="center"/>
      <protection/>
    </xf>
    <xf numFmtId="4" fontId="102" fillId="35" borderId="25" xfId="59" applyNumberFormat="1" applyFont="1" applyFill="1" applyBorder="1" applyAlignment="1" applyProtection="1">
      <alignment horizontal="center"/>
      <protection/>
    </xf>
    <xf numFmtId="168" fontId="63" fillId="50" borderId="23" xfId="59" applyNumberFormat="1" applyFont="1" applyFill="1" applyBorder="1" applyAlignment="1" applyProtection="1" quotePrefix="1">
      <alignment horizontal="center"/>
      <protection/>
    </xf>
    <xf numFmtId="168" fontId="63" fillId="50" borderId="24" xfId="59" applyNumberFormat="1" applyFont="1" applyFill="1" applyBorder="1" applyAlignment="1" applyProtection="1" quotePrefix="1">
      <alignment horizontal="center"/>
      <protection/>
    </xf>
    <xf numFmtId="4" fontId="63" fillId="50" borderId="25" xfId="59" applyNumberFormat="1" applyFont="1" applyFill="1" applyBorder="1" applyAlignment="1" applyProtection="1">
      <alignment horizontal="center"/>
      <protection/>
    </xf>
    <xf numFmtId="4" fontId="63" fillId="39" borderId="22" xfId="59" applyNumberFormat="1" applyFont="1" applyFill="1" applyBorder="1" applyAlignment="1" applyProtection="1">
      <alignment horizontal="center"/>
      <protection/>
    </xf>
    <xf numFmtId="4" fontId="63" fillId="51" borderId="22" xfId="59" applyNumberFormat="1" applyFont="1" applyFill="1" applyBorder="1" applyAlignment="1" applyProtection="1">
      <alignment horizontal="center"/>
      <protection/>
    </xf>
    <xf numFmtId="0" fontId="13" fillId="0" borderId="67" xfId="59" applyFont="1" applyBorder="1" applyAlignment="1">
      <alignment horizontal="left"/>
      <protection/>
    </xf>
    <xf numFmtId="0" fontId="48" fillId="0" borderId="67" xfId="59" applyFont="1" applyBorder="1" applyAlignment="1">
      <alignment horizontal="center"/>
      <protection/>
    </xf>
    <xf numFmtId="0" fontId="13" fillId="0" borderId="27" xfId="57" applyFont="1" applyBorder="1" applyAlignment="1" applyProtection="1">
      <alignment horizontal="center"/>
      <protection locked="0"/>
    </xf>
    <xf numFmtId="164" fontId="13" fillId="0" borderId="27" xfId="59" applyNumberFormat="1" applyFont="1" applyBorder="1" applyAlignment="1" applyProtection="1">
      <alignment horizontal="center"/>
      <protection/>
    </xf>
    <xf numFmtId="0" fontId="100" fillId="37" borderId="27" xfId="59" applyFont="1" applyFill="1" applyBorder="1" applyAlignment="1" applyProtection="1">
      <alignment horizontal="center"/>
      <protection/>
    </xf>
    <xf numFmtId="168" fontId="101" fillId="34" borderId="27" xfId="59" applyNumberFormat="1" applyFont="1" applyFill="1" applyBorder="1" applyAlignment="1" applyProtection="1">
      <alignment horizontal="center"/>
      <protection/>
    </xf>
    <xf numFmtId="22" fontId="13" fillId="0" borderId="29" xfId="59" applyNumberFormat="1" applyFont="1" applyBorder="1" applyAlignment="1" applyProtection="1">
      <alignment horizontal="center"/>
      <protection locked="0"/>
    </xf>
    <xf numFmtId="22" fontId="13" fillId="0" borderId="32" xfId="59" applyNumberFormat="1" applyFont="1" applyBorder="1" applyAlignment="1" applyProtection="1">
      <alignment horizontal="center"/>
      <protection locked="0"/>
    </xf>
    <xf numFmtId="4" fontId="13" fillId="0" borderId="26" xfId="59" applyNumberFormat="1" applyFont="1" applyFill="1" applyBorder="1" applyAlignment="1" applyProtection="1" quotePrefix="1">
      <alignment horizontal="center"/>
      <protection/>
    </xf>
    <xf numFmtId="164" fontId="13" fillId="0" borderId="26" xfId="59" applyNumberFormat="1" applyFont="1" applyFill="1" applyBorder="1" applyAlignment="1" applyProtection="1" quotePrefix="1">
      <alignment horizontal="center"/>
      <protection/>
    </xf>
    <xf numFmtId="168" fontId="13" fillId="0" borderId="26" xfId="59" applyNumberFormat="1" applyFont="1" applyBorder="1" applyAlignment="1" applyProtection="1">
      <alignment horizontal="center"/>
      <protection/>
    </xf>
    <xf numFmtId="173" fontId="13" fillId="0" borderId="26" xfId="59" applyNumberFormat="1" applyFont="1" applyBorder="1" applyAlignment="1" applyProtection="1" quotePrefix="1">
      <alignment horizontal="center"/>
      <protection/>
    </xf>
    <xf numFmtId="2" fontId="63" fillId="42" borderId="26" xfId="59" applyNumberFormat="1" applyFont="1" applyFill="1" applyBorder="1" applyAlignment="1" applyProtection="1">
      <alignment horizontal="center"/>
      <protection/>
    </xf>
    <xf numFmtId="2" fontId="90" fillId="49" borderId="26" xfId="59" applyNumberFormat="1" applyFont="1" applyFill="1" applyBorder="1" applyAlignment="1" applyProtection="1">
      <alignment horizontal="center"/>
      <protection/>
    </xf>
    <xf numFmtId="168" fontId="102" fillId="35" borderId="46" xfId="59" applyNumberFormat="1" applyFont="1" applyFill="1" applyBorder="1" applyAlignment="1" applyProtection="1" quotePrefix="1">
      <alignment horizontal="center"/>
      <protection/>
    </xf>
    <xf numFmtId="168" fontId="102" fillId="35" borderId="57" xfId="59" applyNumberFormat="1" applyFont="1" applyFill="1" applyBorder="1" applyAlignment="1" applyProtection="1" quotePrefix="1">
      <alignment horizontal="center"/>
      <protection/>
    </xf>
    <xf numFmtId="4" fontId="102" fillId="35" borderId="47" xfId="59" applyNumberFormat="1" applyFont="1" applyFill="1" applyBorder="1" applyAlignment="1" applyProtection="1">
      <alignment horizontal="center"/>
      <protection/>
    </xf>
    <xf numFmtId="168" fontId="63" fillId="50" borderId="46" xfId="59" applyNumberFormat="1" applyFont="1" applyFill="1" applyBorder="1" applyAlignment="1" applyProtection="1" quotePrefix="1">
      <alignment horizontal="center"/>
      <protection/>
    </xf>
    <xf numFmtId="168" fontId="63" fillId="50" borderId="57" xfId="59" applyNumberFormat="1" applyFont="1" applyFill="1" applyBorder="1" applyAlignment="1" applyProtection="1" quotePrefix="1">
      <alignment horizontal="center"/>
      <protection/>
    </xf>
    <xf numFmtId="4" fontId="63" fillId="50" borderId="47" xfId="59" applyNumberFormat="1" applyFont="1" applyFill="1" applyBorder="1" applyAlignment="1" applyProtection="1">
      <alignment horizontal="center"/>
      <protection/>
    </xf>
    <xf numFmtId="4" fontId="63" fillId="39" borderId="26" xfId="59" applyNumberFormat="1" applyFont="1" applyFill="1" applyBorder="1" applyAlignment="1" applyProtection="1">
      <alignment horizontal="center"/>
      <protection/>
    </xf>
    <xf numFmtId="4" fontId="63" fillId="51" borderId="26" xfId="59" applyNumberFormat="1" applyFont="1" applyFill="1" applyBorder="1" applyAlignment="1" applyProtection="1">
      <alignment horizontal="center"/>
      <protection/>
    </xf>
    <xf numFmtId="4" fontId="13" fillId="0" borderId="26" xfId="59" applyNumberFormat="1" applyFont="1" applyBorder="1" applyAlignment="1" applyProtection="1">
      <alignment horizontal="center"/>
      <protection/>
    </xf>
    <xf numFmtId="4" fontId="48" fillId="0" borderId="28" xfId="59" applyNumberFormat="1" applyFont="1" applyFill="1" applyBorder="1" applyAlignment="1">
      <alignment horizontal="right"/>
      <protection/>
    </xf>
    <xf numFmtId="22" fontId="13" fillId="0" borderId="27" xfId="59" applyNumberFormat="1" applyFont="1" applyBorder="1" applyAlignment="1">
      <alignment horizontal="center"/>
      <protection/>
    </xf>
    <xf numFmtId="22" fontId="13" fillId="0" borderId="31" xfId="59" applyNumberFormat="1" applyFont="1" applyBorder="1" applyAlignment="1">
      <alignment horizontal="center"/>
      <protection/>
    </xf>
    <xf numFmtId="4" fontId="13" fillId="0" borderId="27" xfId="59" applyNumberFormat="1" applyFont="1" applyFill="1" applyBorder="1" applyAlignment="1" applyProtection="1" quotePrefix="1">
      <alignment horizontal="center"/>
      <protection/>
    </xf>
    <xf numFmtId="164" fontId="13" fillId="0" borderId="27" xfId="59" applyNumberFormat="1" applyFont="1" applyFill="1" applyBorder="1" applyAlignment="1" applyProtection="1" quotePrefix="1">
      <alignment horizontal="center"/>
      <protection/>
    </xf>
    <xf numFmtId="168" fontId="13" fillId="0" borderId="27" xfId="59" applyNumberFormat="1" applyFont="1" applyBorder="1" applyAlignment="1" applyProtection="1">
      <alignment horizontal="center"/>
      <protection/>
    </xf>
    <xf numFmtId="173" fontId="13" fillId="0" borderId="27" xfId="59" applyNumberFormat="1" applyFont="1" applyBorder="1" applyAlignment="1" applyProtection="1" quotePrefix="1">
      <alignment horizontal="center"/>
      <protection/>
    </xf>
    <xf numFmtId="2" fontId="63" fillId="42" borderId="27" xfId="59" applyNumberFormat="1" applyFont="1" applyFill="1" applyBorder="1" applyAlignment="1" applyProtection="1">
      <alignment horizontal="center"/>
      <protection/>
    </xf>
    <xf numFmtId="2" fontId="90" fillId="49" borderId="27" xfId="59" applyNumberFormat="1" applyFont="1" applyFill="1" applyBorder="1" applyAlignment="1" applyProtection="1">
      <alignment horizontal="center"/>
      <protection/>
    </xf>
    <xf numFmtId="168" fontId="102" fillId="35" borderId="29" xfId="59" applyNumberFormat="1" applyFont="1" applyFill="1" applyBorder="1" applyAlignment="1" applyProtection="1" quotePrefix="1">
      <alignment horizontal="center"/>
      <protection/>
    </xf>
    <xf numFmtId="168" fontId="102" fillId="35" borderId="58" xfId="59" applyNumberFormat="1" applyFont="1" applyFill="1" applyBorder="1" applyAlignment="1" applyProtection="1" quotePrefix="1">
      <alignment horizontal="center"/>
      <protection/>
    </xf>
    <xf numFmtId="4" fontId="102" fillId="35" borderId="54" xfId="59" applyNumberFormat="1" applyFont="1" applyFill="1" applyBorder="1" applyAlignment="1" applyProtection="1">
      <alignment horizontal="center"/>
      <protection/>
    </xf>
    <xf numFmtId="168" fontId="63" fillId="50" borderId="29" xfId="59" applyNumberFormat="1" applyFont="1" applyFill="1" applyBorder="1" applyAlignment="1" applyProtection="1" quotePrefix="1">
      <alignment horizontal="center"/>
      <protection/>
    </xf>
    <xf numFmtId="168" fontId="63" fillId="50" borderId="58" xfId="59" applyNumberFormat="1" applyFont="1" applyFill="1" applyBorder="1" applyAlignment="1" applyProtection="1" quotePrefix="1">
      <alignment horizontal="center"/>
      <protection/>
    </xf>
    <xf numFmtId="4" fontId="63" fillId="50" borderId="54" xfId="59" applyNumberFormat="1" applyFont="1" applyFill="1" applyBorder="1" applyAlignment="1" applyProtection="1">
      <alignment horizontal="center"/>
      <protection/>
    </xf>
    <xf numFmtId="4" fontId="63" fillId="39" borderId="27" xfId="59" applyNumberFormat="1" applyFont="1" applyFill="1" applyBorder="1" applyAlignment="1" applyProtection="1">
      <alignment horizontal="center"/>
      <protection/>
    </xf>
    <xf numFmtId="4" fontId="63" fillId="51" borderId="27" xfId="59" applyNumberFormat="1" applyFont="1" applyFill="1" applyBorder="1" applyAlignment="1" applyProtection="1">
      <alignment horizontal="center"/>
      <protection/>
    </xf>
    <xf numFmtId="4" fontId="13" fillId="0" borderId="27" xfId="59" applyNumberFormat="1" applyFont="1" applyBorder="1" applyAlignment="1" applyProtection="1">
      <alignment horizontal="center"/>
      <protection/>
    </xf>
    <xf numFmtId="0" fontId="13" fillId="0" borderId="34" xfId="59" applyFont="1" applyFill="1" applyBorder="1" applyAlignment="1">
      <alignment horizontal="center"/>
      <protection/>
    </xf>
    <xf numFmtId="0" fontId="21" fillId="0" borderId="34" xfId="59" applyFont="1" applyBorder="1" applyAlignment="1">
      <alignment horizontal="center"/>
      <protection/>
    </xf>
    <xf numFmtId="164" fontId="103" fillId="0" borderId="34" xfId="59" applyNumberFormat="1" applyFont="1" applyBorder="1" applyAlignment="1" applyProtection="1">
      <alignment horizontal="center"/>
      <protection/>
    </xf>
    <xf numFmtId="0" fontId="21" fillId="0" borderId="34" xfId="59" applyFont="1" applyBorder="1" applyAlignment="1" applyProtection="1">
      <alignment horizontal="center"/>
      <protection/>
    </xf>
    <xf numFmtId="165" fontId="21" fillId="0" borderId="34" xfId="59" applyNumberFormat="1" applyFont="1" applyBorder="1" applyAlignment="1" applyProtection="1">
      <alignment horizontal="center"/>
      <protection/>
    </xf>
    <xf numFmtId="165" fontId="100" fillId="37" borderId="34" xfId="59" applyNumberFormat="1" applyFont="1" applyFill="1" applyBorder="1" applyAlignment="1" applyProtection="1">
      <alignment horizontal="center"/>
      <protection/>
    </xf>
    <xf numFmtId="168" fontId="101" fillId="34" borderId="34" xfId="59" applyNumberFormat="1" applyFont="1" applyFill="1" applyBorder="1" applyAlignment="1" applyProtection="1">
      <alignment horizontal="center"/>
      <protection/>
    </xf>
    <xf numFmtId="168" fontId="21" fillId="0" borderId="34" xfId="59" applyNumberFormat="1" applyFont="1" applyBorder="1" applyAlignment="1" applyProtection="1">
      <alignment horizontal="center"/>
      <protection/>
    </xf>
    <xf numFmtId="168" fontId="13" fillId="0" borderId="34" xfId="59" applyNumberFormat="1" applyFont="1" applyBorder="1" applyAlignment="1" applyProtection="1">
      <alignment horizontal="center"/>
      <protection/>
    </xf>
    <xf numFmtId="173" fontId="13" fillId="0" borderId="34" xfId="59" applyNumberFormat="1" applyFont="1" applyBorder="1" applyAlignment="1" applyProtection="1" quotePrefix="1">
      <alignment horizontal="center"/>
      <protection/>
    </xf>
    <xf numFmtId="2" fontId="63" fillId="42" borderId="34" xfId="59" applyNumberFormat="1" applyFont="1" applyFill="1" applyBorder="1" applyAlignment="1" applyProtection="1">
      <alignment horizontal="center"/>
      <protection/>
    </xf>
    <xf numFmtId="2" fontId="90" fillId="49" borderId="34" xfId="59" applyNumberFormat="1" applyFont="1" applyFill="1" applyBorder="1" applyAlignment="1" applyProtection="1">
      <alignment horizontal="center"/>
      <protection/>
    </xf>
    <xf numFmtId="168" fontId="102" fillId="35" borderId="35" xfId="59" applyNumberFormat="1" applyFont="1" applyFill="1" applyBorder="1" applyAlignment="1" applyProtection="1" quotePrefix="1">
      <alignment horizontal="center"/>
      <protection/>
    </xf>
    <xf numFmtId="168" fontId="102" fillId="35" borderId="36" xfId="59" applyNumberFormat="1" applyFont="1" applyFill="1" applyBorder="1" applyAlignment="1" applyProtection="1" quotePrefix="1">
      <alignment horizontal="center"/>
      <protection/>
    </xf>
    <xf numFmtId="4" fontId="102" fillId="35" borderId="37" xfId="59" applyNumberFormat="1" applyFont="1" applyFill="1" applyBorder="1" applyAlignment="1" applyProtection="1">
      <alignment horizontal="center"/>
      <protection/>
    </xf>
    <xf numFmtId="168" fontId="63" fillId="50" borderId="35" xfId="59" applyNumberFormat="1" applyFont="1" applyFill="1" applyBorder="1" applyAlignment="1" applyProtection="1" quotePrefix="1">
      <alignment horizontal="center"/>
      <protection/>
    </xf>
    <xf numFmtId="168" fontId="63" fillId="50" borderId="36" xfId="59" applyNumberFormat="1" applyFont="1" applyFill="1" applyBorder="1" applyAlignment="1" applyProtection="1" quotePrefix="1">
      <alignment horizontal="center"/>
      <protection/>
    </xf>
    <xf numFmtId="4" fontId="63" fillId="50" borderId="37" xfId="59" applyNumberFormat="1" applyFont="1" applyFill="1" applyBorder="1" applyAlignment="1" applyProtection="1">
      <alignment horizontal="center"/>
      <protection/>
    </xf>
    <xf numFmtId="4" fontId="63" fillId="39" borderId="34" xfId="59" applyNumberFormat="1" applyFont="1" applyFill="1" applyBorder="1" applyAlignment="1" applyProtection="1">
      <alignment horizontal="center"/>
      <protection/>
    </xf>
    <xf numFmtId="4" fontId="63" fillId="51" borderId="34" xfId="59" applyNumberFormat="1" applyFont="1" applyFill="1" applyBorder="1" applyAlignment="1" applyProtection="1">
      <alignment horizontal="center"/>
      <protection/>
    </xf>
    <xf numFmtId="4" fontId="49" fillId="0" borderId="34" xfId="59" applyNumberFormat="1" applyFont="1" applyBorder="1" applyAlignment="1" applyProtection="1">
      <alignment horizontal="center"/>
      <protection/>
    </xf>
    <xf numFmtId="168" fontId="64" fillId="0" borderId="34" xfId="59" applyNumberFormat="1" applyFont="1" applyFill="1" applyBorder="1" applyAlignment="1">
      <alignment horizontal="center"/>
      <protection/>
    </xf>
    <xf numFmtId="4" fontId="13" fillId="0" borderId="14" xfId="59" applyNumberFormat="1" applyFont="1" applyFill="1" applyBorder="1" applyAlignment="1">
      <alignment horizontal="center"/>
      <protection/>
    </xf>
    <xf numFmtId="164" fontId="103" fillId="0" borderId="0" xfId="59" applyNumberFormat="1" applyFont="1" applyBorder="1" applyAlignment="1" applyProtection="1">
      <alignment horizontal="center"/>
      <protection/>
    </xf>
    <xf numFmtId="165" fontId="21" fillId="0" borderId="0" xfId="59" applyNumberFormat="1" applyFont="1" applyBorder="1" applyAlignment="1" applyProtection="1">
      <alignment horizontal="center"/>
      <protection/>
    </xf>
    <xf numFmtId="168" fontId="21" fillId="0" borderId="0" xfId="59" applyNumberFormat="1" applyFont="1" applyBorder="1" applyAlignment="1" applyProtection="1">
      <alignment horizontal="center"/>
      <protection/>
    </xf>
    <xf numFmtId="173" fontId="21" fillId="0" borderId="0" xfId="59" applyNumberFormat="1" applyFont="1" applyBorder="1" applyAlignment="1" applyProtection="1" quotePrefix="1">
      <alignment horizontal="center"/>
      <protection/>
    </xf>
    <xf numFmtId="2" fontId="101" fillId="42" borderId="20" xfId="59" applyNumberFormat="1" applyFont="1" applyFill="1" applyBorder="1" applyAlignment="1" applyProtection="1">
      <alignment horizontal="center"/>
      <protection/>
    </xf>
    <xf numFmtId="2" fontId="75" fillId="49" borderId="20" xfId="59" applyNumberFormat="1" applyFont="1" applyFill="1" applyBorder="1" applyAlignment="1" applyProtection="1">
      <alignment horizontal="center"/>
      <protection/>
    </xf>
    <xf numFmtId="2" fontId="104" fillId="35" borderId="20" xfId="59" applyNumberFormat="1" applyFont="1" applyFill="1" applyBorder="1" applyAlignment="1" applyProtection="1">
      <alignment horizontal="center"/>
      <protection/>
    </xf>
    <xf numFmtId="2" fontId="101" fillId="50" borderId="20" xfId="59" applyNumberFormat="1" applyFont="1" applyFill="1" applyBorder="1" applyAlignment="1" applyProtection="1">
      <alignment horizontal="center"/>
      <protection/>
    </xf>
    <xf numFmtId="2" fontId="101" fillId="39" borderId="20" xfId="59" applyNumberFormat="1" applyFont="1" applyFill="1" applyBorder="1" applyAlignment="1" applyProtection="1">
      <alignment horizontal="center"/>
      <protection/>
    </xf>
    <xf numFmtId="2" fontId="101" fillId="51" borderId="20" xfId="59" applyNumberFormat="1" applyFont="1" applyFill="1" applyBorder="1" applyAlignment="1" applyProtection="1">
      <alignment horizontal="center"/>
      <protection/>
    </xf>
    <xf numFmtId="2" fontId="21" fillId="0" borderId="42" xfId="59" applyNumberFormat="1" applyFont="1" applyBorder="1" applyAlignment="1" applyProtection="1">
      <alignment horizontal="center"/>
      <protection/>
    </xf>
    <xf numFmtId="7" fontId="48" fillId="0" borderId="20" xfId="59" applyNumberFormat="1" applyFont="1" applyBorder="1" applyAlignment="1" applyProtection="1">
      <alignment horizontal="right"/>
      <protection/>
    </xf>
    <xf numFmtId="2" fontId="101" fillId="0" borderId="21" xfId="59" applyNumberFormat="1" applyFont="1" applyFill="1" applyBorder="1" applyAlignment="1" applyProtection="1">
      <alignment horizontal="center"/>
      <protection/>
    </xf>
    <xf numFmtId="2" fontId="75" fillId="0" borderId="21" xfId="59" applyNumberFormat="1" applyFont="1" applyFill="1" applyBorder="1" applyAlignment="1" applyProtection="1">
      <alignment horizontal="center"/>
      <protection/>
    </xf>
    <xf numFmtId="2" fontId="104" fillId="0" borderId="21" xfId="59" applyNumberFormat="1" applyFont="1" applyFill="1" applyBorder="1" applyAlignment="1" applyProtection="1">
      <alignment horizontal="center"/>
      <protection/>
    </xf>
    <xf numFmtId="2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Border="1" applyAlignment="1" applyProtection="1">
      <alignment horizontal="center"/>
      <protection/>
    </xf>
    <xf numFmtId="0" fontId="13" fillId="0" borderId="13" xfId="59" applyFont="1" applyFill="1" applyBorder="1">
      <alignment/>
      <protection/>
    </xf>
    <xf numFmtId="0" fontId="30" fillId="0" borderId="20" xfId="59" applyFont="1" applyFill="1" applyBorder="1" applyAlignment="1">
      <alignment horizontal="center" vertical="center"/>
      <protection/>
    </xf>
    <xf numFmtId="0" fontId="30" fillId="0" borderId="20" xfId="59" applyFont="1" applyFill="1" applyBorder="1" applyAlignment="1" applyProtection="1">
      <alignment horizontal="center" vertical="center" wrapText="1"/>
      <protection/>
    </xf>
    <xf numFmtId="0" fontId="30" fillId="0" borderId="20" xfId="59" applyFont="1" applyFill="1" applyBorder="1" applyAlignment="1" applyProtection="1">
      <alignment horizontal="center" vertical="center"/>
      <protection/>
    </xf>
    <xf numFmtId="0" fontId="30" fillId="0" borderId="20" xfId="59" applyFont="1" applyFill="1" applyBorder="1" applyAlignment="1" applyProtection="1" quotePrefix="1">
      <alignment horizontal="center" vertical="center" wrapText="1"/>
      <protection/>
    </xf>
    <xf numFmtId="0" fontId="60" fillId="37" borderId="20" xfId="59" applyFont="1" applyFill="1" applyBorder="1" applyAlignment="1" applyProtection="1">
      <alignment horizontal="center" vertical="center"/>
      <protection/>
    </xf>
    <xf numFmtId="0" fontId="60" fillId="52" borderId="20" xfId="59" applyFont="1" applyFill="1" applyBorder="1" applyAlignment="1" applyProtection="1">
      <alignment horizontal="center" vertical="center"/>
      <protection/>
    </xf>
    <xf numFmtId="0" fontId="30" fillId="0" borderId="15" xfId="59" applyFont="1" applyFill="1" applyBorder="1" applyAlignment="1" applyProtection="1">
      <alignment horizontal="centerContinuous" vertical="center"/>
      <protection/>
    </xf>
    <xf numFmtId="0" fontId="30" fillId="0" borderId="21" xfId="59" applyFont="1" applyFill="1" applyBorder="1" applyAlignment="1" applyProtection="1">
      <alignment horizontal="centerContinuous" vertical="center"/>
      <protection/>
    </xf>
    <xf numFmtId="0" fontId="61" fillId="53" borderId="20" xfId="59" applyFont="1" applyFill="1" applyBorder="1" applyAlignment="1">
      <alignment horizontal="center" vertical="center" wrapText="1"/>
      <protection/>
    </xf>
    <xf numFmtId="0" fontId="61" fillId="48" borderId="15" xfId="59" applyFont="1" applyFill="1" applyBorder="1" applyAlignment="1" applyProtection="1">
      <alignment horizontal="centerContinuous" vertical="center" wrapText="1"/>
      <protection/>
    </xf>
    <xf numFmtId="0" fontId="61" fillId="48" borderId="16" xfId="59" applyFont="1" applyFill="1" applyBorder="1" applyAlignment="1">
      <alignment horizontal="centerContinuous" vertical="center"/>
      <protection/>
    </xf>
    <xf numFmtId="0" fontId="61" fillId="35" borderId="20" xfId="59" applyFont="1" applyFill="1" applyBorder="1" applyAlignment="1">
      <alignment horizontal="centerContinuous" vertical="center" wrapText="1"/>
      <protection/>
    </xf>
    <xf numFmtId="0" fontId="61" fillId="52" borderId="68" xfId="59" applyFont="1" applyFill="1" applyBorder="1" applyAlignment="1">
      <alignment vertical="center" wrapText="1"/>
      <protection/>
    </xf>
    <xf numFmtId="0" fontId="61" fillId="52" borderId="39" xfId="59" applyFont="1" applyFill="1" applyBorder="1" applyAlignment="1">
      <alignment vertical="center" wrapText="1"/>
      <protection/>
    </xf>
    <xf numFmtId="0" fontId="61" fillId="52" borderId="42" xfId="59" applyFont="1" applyFill="1" applyBorder="1" applyAlignment="1">
      <alignment vertical="center" wrapText="1"/>
      <protection/>
    </xf>
    <xf numFmtId="0" fontId="30" fillId="0" borderId="20" xfId="59" applyFont="1" applyBorder="1" applyAlignment="1">
      <alignment horizontal="center" vertical="center" wrapText="1"/>
      <protection/>
    </xf>
    <xf numFmtId="0" fontId="13" fillId="0" borderId="27" xfId="59" applyFont="1" applyFill="1" applyBorder="1" applyAlignment="1">
      <alignment horizontal="center"/>
      <protection/>
    </xf>
    <xf numFmtId="164" fontId="13" fillId="0" borderId="27" xfId="59" applyNumberFormat="1" applyFont="1" applyFill="1" applyBorder="1" applyAlignment="1" applyProtection="1">
      <alignment horizontal="center"/>
      <protection/>
    </xf>
    <xf numFmtId="0" fontId="105" fillId="37" borderId="27" xfId="59" applyFont="1" applyFill="1" applyBorder="1" applyAlignment="1">
      <alignment horizontal="center"/>
      <protection/>
    </xf>
    <xf numFmtId="0" fontId="105" fillId="52" borderId="27" xfId="59" applyFont="1" applyFill="1" applyBorder="1" applyAlignment="1">
      <alignment horizontal="center"/>
      <protection/>
    </xf>
    <xf numFmtId="0" fontId="13" fillId="0" borderId="28" xfId="59" applyFont="1" applyFill="1" applyBorder="1" applyAlignment="1">
      <alignment horizontal="center"/>
      <protection/>
    </xf>
    <xf numFmtId="0" fontId="13" fillId="0" borderId="32" xfId="59" applyFont="1" applyFill="1" applyBorder="1" applyAlignment="1">
      <alignment horizontal="centerContinuous"/>
      <protection/>
    </xf>
    <xf numFmtId="0" fontId="13" fillId="0" borderId="28" xfId="59" applyFont="1" applyFill="1" applyBorder="1" applyAlignment="1">
      <alignment horizontal="centerContinuous"/>
      <protection/>
    </xf>
    <xf numFmtId="0" fontId="62" fillId="37" borderId="22" xfId="59" applyFont="1" applyFill="1" applyBorder="1" applyAlignment="1">
      <alignment horizontal="center"/>
      <protection/>
    </xf>
    <xf numFmtId="0" fontId="29" fillId="53" borderId="22" xfId="59" applyFont="1" applyFill="1" applyBorder="1" applyAlignment="1">
      <alignment horizontal="center"/>
      <protection/>
    </xf>
    <xf numFmtId="0" fontId="29" fillId="48" borderId="23" xfId="59" applyFont="1" applyFill="1" applyBorder="1" applyAlignment="1">
      <alignment horizontal="center"/>
      <protection/>
    </xf>
    <xf numFmtId="0" fontId="29" fillId="48" borderId="25" xfId="59" applyFont="1" applyFill="1" applyBorder="1" applyAlignment="1">
      <alignment horizontal="left"/>
      <protection/>
    </xf>
    <xf numFmtId="0" fontId="29" fillId="35" borderId="22" xfId="59" applyFont="1" applyFill="1" applyBorder="1" applyAlignment="1">
      <alignment horizontal="left"/>
      <protection/>
    </xf>
    <xf numFmtId="0" fontId="29" fillId="52" borderId="60" xfId="59" applyFont="1" applyFill="1" applyBorder="1" applyAlignment="1">
      <alignment horizontal="left"/>
      <protection/>
    </xf>
    <xf numFmtId="0" fontId="29" fillId="52" borderId="0" xfId="59" applyFont="1" applyFill="1" applyBorder="1" applyAlignment="1">
      <alignment horizontal="left"/>
      <protection/>
    </xf>
    <xf numFmtId="0" fontId="29" fillId="52" borderId="55" xfId="59" applyFont="1" applyFill="1" applyBorder="1" applyAlignment="1">
      <alignment horizontal="left"/>
      <protection/>
    </xf>
    <xf numFmtId="0" fontId="48" fillId="0" borderId="28" xfId="59" applyFont="1" applyFill="1" applyBorder="1" applyAlignment="1">
      <alignment horizontal="center"/>
      <protection/>
    </xf>
    <xf numFmtId="0" fontId="13" fillId="0" borderId="32" xfId="59" applyFont="1" applyBorder="1" applyAlignment="1" applyProtection="1">
      <alignment horizontal="center"/>
      <protection locked="0"/>
    </xf>
    <xf numFmtId="0" fontId="13" fillId="0" borderId="27" xfId="59" applyFont="1" applyBorder="1" applyAlignment="1" applyProtection="1">
      <alignment horizontal="center"/>
      <protection locked="0"/>
    </xf>
    <xf numFmtId="164" fontId="13" fillId="0" borderId="26" xfId="59" applyNumberFormat="1" applyFont="1" applyFill="1" applyBorder="1" applyAlignment="1" applyProtection="1">
      <alignment horizontal="center"/>
      <protection/>
    </xf>
    <xf numFmtId="168" fontId="105" fillId="37" borderId="27" xfId="59" applyNumberFormat="1" applyFont="1" applyFill="1" applyBorder="1" applyAlignment="1" applyProtection="1">
      <alignment horizontal="center"/>
      <protection/>
    </xf>
    <xf numFmtId="168" fontId="105" fillId="52" borderId="27" xfId="59" applyNumberFormat="1" applyFont="1" applyFill="1" applyBorder="1" applyAlignment="1" applyProtection="1">
      <alignment horizontal="center"/>
      <protection/>
    </xf>
    <xf numFmtId="4" fontId="13" fillId="0" borderId="27" xfId="59" applyNumberFormat="1" applyFont="1" applyFill="1" applyBorder="1" applyAlignment="1" applyProtection="1">
      <alignment horizontal="center"/>
      <protection/>
    </xf>
    <xf numFmtId="3" fontId="13" fillId="0" borderId="27" xfId="59" applyNumberFormat="1" applyFont="1" applyFill="1" applyBorder="1" applyAlignment="1" applyProtection="1">
      <alignment horizontal="center"/>
      <protection/>
    </xf>
    <xf numFmtId="168" fontId="13" fillId="0" borderId="27" xfId="59" applyNumberFormat="1" applyFont="1" applyFill="1" applyBorder="1" applyAlignment="1" applyProtection="1">
      <alignment horizontal="center"/>
      <protection/>
    </xf>
    <xf numFmtId="168" fontId="13" fillId="0" borderId="27" xfId="59" applyNumberFormat="1" applyFont="1" applyBorder="1" applyAlignment="1" applyProtection="1" quotePrefix="1">
      <alignment horizontal="center"/>
      <protection/>
    </xf>
    <xf numFmtId="168" fontId="13" fillId="0" borderId="32" xfId="59" applyNumberFormat="1" applyFont="1" applyBorder="1" applyAlignment="1" applyProtection="1">
      <alignment horizontal="centerContinuous"/>
      <protection/>
    </xf>
    <xf numFmtId="168" fontId="13" fillId="0" borderId="28" xfId="59" applyNumberFormat="1" applyFont="1" applyBorder="1" applyAlignment="1" applyProtection="1">
      <alignment horizontal="centerContinuous"/>
      <protection/>
    </xf>
    <xf numFmtId="164" fontId="29" fillId="42" borderId="27" xfId="59" applyNumberFormat="1" applyFont="1" applyFill="1" applyBorder="1" applyAlignment="1" applyProtection="1">
      <alignment horizontal="center"/>
      <protection/>
    </xf>
    <xf numFmtId="2" fontId="63" fillId="53" borderId="27" xfId="59" applyNumberFormat="1" applyFont="1" applyFill="1" applyBorder="1" applyAlignment="1">
      <alignment horizontal="center"/>
      <protection/>
    </xf>
    <xf numFmtId="168" fontId="63" fillId="48" borderId="46" xfId="59" applyNumberFormat="1" applyFont="1" applyFill="1" applyBorder="1" applyAlignment="1" applyProtection="1" quotePrefix="1">
      <alignment horizontal="center"/>
      <protection/>
    </xf>
    <xf numFmtId="168" fontId="63" fillId="48" borderId="47" xfId="59" applyNumberFormat="1" applyFont="1" applyFill="1" applyBorder="1" applyAlignment="1" applyProtection="1" quotePrefix="1">
      <alignment horizontal="center"/>
      <protection/>
    </xf>
    <xf numFmtId="168" fontId="63" fillId="35" borderId="27" xfId="59" applyNumberFormat="1" applyFont="1" applyFill="1" applyBorder="1" applyAlignment="1" applyProtection="1" quotePrefix="1">
      <alignment horizontal="center"/>
      <protection/>
    </xf>
    <xf numFmtId="168" fontId="63" fillId="52" borderId="60" xfId="59" applyNumberFormat="1" applyFont="1" applyFill="1" applyBorder="1" applyAlignment="1" applyProtection="1" quotePrefix="1">
      <alignment horizontal="center"/>
      <protection/>
    </xf>
    <xf numFmtId="168" fontId="63" fillId="52" borderId="0" xfId="59" applyNumberFormat="1" applyFont="1" applyFill="1" applyBorder="1" applyAlignment="1" applyProtection="1" quotePrefix="1">
      <alignment horizontal="center"/>
      <protection/>
    </xf>
    <xf numFmtId="168" fontId="63" fillId="52" borderId="55" xfId="59" applyNumberFormat="1" applyFont="1" applyFill="1" applyBorder="1" applyAlignment="1" applyProtection="1" quotePrefix="1">
      <alignment horizontal="center"/>
      <protection/>
    </xf>
    <xf numFmtId="168" fontId="13" fillId="0" borderId="28" xfId="59" applyNumberFormat="1" applyFont="1" applyFill="1" applyBorder="1" applyAlignment="1">
      <alignment horizontal="center"/>
      <protection/>
    </xf>
    <xf numFmtId="4" fontId="76" fillId="0" borderId="28" xfId="59" applyNumberFormat="1" applyFont="1" applyFill="1" applyBorder="1" applyAlignment="1">
      <alignment horizontal="right"/>
      <protection/>
    </xf>
    <xf numFmtId="0" fontId="13" fillId="0" borderId="26" xfId="59" applyFont="1" applyBorder="1" applyAlignment="1" applyProtection="1">
      <alignment horizontal="center"/>
      <protection/>
    </xf>
    <xf numFmtId="0" fontId="13" fillId="0" borderId="31" xfId="59" applyFont="1" applyBorder="1" applyAlignment="1" applyProtection="1">
      <alignment horizontal="center"/>
      <protection/>
    </xf>
    <xf numFmtId="1" fontId="13" fillId="0" borderId="26" xfId="59" applyNumberFormat="1" applyFont="1" applyBorder="1" applyAlignment="1" applyProtection="1">
      <alignment horizontal="center"/>
      <protection/>
    </xf>
    <xf numFmtId="1" fontId="13" fillId="0" borderId="47" xfId="59" applyNumberFormat="1" applyFont="1" applyBorder="1" applyAlignment="1" applyProtection="1" quotePrefix="1">
      <alignment horizontal="center"/>
      <protection/>
    </xf>
    <xf numFmtId="22" fontId="13" fillId="0" borderId="27" xfId="59" applyNumberFormat="1" applyFont="1" applyFill="1" applyBorder="1" applyAlignment="1" applyProtection="1">
      <alignment horizontal="center"/>
      <protection/>
    </xf>
    <xf numFmtId="0" fontId="13" fillId="0" borderId="33" xfId="59" applyFont="1" applyBorder="1" applyAlignment="1" applyProtection="1">
      <alignment horizontal="center"/>
      <protection/>
    </xf>
    <xf numFmtId="0" fontId="13" fillId="0" borderId="69" xfId="59" applyFont="1" applyBorder="1" applyAlignment="1" applyProtection="1">
      <alignment horizontal="center"/>
      <protection/>
    </xf>
    <xf numFmtId="164" fontId="13" fillId="0" borderId="33" xfId="59" applyNumberFormat="1" applyFont="1" applyBorder="1" applyAlignment="1" applyProtection="1">
      <alignment horizontal="center"/>
      <protection/>
    </xf>
    <xf numFmtId="1" fontId="13" fillId="0" borderId="50" xfId="59" applyNumberFormat="1" applyFont="1" applyBorder="1" applyAlignment="1" applyProtection="1" quotePrefix="1">
      <alignment horizontal="center"/>
      <protection/>
    </xf>
    <xf numFmtId="168" fontId="105" fillId="37" borderId="34" xfId="59" applyNumberFormat="1" applyFont="1" applyFill="1" applyBorder="1" applyAlignment="1" applyProtection="1">
      <alignment horizontal="center"/>
      <protection/>
    </xf>
    <xf numFmtId="168" fontId="105" fillId="52" borderId="34" xfId="59" applyNumberFormat="1" applyFont="1" applyFill="1" applyBorder="1" applyAlignment="1" applyProtection="1">
      <alignment horizontal="center"/>
      <protection/>
    </xf>
    <xf numFmtId="22" fontId="13" fillId="0" borderId="34" xfId="59" applyNumberFormat="1" applyFont="1" applyFill="1" applyBorder="1" applyAlignment="1">
      <alignment horizontal="center"/>
      <protection/>
    </xf>
    <xf numFmtId="22" fontId="13" fillId="0" borderId="34" xfId="59" applyNumberFormat="1" applyFont="1" applyFill="1" applyBorder="1" applyAlignment="1" applyProtection="1">
      <alignment horizontal="center"/>
      <protection/>
    </xf>
    <xf numFmtId="4" fontId="13" fillId="0" borderId="34" xfId="59" applyNumberFormat="1" applyFont="1" applyFill="1" applyBorder="1" applyAlignment="1" applyProtection="1">
      <alignment horizontal="center"/>
      <protection/>
    </xf>
    <xf numFmtId="3" fontId="13" fillId="0" borderId="34" xfId="59" applyNumberFormat="1" applyFont="1" applyFill="1" applyBorder="1" applyAlignment="1" applyProtection="1">
      <alignment horizontal="center"/>
      <protection/>
    </xf>
    <xf numFmtId="168" fontId="13" fillId="0" borderId="34" xfId="59" applyNumberFormat="1" applyFont="1" applyFill="1" applyBorder="1" applyAlignment="1" applyProtection="1">
      <alignment horizontal="center"/>
      <protection/>
    </xf>
    <xf numFmtId="168" fontId="13" fillId="0" borderId="65" xfId="59" applyNumberFormat="1" applyFont="1" applyBorder="1" applyAlignment="1" applyProtection="1">
      <alignment horizontal="centerContinuous"/>
      <protection/>
    </xf>
    <xf numFmtId="168" fontId="13" fillId="0" borderId="48" xfId="59" applyNumberFormat="1" applyFont="1" applyBorder="1" applyAlignment="1" applyProtection="1">
      <alignment horizontal="centerContinuous"/>
      <protection/>
    </xf>
    <xf numFmtId="164" fontId="62" fillId="37" borderId="34" xfId="59" applyNumberFormat="1" applyFont="1" applyFill="1" applyBorder="1" applyAlignment="1" applyProtection="1">
      <alignment horizontal="center"/>
      <protection/>
    </xf>
    <xf numFmtId="2" fontId="29" fillId="53" borderId="34" xfId="59" applyNumberFormat="1" applyFont="1" applyFill="1" applyBorder="1" applyAlignment="1">
      <alignment horizontal="center"/>
      <protection/>
    </xf>
    <xf numFmtId="168" fontId="29" fillId="48" borderId="49" xfId="59" applyNumberFormat="1" applyFont="1" applyFill="1" applyBorder="1" applyAlignment="1" applyProtection="1" quotePrefix="1">
      <alignment horizontal="center"/>
      <protection/>
    </xf>
    <xf numFmtId="168" fontId="29" fillId="48" borderId="50" xfId="59" applyNumberFormat="1" applyFont="1" applyFill="1" applyBorder="1" applyAlignment="1" applyProtection="1" quotePrefix="1">
      <alignment horizontal="center"/>
      <protection/>
    </xf>
    <xf numFmtId="168" fontId="29" fillId="35" borderId="34" xfId="59" applyNumberFormat="1" applyFont="1" applyFill="1" applyBorder="1" applyAlignment="1" applyProtection="1" quotePrefix="1">
      <alignment horizontal="center"/>
      <protection/>
    </xf>
    <xf numFmtId="168" fontId="29" fillId="52" borderId="65" xfId="59" applyNumberFormat="1" applyFont="1" applyFill="1" applyBorder="1" applyAlignment="1" applyProtection="1" quotePrefix="1">
      <alignment horizontal="center"/>
      <protection/>
    </xf>
    <xf numFmtId="168" fontId="29" fillId="52" borderId="63" xfId="59" applyNumberFormat="1" applyFont="1" applyFill="1" applyBorder="1" applyAlignment="1" applyProtection="1" quotePrefix="1">
      <alignment horizontal="center"/>
      <protection/>
    </xf>
    <xf numFmtId="168" fontId="29" fillId="52" borderId="48" xfId="59" applyNumberFormat="1" applyFont="1" applyFill="1" applyBorder="1" applyAlignment="1" applyProtection="1" quotePrefix="1">
      <alignment horizontal="center"/>
      <protection/>
    </xf>
    <xf numFmtId="168" fontId="13" fillId="0" borderId="48" xfId="59" applyNumberFormat="1" applyFont="1" applyFill="1" applyBorder="1" applyAlignment="1">
      <alignment horizontal="center"/>
      <protection/>
    </xf>
    <xf numFmtId="4" fontId="76" fillId="0" borderId="48" xfId="59" applyNumberFormat="1" applyFont="1" applyFill="1" applyBorder="1" applyAlignment="1">
      <alignment horizontal="right"/>
      <protection/>
    </xf>
    <xf numFmtId="0" fontId="13" fillId="0" borderId="0" xfId="59" applyFont="1" applyFill="1" applyBorder="1" applyAlignment="1">
      <alignment horizontal="center"/>
      <protection/>
    </xf>
    <xf numFmtId="164" fontId="13" fillId="0" borderId="0" xfId="59" applyNumberFormat="1" applyFont="1" applyBorder="1" applyAlignment="1" applyProtection="1">
      <alignment horizontal="center"/>
      <protection/>
    </xf>
    <xf numFmtId="1" fontId="13" fillId="0" borderId="0" xfId="59" applyNumberFormat="1" applyFont="1" applyBorder="1" applyAlignment="1" applyProtection="1" quotePrefix="1">
      <alignment horizontal="center"/>
      <protection/>
    </xf>
    <xf numFmtId="22" fontId="13" fillId="0" borderId="39" xfId="59" applyNumberFormat="1" applyFont="1" applyFill="1" applyBorder="1" applyAlignment="1">
      <alignment horizontal="center"/>
      <protection/>
    </xf>
    <xf numFmtId="22" fontId="13" fillId="0" borderId="39" xfId="59" applyNumberFormat="1" applyFont="1" applyFill="1" applyBorder="1" applyAlignment="1" applyProtection="1">
      <alignment horizontal="center"/>
      <protection/>
    </xf>
    <xf numFmtId="4" fontId="13" fillId="0" borderId="0" xfId="59" applyNumberFormat="1" applyFont="1" applyFill="1" applyBorder="1" applyAlignment="1" applyProtection="1">
      <alignment horizontal="center"/>
      <protection/>
    </xf>
    <xf numFmtId="3" fontId="13" fillId="0" borderId="0" xfId="59" applyNumberFormat="1" applyFont="1" applyFill="1" applyBorder="1" applyAlignment="1" applyProtection="1">
      <alignment horizontal="center"/>
      <protection/>
    </xf>
    <xf numFmtId="168" fontId="13" fillId="0" borderId="0" xfId="59" applyNumberFormat="1" applyFont="1" applyFill="1" applyBorder="1" applyAlignment="1" applyProtection="1">
      <alignment horizontal="center"/>
      <protection/>
    </xf>
    <xf numFmtId="168" fontId="13" fillId="0" borderId="0" xfId="59" applyNumberFormat="1" applyFont="1" applyBorder="1" applyAlignment="1" applyProtection="1">
      <alignment horizontal="center"/>
      <protection/>
    </xf>
    <xf numFmtId="168" fontId="13" fillId="0" borderId="0" xfId="59" applyNumberFormat="1" applyFont="1" applyBorder="1" applyAlignment="1" applyProtection="1">
      <alignment horizontal="centerContinuous"/>
      <protection/>
    </xf>
    <xf numFmtId="164" fontId="62" fillId="37" borderId="0" xfId="59" applyNumberFormat="1" applyFont="1" applyFill="1" applyBorder="1" applyAlignment="1" applyProtection="1">
      <alignment horizontal="center"/>
      <protection/>
    </xf>
    <xf numFmtId="2" fontId="29" fillId="53" borderId="0" xfId="59" applyNumberFormat="1" applyFont="1" applyFill="1" applyBorder="1" applyAlignment="1">
      <alignment horizontal="center"/>
      <protection/>
    </xf>
    <xf numFmtId="168" fontId="29" fillId="48" borderId="0" xfId="59" applyNumberFormat="1" applyFont="1" applyFill="1" applyBorder="1" applyAlignment="1" applyProtection="1" quotePrefix="1">
      <alignment horizontal="center"/>
      <protection/>
    </xf>
    <xf numFmtId="168" fontId="29" fillId="35" borderId="0" xfId="59" applyNumberFormat="1" applyFont="1" applyFill="1" applyBorder="1" applyAlignment="1" applyProtection="1" quotePrefix="1">
      <alignment horizontal="center"/>
      <protection/>
    </xf>
    <xf numFmtId="168" fontId="29" fillId="52" borderId="0" xfId="59" applyNumberFormat="1" applyFont="1" applyFill="1" applyBorder="1" applyAlignment="1" applyProtection="1" quotePrefix="1">
      <alignment horizontal="center"/>
      <protection/>
    </xf>
    <xf numFmtId="168" fontId="13" fillId="0" borderId="0" xfId="59" applyNumberFormat="1" applyFont="1" applyFill="1" applyBorder="1" applyAlignment="1">
      <alignment horizontal="center"/>
      <protection/>
    </xf>
    <xf numFmtId="22" fontId="13" fillId="0" borderId="0" xfId="59" applyNumberFormat="1" applyFont="1" applyFill="1" applyBorder="1" applyAlignment="1">
      <alignment horizontal="center"/>
      <protection/>
    </xf>
    <xf numFmtId="22" fontId="13" fillId="0" borderId="0" xfId="59" applyNumberFormat="1" applyFont="1" applyFill="1" applyBorder="1" applyAlignment="1" applyProtection="1">
      <alignment horizontal="center"/>
      <protection/>
    </xf>
    <xf numFmtId="7" fontId="48" fillId="0" borderId="0" xfId="59" applyNumberFormat="1" applyFont="1" applyBorder="1" applyAlignment="1" applyProtection="1">
      <alignment horizontal="right"/>
      <protection/>
    </xf>
    <xf numFmtId="0" fontId="67" fillId="43" borderId="20" xfId="59" applyFont="1" applyFill="1" applyBorder="1" applyAlignment="1">
      <alignment horizontal="center" vertical="center" wrapText="1"/>
      <protection/>
    </xf>
    <xf numFmtId="0" fontId="35" fillId="36" borderId="15" xfId="59" applyFont="1" applyFill="1" applyBorder="1" applyAlignment="1" applyProtection="1">
      <alignment horizontal="centerContinuous" vertical="center" wrapText="1"/>
      <protection/>
    </xf>
    <xf numFmtId="0" fontId="35" fillId="36" borderId="16" xfId="59" applyFont="1" applyFill="1" applyBorder="1" applyAlignment="1">
      <alignment horizontal="centerContinuous" vertical="center"/>
      <protection/>
    </xf>
    <xf numFmtId="0" fontId="61" fillId="35" borderId="20" xfId="59" applyFont="1" applyFill="1" applyBorder="1" applyAlignment="1">
      <alignment horizontal="center" vertical="center" wrapText="1"/>
      <protection/>
    </xf>
    <xf numFmtId="164" fontId="29" fillId="34" borderId="27" xfId="59" applyNumberFormat="1" applyFont="1" applyFill="1" applyBorder="1" applyAlignment="1" applyProtection="1">
      <alignment horizontal="center"/>
      <protection/>
    </xf>
    <xf numFmtId="0" fontId="71" fillId="43" borderId="22" xfId="59" applyFont="1" applyFill="1" applyBorder="1" applyAlignment="1" applyProtection="1">
      <alignment horizontal="center"/>
      <protection/>
    </xf>
    <xf numFmtId="168" fontId="51" fillId="36" borderId="23" xfId="59" applyNumberFormat="1" applyFont="1" applyFill="1" applyBorder="1" applyAlignment="1" applyProtection="1" quotePrefix="1">
      <alignment horizontal="center"/>
      <protection/>
    </xf>
    <xf numFmtId="168" fontId="51" fillId="36" borderId="25" xfId="59" applyNumberFormat="1" applyFont="1" applyFill="1" applyBorder="1" applyAlignment="1" applyProtection="1" quotePrefix="1">
      <alignment horizontal="center"/>
      <protection/>
    </xf>
    <xf numFmtId="168" fontId="63" fillId="35" borderId="22" xfId="59" applyNumberFormat="1" applyFont="1" applyFill="1" applyBorder="1" applyAlignment="1" applyProtection="1" quotePrefix="1">
      <alignment horizontal="center"/>
      <protection/>
    </xf>
    <xf numFmtId="0" fontId="13" fillId="0" borderId="26" xfId="57" applyFont="1" applyBorder="1" applyAlignment="1" applyProtection="1">
      <alignment horizontal="center"/>
      <protection locked="0"/>
    </xf>
    <xf numFmtId="2" fontId="71" fillId="43" borderId="27" xfId="59" applyNumberFormat="1" applyFont="1" applyFill="1" applyBorder="1" applyAlignment="1" applyProtection="1">
      <alignment horizontal="center"/>
      <protection/>
    </xf>
    <xf numFmtId="168" fontId="51" fillId="36" borderId="29" xfId="59" applyNumberFormat="1" applyFont="1" applyFill="1" applyBorder="1" applyAlignment="1" applyProtection="1" quotePrefix="1">
      <alignment horizontal="center"/>
      <protection/>
    </xf>
    <xf numFmtId="168" fontId="51" fillId="36" borderId="54" xfId="59" applyNumberFormat="1" applyFont="1" applyFill="1" applyBorder="1" applyAlignment="1" applyProtection="1" quotePrefix="1">
      <alignment horizontal="center"/>
      <protection/>
    </xf>
    <xf numFmtId="4" fontId="76" fillId="0" borderId="27" xfId="59" applyNumberFormat="1" applyFont="1" applyFill="1" applyBorder="1" applyAlignment="1">
      <alignment horizontal="right"/>
      <protection/>
    </xf>
    <xf numFmtId="168" fontId="13" fillId="0" borderId="0" xfId="59" applyNumberFormat="1" applyFont="1" applyBorder="1" applyAlignment="1" applyProtection="1" quotePrefix="1">
      <alignment horizontal="center"/>
      <protection/>
    </xf>
    <xf numFmtId="164" fontId="13" fillId="0" borderId="0" xfId="59" applyNumberFormat="1" applyFont="1" applyFill="1" applyBorder="1" applyAlignment="1" applyProtection="1">
      <alignment horizontal="center"/>
      <protection/>
    </xf>
    <xf numFmtId="2" fontId="59" fillId="0" borderId="0" xfId="59" applyNumberFormat="1" applyFont="1" applyFill="1" applyBorder="1" applyAlignment="1">
      <alignment horizontal="center"/>
      <protection/>
    </xf>
    <xf numFmtId="168" fontId="49" fillId="0" borderId="0" xfId="59" applyNumberFormat="1" applyFont="1" applyFill="1" applyBorder="1" applyAlignment="1" applyProtection="1" quotePrefix="1">
      <alignment horizontal="center"/>
      <protection/>
    </xf>
    <xf numFmtId="8" fontId="76" fillId="0" borderId="20" xfId="52" applyNumberFormat="1" applyFont="1" applyFill="1" applyBorder="1" applyAlignment="1">
      <alignment horizontal="right"/>
    </xf>
    <xf numFmtId="0" fontId="3" fillId="52" borderId="41" xfId="59" applyFill="1" applyBorder="1">
      <alignment/>
      <protection/>
    </xf>
    <xf numFmtId="0" fontId="89" fillId="39" borderId="20" xfId="59" applyFont="1" applyFill="1" applyBorder="1" applyAlignment="1">
      <alignment horizontal="center" vertical="center" wrapText="1"/>
      <protection/>
    </xf>
    <xf numFmtId="0" fontId="34" fillId="47" borderId="15" xfId="59" applyFont="1" applyFill="1" applyBorder="1" applyAlignment="1" applyProtection="1">
      <alignment horizontal="centerContinuous" vertical="center" wrapText="1"/>
      <protection/>
    </xf>
    <xf numFmtId="0" fontId="34" fillId="47" borderId="16" xfId="59" applyFont="1" applyFill="1" applyBorder="1" applyAlignment="1">
      <alignment horizontal="centerContinuous" vertical="center"/>
      <protection/>
    </xf>
    <xf numFmtId="0" fontId="37" fillId="36" borderId="20" xfId="59" applyFont="1" applyFill="1" applyBorder="1" applyAlignment="1">
      <alignment horizontal="center" vertical="center" wrapText="1"/>
      <protection/>
    </xf>
    <xf numFmtId="0" fontId="66" fillId="36" borderId="20" xfId="59" applyFont="1" applyFill="1" applyBorder="1" applyAlignment="1">
      <alignment horizontal="center" vertical="center" wrapText="1"/>
      <protection/>
    </xf>
    <xf numFmtId="0" fontId="89" fillId="0" borderId="20" xfId="59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 horizontal="center"/>
      <protection/>
    </xf>
    <xf numFmtId="0" fontId="13" fillId="0" borderId="55" xfId="59" applyFont="1" applyBorder="1" applyAlignment="1">
      <alignment horizontal="center"/>
      <protection/>
    </xf>
    <xf numFmtId="0" fontId="62" fillId="37" borderId="59" xfId="59" applyFont="1" applyFill="1" applyBorder="1" applyAlignment="1">
      <alignment horizontal="center"/>
      <protection/>
    </xf>
    <xf numFmtId="0" fontId="3" fillId="52" borderId="59" xfId="59" applyFill="1" applyBorder="1">
      <alignment/>
      <protection/>
    </xf>
    <xf numFmtId="0" fontId="13" fillId="0" borderId="60" xfId="59" applyFont="1" applyBorder="1" applyAlignment="1">
      <alignment horizontal="center"/>
      <protection/>
    </xf>
    <xf numFmtId="0" fontId="13" fillId="0" borderId="59" xfId="59" applyFont="1" applyBorder="1" applyAlignment="1">
      <alignment horizontal="center"/>
      <protection/>
    </xf>
    <xf numFmtId="0" fontId="13" fillId="0" borderId="59" xfId="59" applyFont="1" applyBorder="1">
      <alignment/>
      <protection/>
    </xf>
    <xf numFmtId="0" fontId="62" fillId="37" borderId="0" xfId="59" applyFont="1" applyFill="1" applyBorder="1" applyAlignment="1">
      <alignment horizontal="center"/>
      <protection/>
    </xf>
    <xf numFmtId="0" fontId="90" fillId="39" borderId="41" xfId="59" applyFont="1" applyFill="1" applyBorder="1" applyAlignment="1">
      <alignment horizontal="center"/>
      <protection/>
    </xf>
    <xf numFmtId="0" fontId="50" fillId="47" borderId="43" xfId="59" applyFont="1" applyFill="1" applyBorder="1" applyAlignment="1">
      <alignment horizontal="center"/>
      <protection/>
    </xf>
    <xf numFmtId="0" fontId="50" fillId="47" borderId="44" xfId="59" applyFont="1" applyFill="1" applyBorder="1" applyAlignment="1">
      <alignment horizontal="center"/>
      <protection/>
    </xf>
    <xf numFmtId="0" fontId="53" fillId="36" borderId="41" xfId="59" applyFont="1" applyFill="1" applyBorder="1" applyAlignment="1">
      <alignment horizontal="center"/>
      <protection/>
    </xf>
    <xf numFmtId="0" fontId="13" fillId="0" borderId="41" xfId="59" applyFont="1" applyBorder="1" applyAlignment="1">
      <alignment horizontal="center"/>
      <protection/>
    </xf>
    <xf numFmtId="7" fontId="76" fillId="0" borderId="41" xfId="59" applyNumberFormat="1" applyFont="1" applyFill="1" applyBorder="1" applyAlignment="1">
      <alignment horizontal="center"/>
      <protection/>
    </xf>
    <xf numFmtId="0" fontId="13" fillId="0" borderId="61" xfId="59" applyFont="1" applyBorder="1" applyAlignment="1" applyProtection="1">
      <alignment horizontal="center"/>
      <protection locked="0"/>
    </xf>
    <xf numFmtId="174" fontId="62" fillId="37" borderId="26" xfId="59" applyNumberFormat="1" applyFont="1" applyFill="1" applyBorder="1" applyAlignment="1" applyProtection="1">
      <alignment horizontal="center"/>
      <protection/>
    </xf>
    <xf numFmtId="0" fontId="3" fillId="52" borderId="26" xfId="59" applyFill="1" applyBorder="1">
      <alignment/>
      <protection/>
    </xf>
    <xf numFmtId="22" fontId="13" fillId="0" borderId="46" xfId="59" applyNumberFormat="1" applyFont="1" applyBorder="1" applyAlignment="1" applyProtection="1">
      <alignment horizontal="center"/>
      <protection locked="0"/>
    </xf>
    <xf numFmtId="22" fontId="13" fillId="0" borderId="61" xfId="59" applyNumberFormat="1" applyFont="1" applyBorder="1" applyAlignment="1" applyProtection="1">
      <alignment horizontal="center"/>
      <protection locked="0"/>
    </xf>
    <xf numFmtId="168" fontId="13" fillId="0" borderId="70" xfId="63" applyNumberFormat="1" applyFont="1" applyBorder="1" applyAlignment="1" applyProtection="1">
      <alignment horizontal="center"/>
      <protection/>
    </xf>
    <xf numFmtId="2" fontId="13" fillId="0" borderId="26" xfId="59" applyNumberFormat="1" applyFont="1" applyFill="1" applyBorder="1" applyAlignment="1" applyProtection="1" quotePrefix="1">
      <alignment horizontal="center"/>
      <protection/>
    </xf>
    <xf numFmtId="168" fontId="13" fillId="0" borderId="45" xfId="59" applyNumberFormat="1" applyFont="1" applyBorder="1" applyAlignment="1" applyProtection="1">
      <alignment horizontal="center"/>
      <protection locked="0"/>
    </xf>
    <xf numFmtId="173" fontId="13" fillId="0" borderId="45" xfId="59" applyNumberFormat="1" applyFont="1" applyBorder="1" applyAlignment="1" applyProtection="1" quotePrefix="1">
      <alignment horizontal="center"/>
      <protection/>
    </xf>
    <xf numFmtId="164" fontId="62" fillId="37" borderId="31" xfId="59" applyNumberFormat="1" applyFont="1" applyFill="1" applyBorder="1" applyAlignment="1" applyProtection="1">
      <alignment horizontal="center"/>
      <protection/>
    </xf>
    <xf numFmtId="2" fontId="90" fillId="39" borderId="26" xfId="59" applyNumberFormat="1" applyFont="1" applyFill="1" applyBorder="1" applyAlignment="1" applyProtection="1">
      <alignment horizontal="center"/>
      <protection/>
    </xf>
    <xf numFmtId="168" fontId="50" fillId="47" borderId="46" xfId="59" applyNumberFormat="1" applyFont="1" applyFill="1" applyBorder="1" applyAlignment="1" applyProtection="1" quotePrefix="1">
      <alignment horizontal="center"/>
      <protection/>
    </xf>
    <xf numFmtId="168" fontId="50" fillId="47" borderId="47" xfId="59" applyNumberFormat="1" applyFont="1" applyFill="1" applyBorder="1" applyAlignment="1" applyProtection="1" quotePrefix="1">
      <alignment horizontal="center"/>
      <protection/>
    </xf>
    <xf numFmtId="168" fontId="53" fillId="36" borderId="26" xfId="59" applyNumberFormat="1" applyFont="1" applyFill="1" applyBorder="1" applyAlignment="1" applyProtection="1" quotePrefix="1">
      <alignment horizontal="center"/>
      <protection/>
    </xf>
    <xf numFmtId="0" fontId="3" fillId="0" borderId="31" xfId="59" applyBorder="1">
      <alignment/>
      <protection/>
    </xf>
    <xf numFmtId="168" fontId="29" fillId="52" borderId="31" xfId="59" applyNumberFormat="1" applyFont="1" applyFill="1" applyBorder="1" applyAlignment="1" applyProtection="1" quotePrefix="1">
      <alignment horizontal="center"/>
      <protection/>
    </xf>
    <xf numFmtId="4" fontId="76" fillId="0" borderId="26" xfId="59" applyNumberFormat="1" applyFont="1" applyFill="1" applyBorder="1" applyAlignment="1">
      <alignment horizontal="right"/>
      <protection/>
    </xf>
    <xf numFmtId="0" fontId="3" fillId="52" borderId="33" xfId="59" applyFill="1" applyBorder="1">
      <alignment/>
      <protection/>
    </xf>
    <xf numFmtId="0" fontId="3" fillId="0" borderId="71" xfId="59" applyBorder="1">
      <alignment/>
      <protection/>
    </xf>
    <xf numFmtId="168" fontId="29" fillId="52" borderId="71" xfId="59" applyNumberFormat="1" applyFont="1" applyFill="1" applyBorder="1" applyAlignment="1" applyProtection="1" quotePrefix="1">
      <alignment horizontal="center"/>
      <protection/>
    </xf>
    <xf numFmtId="0" fontId="73" fillId="0" borderId="65" xfId="59" applyFont="1" applyBorder="1" applyAlignment="1" applyProtection="1">
      <alignment horizontal="center"/>
      <protection locked="0"/>
    </xf>
    <xf numFmtId="0" fontId="13" fillId="0" borderId="65" xfId="59" applyFont="1" applyBorder="1" applyAlignment="1" applyProtection="1">
      <alignment horizontal="center"/>
      <protection locked="0"/>
    </xf>
    <xf numFmtId="174" fontId="62" fillId="37" borderId="34" xfId="59" applyNumberFormat="1" applyFont="1" applyFill="1" applyBorder="1" applyAlignment="1" applyProtection="1">
      <alignment horizontal="center"/>
      <protection/>
    </xf>
    <xf numFmtId="0" fontId="3" fillId="52" borderId="34" xfId="59" applyFill="1" applyBorder="1">
      <alignment/>
      <protection/>
    </xf>
    <xf numFmtId="22" fontId="13" fillId="0" borderId="35" xfId="59" applyNumberFormat="1" applyFont="1" applyBorder="1" applyAlignment="1" applyProtection="1">
      <alignment horizontal="center"/>
      <protection locked="0"/>
    </xf>
    <xf numFmtId="22" fontId="13" fillId="0" borderId="65" xfId="59" applyNumberFormat="1" applyFont="1" applyBorder="1" applyAlignment="1" applyProtection="1">
      <alignment horizontal="center"/>
      <protection locked="0"/>
    </xf>
    <xf numFmtId="2" fontId="13" fillId="0" borderId="34" xfId="59" applyNumberFormat="1" applyFont="1" applyFill="1" applyBorder="1" applyAlignment="1" applyProtection="1" quotePrefix="1">
      <alignment horizontal="center"/>
      <protection/>
    </xf>
    <xf numFmtId="164" fontId="13" fillId="0" borderId="34" xfId="59" applyNumberFormat="1" applyFont="1" applyFill="1" applyBorder="1" applyAlignment="1" applyProtection="1" quotePrefix="1">
      <alignment horizontal="center"/>
      <protection/>
    </xf>
    <xf numFmtId="168" fontId="13" fillId="0" borderId="48" xfId="59" applyNumberFormat="1" applyFont="1" applyBorder="1" applyAlignment="1" applyProtection="1">
      <alignment horizontal="center"/>
      <protection locked="0"/>
    </xf>
    <xf numFmtId="173" fontId="13" fillId="0" borderId="48" xfId="59" applyNumberFormat="1" applyFont="1" applyBorder="1" applyAlignment="1" applyProtection="1" quotePrefix="1">
      <alignment horizontal="center"/>
      <protection/>
    </xf>
    <xf numFmtId="164" fontId="62" fillId="37" borderId="63" xfId="59" applyNumberFormat="1" applyFont="1" applyFill="1" applyBorder="1" applyAlignment="1" applyProtection="1">
      <alignment horizontal="center"/>
      <protection/>
    </xf>
    <xf numFmtId="2" fontId="90" fillId="39" borderId="34" xfId="59" applyNumberFormat="1" applyFont="1" applyFill="1" applyBorder="1" applyAlignment="1" applyProtection="1">
      <alignment horizontal="center"/>
      <protection/>
    </xf>
    <xf numFmtId="168" fontId="50" fillId="47" borderId="49" xfId="59" applyNumberFormat="1" applyFont="1" applyFill="1" applyBorder="1" applyAlignment="1" applyProtection="1" quotePrefix="1">
      <alignment horizontal="center"/>
      <protection/>
    </xf>
    <xf numFmtId="168" fontId="50" fillId="47" borderId="50" xfId="59" applyNumberFormat="1" applyFont="1" applyFill="1" applyBorder="1" applyAlignment="1" applyProtection="1" quotePrefix="1">
      <alignment horizontal="center"/>
      <protection/>
    </xf>
    <xf numFmtId="168" fontId="53" fillId="36" borderId="33" xfId="59" applyNumberFormat="1" applyFont="1" applyFill="1" applyBorder="1" applyAlignment="1" applyProtection="1" quotePrefix="1">
      <alignment horizontal="center"/>
      <protection/>
    </xf>
    <xf numFmtId="0" fontId="3" fillId="0" borderId="63" xfId="59" applyBorder="1">
      <alignment/>
      <protection/>
    </xf>
    <xf numFmtId="4" fontId="76" fillId="0" borderId="34" xfId="59" applyNumberFormat="1" applyFont="1" applyFill="1" applyBorder="1" applyAlignment="1">
      <alignment horizontal="right"/>
      <protection/>
    </xf>
    <xf numFmtId="168" fontId="13" fillId="0" borderId="0" xfId="59" applyNumberFormat="1" applyFont="1" applyBorder="1" applyAlignment="1" applyProtection="1" quotePrefix="1">
      <alignment horizontal="centerContinuous"/>
      <protection/>
    </xf>
    <xf numFmtId="4" fontId="76" fillId="0" borderId="0" xfId="59" applyNumberFormat="1" applyFont="1" applyFill="1" applyBorder="1" applyAlignment="1">
      <alignment horizontal="right"/>
      <protection/>
    </xf>
    <xf numFmtId="2" fontId="106" fillId="0" borderId="0" xfId="59" applyNumberFormat="1" applyFont="1" applyBorder="1" applyAlignment="1" applyProtection="1">
      <alignment horizontal="left"/>
      <protection/>
    </xf>
    <xf numFmtId="168" fontId="106" fillId="0" borderId="0" xfId="59" applyNumberFormat="1" applyFont="1" applyBorder="1" applyAlignment="1" applyProtection="1">
      <alignment horizontal="center"/>
      <protection/>
    </xf>
    <xf numFmtId="0" fontId="106" fillId="0" borderId="0" xfId="59" applyFont="1" applyBorder="1" applyAlignment="1" applyProtection="1">
      <alignment horizontal="center"/>
      <protection/>
    </xf>
    <xf numFmtId="165" fontId="106" fillId="0" borderId="0" xfId="59" applyNumberFormat="1" applyFont="1" applyBorder="1" applyAlignment="1" applyProtection="1">
      <alignment horizontal="center"/>
      <protection/>
    </xf>
    <xf numFmtId="0" fontId="107" fillId="0" borderId="0" xfId="59" applyFont="1">
      <alignment/>
      <protection/>
    </xf>
    <xf numFmtId="173" fontId="106" fillId="0" borderId="0" xfId="59" applyNumberFormat="1" applyFont="1" applyBorder="1" applyAlignment="1" applyProtection="1" quotePrefix="1">
      <alignment horizontal="center"/>
      <protection/>
    </xf>
    <xf numFmtId="0" fontId="106" fillId="0" borderId="0" xfId="59" applyFont="1">
      <alignment/>
      <protection/>
    </xf>
    <xf numFmtId="2" fontId="106" fillId="0" borderId="0" xfId="59" applyNumberFormat="1" applyFont="1" applyBorder="1" applyAlignment="1" applyProtection="1">
      <alignment horizontal="center"/>
      <protection/>
    </xf>
    <xf numFmtId="168" fontId="106" fillId="0" borderId="0" xfId="59" applyNumberFormat="1" applyFont="1" applyBorder="1" applyAlignment="1" applyProtection="1" quotePrefix="1">
      <alignment horizontal="center"/>
      <protection/>
    </xf>
    <xf numFmtId="4" fontId="21" fillId="0" borderId="14" xfId="59" applyNumberFormat="1" applyFont="1" applyFill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2" fontId="108" fillId="0" borderId="0" xfId="59" applyNumberFormat="1" applyFont="1" applyBorder="1" applyAlignment="1" applyProtection="1">
      <alignment horizontal="left"/>
      <protection/>
    </xf>
    <xf numFmtId="173" fontId="4" fillId="0" borderId="0" xfId="59" applyNumberFormat="1" applyFont="1" applyBorder="1" applyAlignment="1" applyProtection="1">
      <alignment horizontal="left"/>
      <protection/>
    </xf>
    <xf numFmtId="168" fontId="4" fillId="0" borderId="0" xfId="59" applyNumberFormat="1" applyFont="1" applyBorder="1" applyAlignment="1" applyProtection="1">
      <alignment horizontal="left"/>
      <protection/>
    </xf>
    <xf numFmtId="4" fontId="103" fillId="0" borderId="0" xfId="59" applyNumberFormat="1" applyFont="1" applyBorder="1" applyAlignment="1" applyProtection="1">
      <alignment horizontal="center"/>
      <protection/>
    </xf>
    <xf numFmtId="7" fontId="4" fillId="0" borderId="0" xfId="59" applyNumberFormat="1" applyFont="1" applyBorder="1" applyAlignment="1">
      <alignment horizontal="centerContinuous"/>
      <protection/>
    </xf>
    <xf numFmtId="1" fontId="21" fillId="0" borderId="0" xfId="59" applyNumberFormat="1" applyFont="1" applyBorder="1" applyAlignment="1" applyProtection="1">
      <alignment horizontal="center"/>
      <protection/>
    </xf>
    <xf numFmtId="183" fontId="21" fillId="0" borderId="0" xfId="59" applyNumberFormat="1" applyFont="1" applyBorder="1" applyAlignment="1" applyProtection="1">
      <alignment horizontal="centerContinuous"/>
      <protection/>
    </xf>
    <xf numFmtId="183" fontId="106" fillId="0" borderId="0" xfId="59" applyNumberFormat="1" applyFont="1" applyBorder="1" applyAlignment="1" applyProtection="1">
      <alignment horizontal="centerContinuous"/>
      <protection/>
    </xf>
    <xf numFmtId="168" fontId="106" fillId="0" borderId="0" xfId="59" applyNumberFormat="1" applyFont="1" applyBorder="1" applyAlignment="1" applyProtection="1" quotePrefix="1">
      <alignment horizontal="left"/>
      <protection/>
    </xf>
    <xf numFmtId="168" fontId="21" fillId="0" borderId="0" xfId="59" applyNumberFormat="1" applyFont="1" applyBorder="1">
      <alignment/>
      <protection/>
    </xf>
    <xf numFmtId="7" fontId="21" fillId="0" borderId="0" xfId="59" applyNumberFormat="1" applyFont="1" applyBorder="1" applyAlignment="1">
      <alignment horizontal="centerContinuous"/>
      <protection/>
    </xf>
    <xf numFmtId="0" fontId="21" fillId="0" borderId="0" xfId="59" applyFont="1" applyAlignment="1">
      <alignment horizontal="centerContinuous"/>
      <protection/>
    </xf>
    <xf numFmtId="168" fontId="21" fillId="0" borderId="0" xfId="59" applyNumberFormat="1" applyFont="1" applyBorder="1" applyAlignment="1" applyProtection="1">
      <alignment horizontal="centerContinuous"/>
      <protection/>
    </xf>
    <xf numFmtId="168" fontId="106" fillId="0" borderId="0" xfId="59" applyNumberFormat="1" applyFont="1" applyBorder="1" applyAlignment="1" applyProtection="1" quotePrefix="1">
      <alignment horizontal="right"/>
      <protection/>
    </xf>
    <xf numFmtId="2" fontId="109" fillId="0" borderId="0" xfId="59" applyNumberFormat="1" applyFont="1" applyBorder="1" applyAlignment="1" applyProtection="1">
      <alignment horizontal="center"/>
      <protection/>
    </xf>
    <xf numFmtId="168" fontId="103" fillId="0" borderId="0" xfId="59" applyNumberFormat="1" applyFont="1" applyBorder="1" applyAlignment="1" applyProtection="1" quotePrefix="1">
      <alignment horizontal="center"/>
      <protection/>
    </xf>
    <xf numFmtId="4" fontId="106" fillId="0" borderId="0" xfId="59" applyNumberFormat="1" applyFont="1" applyBorder="1" applyAlignment="1" applyProtection="1">
      <alignment horizontal="center"/>
      <protection/>
    </xf>
    <xf numFmtId="7" fontId="106" fillId="0" borderId="0" xfId="59" applyNumberFormat="1" applyFont="1" applyFill="1" applyBorder="1" applyAlignment="1">
      <alignment horizontal="center"/>
      <protection/>
    </xf>
    <xf numFmtId="7" fontId="106" fillId="0" borderId="56" xfId="59" applyNumberFormat="1" applyFont="1" applyFill="1" applyBorder="1" applyAlignment="1">
      <alignment horizontal="center"/>
      <protection/>
    </xf>
    <xf numFmtId="7" fontId="21" fillId="0" borderId="0" xfId="59" applyNumberFormat="1" applyFont="1" applyBorder="1" applyAlignment="1">
      <alignment horizontal="right"/>
      <protection/>
    </xf>
    <xf numFmtId="0" fontId="110" fillId="0" borderId="15" xfId="59" applyFont="1" applyBorder="1" applyAlignment="1">
      <alignment horizontal="center"/>
      <protection/>
    </xf>
    <xf numFmtId="7" fontId="4" fillId="0" borderId="16" xfId="59" applyNumberFormat="1" applyFont="1" applyBorder="1" applyAlignment="1">
      <alignment horizontal="center"/>
      <protection/>
    </xf>
    <xf numFmtId="10" fontId="21" fillId="0" borderId="0" xfId="59" applyNumberFormat="1" applyFont="1" applyBorder="1" applyAlignment="1" applyProtection="1">
      <alignment horizontal="center"/>
      <protection/>
    </xf>
    <xf numFmtId="168" fontId="22" fillId="0" borderId="0" xfId="59" applyNumberFormat="1" applyFont="1" applyBorder="1" applyAlignment="1" applyProtection="1">
      <alignment horizontal="left"/>
      <protection/>
    </xf>
    <xf numFmtId="7" fontId="21" fillId="0" borderId="0" xfId="59" applyNumberFormat="1" applyFont="1" applyAlignment="1">
      <alignment horizontal="right"/>
      <protection/>
    </xf>
    <xf numFmtId="0" fontId="21" fillId="0" borderId="0" xfId="59" applyFont="1" quotePrefix="1">
      <alignment/>
      <protection/>
    </xf>
    <xf numFmtId="168" fontId="21" fillId="0" borderId="0" xfId="59" applyNumberFormat="1" applyFont="1" applyBorder="1" applyAlignment="1" applyProtection="1" quotePrefix="1">
      <alignment horizontal="center"/>
      <protection/>
    </xf>
    <xf numFmtId="7" fontId="21" fillId="0" borderId="0" xfId="59" applyNumberFormat="1" applyFont="1" applyBorder="1" applyAlignment="1" applyProtection="1">
      <alignment horizontal="left"/>
      <protection/>
    </xf>
    <xf numFmtId="0" fontId="107" fillId="0" borderId="0" xfId="59" applyFont="1" quotePrefix="1">
      <alignment/>
      <protection/>
    </xf>
    <xf numFmtId="168" fontId="4" fillId="0" borderId="0" xfId="59" applyNumberFormat="1" applyFont="1" applyBorder="1" applyAlignment="1" applyProtection="1">
      <alignment horizontal="left"/>
      <protection/>
    </xf>
    <xf numFmtId="0" fontId="23" fillId="0" borderId="13" xfId="59" applyFont="1" applyBorder="1" applyAlignment="1">
      <alignment vertical="center"/>
      <protection/>
    </xf>
    <xf numFmtId="0" fontId="23" fillId="0" borderId="0" xfId="59" applyFont="1" applyBorder="1" applyAlignment="1">
      <alignment horizontal="center" vertical="center"/>
      <protection/>
    </xf>
    <xf numFmtId="168" fontId="23" fillId="0" borderId="0" xfId="59" applyNumberFormat="1" applyFont="1" applyBorder="1" applyAlignment="1" applyProtection="1">
      <alignment horizontal="left" vertical="center"/>
      <protection/>
    </xf>
    <xf numFmtId="0" fontId="111" fillId="0" borderId="0" xfId="59" applyFont="1" applyAlignment="1" quotePrefix="1">
      <alignment vertical="center"/>
      <protection/>
    </xf>
    <xf numFmtId="0" fontId="23" fillId="0" borderId="0" xfId="59" applyFont="1" applyBorder="1" applyAlignment="1" applyProtection="1">
      <alignment horizontal="center" vertical="center"/>
      <protection/>
    </xf>
    <xf numFmtId="165" fontId="23" fillId="0" borderId="0" xfId="59" applyNumberFormat="1" applyFont="1" applyBorder="1" applyAlignment="1" applyProtection="1">
      <alignment horizontal="center" vertical="center"/>
      <protection/>
    </xf>
    <xf numFmtId="0" fontId="111" fillId="0" borderId="0" xfId="59" applyFont="1" applyAlignment="1">
      <alignment vertical="center"/>
      <protection/>
    </xf>
    <xf numFmtId="4" fontId="10" fillId="0" borderId="15" xfId="59" applyNumberFormat="1" applyFont="1" applyBorder="1" applyAlignment="1" applyProtection="1">
      <alignment horizontal="center" vertical="center"/>
      <protection/>
    </xf>
    <xf numFmtId="7" fontId="112" fillId="0" borderId="16" xfId="59" applyNumberFormat="1" applyFont="1" applyFill="1" applyBorder="1" applyAlignment="1">
      <alignment horizontal="center" vertical="center"/>
      <protection/>
    </xf>
    <xf numFmtId="0" fontId="113" fillId="0" borderId="0" xfId="59" applyFont="1" applyBorder="1">
      <alignment/>
      <protection/>
    </xf>
    <xf numFmtId="168" fontId="23" fillId="0" borderId="0" xfId="59" applyNumberFormat="1" applyFont="1" applyBorder="1" applyAlignment="1" applyProtection="1">
      <alignment horizontal="center" vertical="center"/>
      <protection/>
    </xf>
    <xf numFmtId="2" fontId="115" fillId="0" borderId="0" xfId="59" applyNumberFormat="1" applyFont="1" applyBorder="1" applyAlignment="1" applyProtection="1">
      <alignment horizontal="center" vertical="center"/>
      <protection/>
    </xf>
    <xf numFmtId="168" fontId="116" fillId="0" borderId="0" xfId="59" applyNumberFormat="1" applyFont="1" applyBorder="1" applyAlignment="1" applyProtection="1" quotePrefix="1">
      <alignment horizontal="center" vertical="center"/>
      <protection/>
    </xf>
    <xf numFmtId="4" fontId="23" fillId="0" borderId="14" xfId="59" applyNumberFormat="1" applyFont="1" applyFill="1" applyBorder="1" applyAlignment="1">
      <alignment horizontal="center" vertical="center"/>
      <protection/>
    </xf>
    <xf numFmtId="0" fontId="21" fillId="0" borderId="17" xfId="59" applyFont="1" applyBorder="1">
      <alignment/>
      <protection/>
    </xf>
    <xf numFmtId="0" fontId="21" fillId="0" borderId="18" xfId="59" applyFont="1" applyBorder="1">
      <alignment/>
      <protection/>
    </xf>
    <xf numFmtId="0" fontId="3" fillId="0" borderId="18" xfId="59" applyBorder="1">
      <alignment/>
      <protection/>
    </xf>
    <xf numFmtId="0" fontId="21" fillId="0" borderId="19" xfId="59" applyFont="1" applyFill="1" applyBorder="1">
      <alignment/>
      <protection/>
    </xf>
    <xf numFmtId="0" fontId="13" fillId="0" borderId="0" xfId="59" applyFont="1" applyBorder="1" applyAlignment="1">
      <alignment horizontal="left"/>
      <protection/>
    </xf>
    <xf numFmtId="22" fontId="13" fillId="0" borderId="26" xfId="59" applyNumberFormat="1" applyFont="1" applyBorder="1" applyAlignment="1" applyProtection="1">
      <alignment horizontal="center"/>
      <protection locked="0"/>
    </xf>
    <xf numFmtId="22" fontId="13" fillId="0" borderId="56" xfId="59" applyNumberFormat="1" applyFont="1" applyBorder="1" applyAlignment="1" applyProtection="1">
      <alignment horizontal="center"/>
      <protection locked="0"/>
    </xf>
    <xf numFmtId="22" fontId="13" fillId="0" borderId="27" xfId="59" applyNumberFormat="1" applyFont="1" applyBorder="1" applyAlignment="1" applyProtection="1">
      <alignment horizontal="center"/>
      <protection locked="0"/>
    </xf>
    <xf numFmtId="22" fontId="13" fillId="0" borderId="46" xfId="63" applyNumberFormat="1" applyFont="1" applyBorder="1" applyAlignment="1" applyProtection="1">
      <alignment horizontal="center"/>
      <protection locked="0"/>
    </xf>
    <xf numFmtId="22" fontId="13" fillId="0" borderId="61" xfId="63" applyNumberFormat="1" applyFont="1" applyBorder="1" applyAlignment="1" applyProtection="1">
      <alignment horizontal="center"/>
      <protection locked="0"/>
    </xf>
    <xf numFmtId="0" fontId="3" fillId="52" borderId="72" xfId="59" applyFill="1" applyBorder="1">
      <alignment/>
      <protection/>
    </xf>
    <xf numFmtId="0" fontId="93" fillId="0" borderId="0" xfId="63" applyFont="1" applyFill="1">
      <alignment/>
      <protection/>
    </xf>
    <xf numFmtId="0" fontId="94" fillId="0" borderId="0" xfId="63" applyFont="1" applyAlignment="1">
      <alignment horizontal="centerContinuous"/>
      <protection/>
    </xf>
    <xf numFmtId="0" fontId="93" fillId="0" borderId="0" xfId="63" applyFont="1" applyAlignment="1">
      <alignment horizontal="centerContinuous"/>
      <protection/>
    </xf>
    <xf numFmtId="0" fontId="93" fillId="0" borderId="0" xfId="63" applyFont="1">
      <alignment/>
      <protection/>
    </xf>
    <xf numFmtId="0" fontId="13" fillId="0" borderId="11" xfId="63" applyFont="1" applyBorder="1" applyAlignment="1" applyProtection="1">
      <alignment horizontal="left"/>
      <protection/>
    </xf>
    <xf numFmtId="0" fontId="3" fillId="0" borderId="11" xfId="63" applyBorder="1">
      <alignment/>
      <protection/>
    </xf>
    <xf numFmtId="0" fontId="13" fillId="0" borderId="12" xfId="63" applyFont="1" applyFill="1" applyBorder="1">
      <alignment/>
      <protection/>
    </xf>
    <xf numFmtId="0" fontId="19" fillId="0" borderId="0" xfId="63" applyFont="1" applyBorder="1">
      <alignment/>
      <protection/>
    </xf>
    <xf numFmtId="0" fontId="13" fillId="0" borderId="14" xfId="63" applyFont="1" applyFill="1" applyBorder="1">
      <alignment/>
      <protection/>
    </xf>
    <xf numFmtId="0" fontId="23" fillId="0" borderId="13" xfId="63" applyFont="1" applyBorder="1">
      <alignment/>
      <protection/>
    </xf>
    <xf numFmtId="0" fontId="23" fillId="0" borderId="0" xfId="63" applyFont="1" applyBorder="1">
      <alignment/>
      <protection/>
    </xf>
    <xf numFmtId="0" fontId="17" fillId="0" borderId="0" xfId="63" applyFont="1" applyBorder="1">
      <alignment/>
      <protection/>
    </xf>
    <xf numFmtId="0" fontId="23" fillId="0" borderId="14" xfId="63" applyFont="1" applyFill="1" applyBorder="1">
      <alignment/>
      <protection/>
    </xf>
    <xf numFmtId="0" fontId="3" fillId="0" borderId="0" xfId="63" applyNumberFormat="1" applyAlignment="1">
      <alignment horizontal="centerContinuous"/>
      <protection/>
    </xf>
    <xf numFmtId="0" fontId="23" fillId="0" borderId="0" xfId="63" applyFont="1" applyBorder="1" applyAlignment="1">
      <alignment horizontal="centerContinuous"/>
      <protection/>
    </xf>
    <xf numFmtId="0" fontId="3" fillId="0" borderId="0" xfId="63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3" fillId="0" borderId="0" xfId="63" applyFont="1" applyAlignment="1">
      <alignment/>
      <protection/>
    </xf>
    <xf numFmtId="0" fontId="23" fillId="0" borderId="14" xfId="63" applyFont="1" applyBorder="1" applyAlignment="1">
      <alignment horizontal="centerContinuous"/>
      <protection/>
    </xf>
    <xf numFmtId="0" fontId="13" fillId="0" borderId="0" xfId="63" applyFont="1" applyBorder="1" applyAlignment="1">
      <alignment horizontal="center"/>
      <protection/>
    </xf>
    <xf numFmtId="0" fontId="95" fillId="0" borderId="0" xfId="63" applyFont="1" applyBorder="1" applyAlignment="1" quotePrefix="1">
      <alignment horizontal="left"/>
      <protection/>
    </xf>
    <xf numFmtId="168" fontId="48" fillId="0" borderId="0" xfId="63" applyNumberFormat="1" applyFont="1" applyBorder="1" applyAlignment="1" applyProtection="1">
      <alignment horizontal="left"/>
      <protection/>
    </xf>
    <xf numFmtId="0" fontId="3" fillId="0" borderId="0" xfId="63" applyBorder="1">
      <alignment/>
      <protection/>
    </xf>
    <xf numFmtId="0" fontId="10" fillId="0" borderId="0" xfId="63" applyFont="1" applyBorder="1" applyAlignment="1">
      <alignment horizontal="center"/>
      <protection/>
    </xf>
    <xf numFmtId="0" fontId="10" fillId="0" borderId="0" xfId="63" applyFont="1" applyBorder="1">
      <alignment/>
      <protection/>
    </xf>
    <xf numFmtId="0" fontId="21" fillId="0" borderId="0" xfId="63" applyFont="1">
      <alignment/>
      <protection/>
    </xf>
    <xf numFmtId="0" fontId="21" fillId="0" borderId="13" xfId="63" applyFont="1" applyBorder="1">
      <alignment/>
      <protection/>
    </xf>
    <xf numFmtId="0" fontId="21" fillId="0" borderId="0" xfId="63" applyFont="1" applyBorder="1">
      <alignment/>
      <protection/>
    </xf>
    <xf numFmtId="0" fontId="21" fillId="0" borderId="0" xfId="63" applyFont="1" applyBorder="1" applyAlignment="1">
      <alignment horizontal="right"/>
      <protection/>
    </xf>
    <xf numFmtId="7" fontId="21" fillId="0" borderId="0" xfId="63" applyNumberFormat="1" applyFont="1" applyBorder="1" applyAlignment="1">
      <alignment horizontal="center"/>
      <protection/>
    </xf>
    <xf numFmtId="0" fontId="21" fillId="0" borderId="0" xfId="63" applyFont="1" applyBorder="1" applyAlignment="1">
      <alignment horizontal="center"/>
      <protection/>
    </xf>
    <xf numFmtId="0" fontId="96" fillId="0" borderId="0" xfId="63" applyFont="1" applyBorder="1" applyAlignment="1" quotePrefix="1">
      <alignment horizontal="left"/>
      <protection/>
    </xf>
    <xf numFmtId="0" fontId="21" fillId="0" borderId="14" xfId="63" applyFont="1" applyFill="1" applyBorder="1">
      <alignment/>
      <protection/>
    </xf>
    <xf numFmtId="0" fontId="21" fillId="0" borderId="0" xfId="63" applyFont="1" applyBorder="1" applyAlignment="1" applyProtection="1">
      <alignment horizontal="left"/>
      <protection/>
    </xf>
    <xf numFmtId="174" fontId="21" fillId="0" borderId="0" xfId="63" applyNumberFormat="1" applyFont="1" applyBorder="1" applyAlignment="1">
      <alignment horizontal="center"/>
      <protection/>
    </xf>
    <xf numFmtId="168" fontId="21" fillId="0" borderId="0" xfId="63" applyNumberFormat="1" applyFont="1" applyBorder="1" applyAlignment="1" applyProtection="1">
      <alignment horizontal="left"/>
      <protection/>
    </xf>
    <xf numFmtId="0" fontId="21" fillId="0" borderId="0" xfId="63" applyFont="1" applyAlignment="1">
      <alignment horizontal="right"/>
      <protection/>
    </xf>
    <xf numFmtId="10" fontId="21" fillId="0" borderId="0" xfId="63" applyNumberFormat="1" applyFont="1" applyBorder="1" applyAlignment="1" applyProtection="1">
      <alignment horizontal="right"/>
      <protection/>
    </xf>
    <xf numFmtId="0" fontId="21" fillId="0" borderId="0" xfId="63" applyFont="1" applyBorder="1" applyAlignment="1">
      <alignment horizontal="left"/>
      <protection/>
    </xf>
    <xf numFmtId="174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Border="1" applyAlignment="1">
      <alignment horizontal="centerContinuous"/>
      <protection/>
    </xf>
    <xf numFmtId="174" fontId="3" fillId="0" borderId="0" xfId="63" applyNumberFormat="1" applyFont="1" applyBorder="1" applyAlignment="1">
      <alignment horizontal="centerContinuous"/>
      <protection/>
    </xf>
    <xf numFmtId="1" fontId="48" fillId="0" borderId="0" xfId="63" applyNumberFormat="1" applyFont="1" applyBorder="1" applyAlignment="1" applyProtection="1">
      <alignment horizontal="center"/>
      <protection/>
    </xf>
    <xf numFmtId="0" fontId="21" fillId="0" borderId="0" xfId="63" applyFont="1" applyBorder="1" applyAlignment="1" applyProtection="1">
      <alignment horizontal="center"/>
      <protection/>
    </xf>
    <xf numFmtId="0" fontId="22" fillId="0" borderId="0" xfId="63" applyFont="1" applyBorder="1">
      <alignment/>
      <protection/>
    </xf>
    <xf numFmtId="168" fontId="10" fillId="0" borderId="15" xfId="63" applyNumberFormat="1" applyFont="1" applyBorder="1" applyAlignment="1" applyProtection="1">
      <alignment horizontal="center"/>
      <protection/>
    </xf>
    <xf numFmtId="183" fontId="10" fillId="0" borderId="16" xfId="63" applyNumberFormat="1" applyFont="1" applyBorder="1" applyAlignment="1" applyProtection="1">
      <alignment horizontal="centerContinuous"/>
      <protection/>
    </xf>
    <xf numFmtId="0" fontId="13" fillId="0" borderId="0" xfId="63" applyFont="1" applyBorder="1" applyAlignment="1" applyProtection="1">
      <alignment horizontal="center"/>
      <protection/>
    </xf>
    <xf numFmtId="164" fontId="30" fillId="0" borderId="16" xfId="63" applyNumberFormat="1" applyFont="1" applyBorder="1" applyAlignment="1" applyProtection="1">
      <alignment horizontal="center" vertical="center" wrapText="1"/>
      <protection/>
    </xf>
    <xf numFmtId="0" fontId="30" fillId="0" borderId="21" xfId="63" applyFont="1" applyBorder="1" applyAlignment="1" applyProtection="1">
      <alignment horizontal="center" vertical="center" wrapText="1"/>
      <protection/>
    </xf>
    <xf numFmtId="168" fontId="30" fillId="0" borderId="20" xfId="63" applyNumberFormat="1" applyFont="1" applyBorder="1" applyAlignment="1" applyProtection="1">
      <alignment horizontal="center" vertical="center"/>
      <protection/>
    </xf>
    <xf numFmtId="168" fontId="60" fillId="37" borderId="20" xfId="63" applyNumberFormat="1" applyFont="1" applyFill="1" applyBorder="1" applyAlignment="1" applyProtection="1">
      <alignment horizontal="center" vertical="center"/>
      <protection/>
    </xf>
    <xf numFmtId="0" fontId="61" fillId="34" borderId="20" xfId="63" applyFont="1" applyFill="1" applyBorder="1" applyAlignment="1" applyProtection="1">
      <alignment horizontal="center" vertical="center"/>
      <protection/>
    </xf>
    <xf numFmtId="0" fontId="30" fillId="0" borderId="15" xfId="63" applyFont="1" applyBorder="1" applyAlignment="1" applyProtection="1">
      <alignment horizontal="center" vertical="center"/>
      <protection/>
    </xf>
    <xf numFmtId="0" fontId="61" fillId="42" borderId="20" xfId="63" applyFont="1" applyFill="1" applyBorder="1" applyAlignment="1">
      <alignment horizontal="center" vertical="center" wrapText="1"/>
      <protection/>
    </xf>
    <xf numFmtId="0" fontId="89" fillId="49" borderId="20" xfId="63" applyFont="1" applyFill="1" applyBorder="1" applyAlignment="1">
      <alignment horizontal="center" vertical="center" wrapText="1"/>
      <protection/>
    </xf>
    <xf numFmtId="0" fontId="97" fillId="35" borderId="15" xfId="63" applyFont="1" applyFill="1" applyBorder="1" applyAlignment="1" applyProtection="1">
      <alignment horizontal="centerContinuous" vertical="center" wrapText="1"/>
      <protection/>
    </xf>
    <xf numFmtId="0" fontId="98" fillId="35" borderId="21" xfId="63" applyFont="1" applyFill="1" applyBorder="1" applyAlignment="1">
      <alignment horizontal="centerContinuous"/>
      <protection/>
    </xf>
    <xf numFmtId="0" fontId="97" fillId="35" borderId="16" xfId="63" applyFont="1" applyFill="1" applyBorder="1" applyAlignment="1">
      <alignment horizontal="centerContinuous" vertical="center"/>
      <protection/>
    </xf>
    <xf numFmtId="0" fontId="61" fillId="50" borderId="15" xfId="63" applyFont="1" applyFill="1" applyBorder="1" applyAlignment="1">
      <alignment horizontal="centerContinuous" vertical="center" wrapText="1"/>
      <protection/>
    </xf>
    <xf numFmtId="0" fontId="99" fillId="50" borderId="21" xfId="63" applyFont="1" applyFill="1" applyBorder="1" applyAlignment="1">
      <alignment horizontal="centerContinuous"/>
      <protection/>
    </xf>
    <xf numFmtId="0" fontId="61" fillId="50" borderId="16" xfId="63" applyFont="1" applyFill="1" applyBorder="1" applyAlignment="1">
      <alignment horizontal="centerContinuous" vertical="center"/>
      <protection/>
    </xf>
    <xf numFmtId="0" fontId="61" fillId="39" borderId="20" xfId="63" applyFont="1" applyFill="1" applyBorder="1" applyAlignment="1">
      <alignment horizontal="centerContinuous" vertical="center" wrapText="1"/>
      <protection/>
    </xf>
    <xf numFmtId="0" fontId="61" fillId="51" borderId="20" xfId="63" applyFont="1" applyFill="1" applyBorder="1" applyAlignment="1">
      <alignment horizontal="centerContinuous" vertical="center" wrapText="1"/>
      <protection/>
    </xf>
    <xf numFmtId="0" fontId="30" fillId="0" borderId="16" xfId="63" applyFont="1" applyBorder="1" applyAlignment="1">
      <alignment horizontal="center" vertical="center" wrapText="1"/>
      <protection/>
    </xf>
    <xf numFmtId="0" fontId="30" fillId="0" borderId="20" xfId="63" applyFont="1" applyFill="1" applyBorder="1" applyAlignment="1">
      <alignment horizontal="center" vertical="center" wrapText="1"/>
      <protection/>
    </xf>
    <xf numFmtId="0" fontId="13" fillId="0" borderId="14" xfId="63" applyFont="1" applyFill="1" applyBorder="1" applyAlignment="1">
      <alignment horizontal="center"/>
      <protection/>
    </xf>
    <xf numFmtId="0" fontId="13" fillId="0" borderId="27" xfId="63" applyFont="1" applyBorder="1" applyAlignment="1">
      <alignment horizontal="center"/>
      <protection/>
    </xf>
    <xf numFmtId="0" fontId="21" fillId="0" borderId="27" xfId="63" applyFont="1" applyBorder="1">
      <alignment/>
      <protection/>
    </xf>
    <xf numFmtId="164" fontId="21" fillId="0" borderId="28" xfId="63" applyNumberFormat="1" applyFont="1" applyBorder="1" applyProtection="1">
      <alignment/>
      <protection/>
    </xf>
    <xf numFmtId="164" fontId="21" fillId="0" borderId="27" xfId="63" applyNumberFormat="1" applyFont="1" applyBorder="1" applyAlignment="1" applyProtection="1">
      <alignment horizontal="center"/>
      <protection/>
    </xf>
    <xf numFmtId="164" fontId="21" fillId="0" borderId="22" xfId="63" applyNumberFormat="1" applyFont="1" applyBorder="1" applyAlignment="1" applyProtection="1">
      <alignment horizontal="center"/>
      <protection/>
    </xf>
    <xf numFmtId="164" fontId="100" fillId="37" borderId="22" xfId="63" applyNumberFormat="1" applyFont="1" applyFill="1" applyBorder="1" applyAlignment="1" applyProtection="1">
      <alignment horizontal="center"/>
      <protection/>
    </xf>
    <xf numFmtId="0" fontId="101" fillId="34" borderId="22" xfId="63" applyFont="1" applyFill="1" applyBorder="1" applyAlignment="1">
      <alignment horizontal="center"/>
      <protection/>
    </xf>
    <xf numFmtId="0" fontId="21" fillId="0" borderId="22" xfId="63" applyFont="1" applyBorder="1" applyAlignment="1">
      <alignment horizontal="center"/>
      <protection/>
    </xf>
    <xf numFmtId="0" fontId="21" fillId="0" borderId="66" xfId="63" applyFont="1" applyBorder="1" applyAlignment="1">
      <alignment horizontal="center"/>
      <protection/>
    </xf>
    <xf numFmtId="0" fontId="13" fillId="0" borderId="28" xfId="63" applyFont="1" applyBorder="1" applyAlignment="1">
      <alignment horizontal="center"/>
      <protection/>
    </xf>
    <xf numFmtId="0" fontId="13" fillId="0" borderId="22" xfId="63" applyFont="1" applyBorder="1" applyAlignment="1">
      <alignment horizontal="center"/>
      <protection/>
    </xf>
    <xf numFmtId="0" fontId="63" fillId="42" borderId="22" xfId="63" applyFont="1" applyFill="1" applyBorder="1" applyAlignment="1">
      <alignment horizontal="center"/>
      <protection/>
    </xf>
    <xf numFmtId="0" fontId="90" fillId="49" borderId="22" xfId="63" applyFont="1" applyFill="1" applyBorder="1" applyAlignment="1">
      <alignment horizontal="center"/>
      <protection/>
    </xf>
    <xf numFmtId="168" fontId="102" fillId="35" borderId="23" xfId="63" applyNumberFormat="1" applyFont="1" applyFill="1" applyBorder="1" applyAlignment="1" applyProtection="1" quotePrefix="1">
      <alignment horizontal="center"/>
      <protection/>
    </xf>
    <xf numFmtId="168" fontId="102" fillId="35" borderId="73" xfId="63" applyNumberFormat="1" applyFont="1" applyFill="1" applyBorder="1" applyAlignment="1" applyProtection="1" quotePrefix="1">
      <alignment horizontal="center"/>
      <protection/>
    </xf>
    <xf numFmtId="4" fontId="102" fillId="35" borderId="67" xfId="63" applyNumberFormat="1" applyFont="1" applyFill="1" applyBorder="1" applyAlignment="1" applyProtection="1">
      <alignment horizontal="center"/>
      <protection/>
    </xf>
    <xf numFmtId="168" fontId="63" fillId="50" borderId="23" xfId="63" applyNumberFormat="1" applyFont="1" applyFill="1" applyBorder="1" applyAlignment="1" applyProtection="1" quotePrefix="1">
      <alignment horizontal="center"/>
      <protection/>
    </xf>
    <xf numFmtId="168" fontId="63" fillId="50" borderId="73" xfId="63" applyNumberFormat="1" applyFont="1" applyFill="1" applyBorder="1" applyAlignment="1" applyProtection="1" quotePrefix="1">
      <alignment horizontal="center"/>
      <protection/>
    </xf>
    <xf numFmtId="4" fontId="63" fillId="50" borderId="67" xfId="63" applyNumberFormat="1" applyFont="1" applyFill="1" applyBorder="1" applyAlignment="1" applyProtection="1">
      <alignment horizontal="center"/>
      <protection/>
    </xf>
    <xf numFmtId="4" fontId="63" fillId="39" borderId="22" xfId="63" applyNumberFormat="1" applyFont="1" applyFill="1" applyBorder="1" applyAlignment="1" applyProtection="1">
      <alignment horizontal="center"/>
      <protection/>
    </xf>
    <xf numFmtId="4" fontId="63" fillId="51" borderId="22" xfId="63" applyNumberFormat="1" applyFont="1" applyFill="1" applyBorder="1" applyAlignment="1" applyProtection="1">
      <alignment horizontal="center"/>
      <protection/>
    </xf>
    <xf numFmtId="0" fontId="13" fillId="0" borderId="67" xfId="63" applyFont="1" applyBorder="1" applyAlignment="1">
      <alignment horizontal="left"/>
      <protection/>
    </xf>
    <xf numFmtId="0" fontId="48" fillId="0" borderId="67" xfId="63" applyFont="1" applyBorder="1" applyAlignment="1">
      <alignment horizontal="center"/>
      <protection/>
    </xf>
    <xf numFmtId="165" fontId="13" fillId="0" borderId="27" xfId="63" applyNumberFormat="1" applyFont="1" applyBorder="1" applyAlignment="1" applyProtection="1">
      <alignment horizontal="center"/>
      <protection/>
    </xf>
    <xf numFmtId="164" fontId="13" fillId="0" borderId="27" xfId="63" applyNumberFormat="1" applyFont="1" applyBorder="1" applyAlignment="1" applyProtection="1">
      <alignment horizontal="center"/>
      <protection/>
    </xf>
    <xf numFmtId="0" fontId="100" fillId="37" borderId="27" xfId="63" applyFont="1" applyFill="1" applyBorder="1" applyAlignment="1" applyProtection="1">
      <alignment horizontal="center"/>
      <protection/>
    </xf>
    <xf numFmtId="168" fontId="101" fillId="34" borderId="27" xfId="63" applyNumberFormat="1" applyFont="1" applyFill="1" applyBorder="1" applyAlignment="1" applyProtection="1">
      <alignment horizontal="center"/>
      <protection/>
    </xf>
    <xf numFmtId="22" fontId="13" fillId="0" borderId="27" xfId="63" applyNumberFormat="1" applyFont="1" applyBorder="1" applyAlignment="1">
      <alignment horizontal="center"/>
      <protection/>
    </xf>
    <xf numFmtId="22" fontId="13" fillId="0" borderId="31" xfId="63" applyNumberFormat="1" applyFont="1" applyBorder="1" applyAlignment="1">
      <alignment horizontal="center"/>
      <protection/>
    </xf>
    <xf numFmtId="4" fontId="13" fillId="0" borderId="27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Border="1" applyAlignment="1" applyProtection="1">
      <alignment horizontal="center"/>
      <protection/>
    </xf>
    <xf numFmtId="2" fontId="63" fillId="42" borderId="27" xfId="63" applyNumberFormat="1" applyFont="1" applyFill="1" applyBorder="1" applyAlignment="1" applyProtection="1">
      <alignment horizontal="center"/>
      <protection/>
    </xf>
    <xf numFmtId="2" fontId="90" fillId="49" borderId="27" xfId="63" applyNumberFormat="1" applyFont="1" applyFill="1" applyBorder="1" applyAlignment="1" applyProtection="1">
      <alignment horizontal="center"/>
      <protection/>
    </xf>
    <xf numFmtId="168" fontId="102" fillId="35" borderId="29" xfId="63" applyNumberFormat="1" applyFont="1" applyFill="1" applyBorder="1" applyAlignment="1" applyProtection="1" quotePrefix="1">
      <alignment horizontal="center"/>
      <protection/>
    </xf>
    <xf numFmtId="168" fontId="102" fillId="35" borderId="30" xfId="63" applyNumberFormat="1" applyFont="1" applyFill="1" applyBorder="1" applyAlignment="1" applyProtection="1" quotePrefix="1">
      <alignment horizontal="center"/>
      <protection/>
    </xf>
    <xf numFmtId="4" fontId="102" fillId="35" borderId="28" xfId="63" applyNumberFormat="1" applyFont="1" applyFill="1" applyBorder="1" applyAlignment="1" applyProtection="1">
      <alignment horizontal="center"/>
      <protection/>
    </xf>
    <xf numFmtId="168" fontId="63" fillId="50" borderId="29" xfId="63" applyNumberFormat="1" applyFont="1" applyFill="1" applyBorder="1" applyAlignment="1" applyProtection="1" quotePrefix="1">
      <alignment horizontal="center"/>
      <protection/>
    </xf>
    <xf numFmtId="168" fontId="63" fillId="50" borderId="30" xfId="63" applyNumberFormat="1" applyFont="1" applyFill="1" applyBorder="1" applyAlignment="1" applyProtection="1" quotePrefix="1">
      <alignment horizontal="center"/>
      <protection/>
    </xf>
    <xf numFmtId="4" fontId="63" fillId="50" borderId="28" xfId="63" applyNumberFormat="1" applyFont="1" applyFill="1" applyBorder="1" applyAlignment="1" applyProtection="1">
      <alignment horizontal="center"/>
      <protection/>
    </xf>
    <xf numFmtId="4" fontId="63" fillId="39" borderId="27" xfId="63" applyNumberFormat="1" applyFont="1" applyFill="1" applyBorder="1" applyAlignment="1" applyProtection="1">
      <alignment horizontal="center"/>
      <protection/>
    </xf>
    <xf numFmtId="4" fontId="63" fillId="51" borderId="27" xfId="63" applyNumberFormat="1" applyFont="1" applyFill="1" applyBorder="1" applyAlignment="1" applyProtection="1">
      <alignment horizontal="center"/>
      <protection/>
    </xf>
    <xf numFmtId="4" fontId="13" fillId="0" borderId="28" xfId="63" applyNumberFormat="1" applyFont="1" applyBorder="1" applyAlignment="1" applyProtection="1">
      <alignment horizontal="center"/>
      <protection/>
    </xf>
    <xf numFmtId="4" fontId="48" fillId="0" borderId="28" xfId="63" applyNumberFormat="1" applyFont="1" applyFill="1" applyBorder="1" applyAlignment="1">
      <alignment horizontal="right"/>
      <protection/>
    </xf>
    <xf numFmtId="164" fontId="13" fillId="0" borderId="28" xfId="63" applyNumberFormat="1" applyFont="1" applyBorder="1" applyAlignment="1" applyProtection="1">
      <alignment horizontal="center"/>
      <protection/>
    </xf>
    <xf numFmtId="0" fontId="13" fillId="0" borderId="34" xfId="63" applyFont="1" applyBorder="1" applyAlignment="1">
      <alignment horizontal="center"/>
      <protection/>
    </xf>
    <xf numFmtId="0" fontId="21" fillId="0" borderId="34" xfId="63" applyFont="1" applyBorder="1" applyAlignment="1">
      <alignment horizontal="center"/>
      <protection/>
    </xf>
    <xf numFmtId="164" fontId="103" fillId="0" borderId="34" xfId="63" applyNumberFormat="1" applyFont="1" applyBorder="1" applyAlignment="1" applyProtection="1">
      <alignment horizontal="center"/>
      <protection/>
    </xf>
    <xf numFmtId="0" fontId="21" fillId="0" borderId="34" xfId="63" applyFont="1" applyBorder="1" applyAlignment="1" applyProtection="1">
      <alignment horizontal="center"/>
      <protection/>
    </xf>
    <xf numFmtId="165" fontId="21" fillId="0" borderId="34" xfId="63" applyNumberFormat="1" applyFont="1" applyBorder="1" applyAlignment="1" applyProtection="1">
      <alignment horizontal="center"/>
      <protection/>
    </xf>
    <xf numFmtId="165" fontId="100" fillId="37" borderId="34" xfId="63" applyNumberFormat="1" applyFont="1" applyFill="1" applyBorder="1" applyAlignment="1" applyProtection="1">
      <alignment horizontal="center"/>
      <protection/>
    </xf>
    <xf numFmtId="168" fontId="101" fillId="34" borderId="34" xfId="63" applyNumberFormat="1" applyFont="1" applyFill="1" applyBorder="1" applyAlignment="1" applyProtection="1">
      <alignment horizontal="center"/>
      <protection/>
    </xf>
    <xf numFmtId="168" fontId="21" fillId="0" borderId="34" xfId="63" applyNumberFormat="1" applyFont="1" applyBorder="1" applyAlignment="1" applyProtection="1">
      <alignment horizontal="center"/>
      <protection/>
    </xf>
    <xf numFmtId="168" fontId="13" fillId="0" borderId="34" xfId="63" applyNumberFormat="1" applyFont="1" applyBorder="1" applyAlignment="1" applyProtection="1">
      <alignment horizontal="center"/>
      <protection/>
    </xf>
    <xf numFmtId="173" fontId="13" fillId="0" borderId="34" xfId="63" applyNumberFormat="1" applyFont="1" applyBorder="1" applyAlignment="1" applyProtection="1" quotePrefix="1">
      <alignment horizontal="center"/>
      <protection/>
    </xf>
    <xf numFmtId="2" fontId="63" fillId="42" borderId="34" xfId="63" applyNumberFormat="1" applyFont="1" applyFill="1" applyBorder="1" applyAlignment="1" applyProtection="1">
      <alignment horizontal="center"/>
      <protection/>
    </xf>
    <xf numFmtId="2" fontId="90" fillId="49" borderId="34" xfId="63" applyNumberFormat="1" applyFont="1" applyFill="1" applyBorder="1" applyAlignment="1" applyProtection="1">
      <alignment horizontal="center"/>
      <protection/>
    </xf>
    <xf numFmtId="168" fontId="102" fillId="35" borderId="35" xfId="63" applyNumberFormat="1" applyFont="1" applyFill="1" applyBorder="1" applyAlignment="1" applyProtection="1" quotePrefix="1">
      <alignment horizontal="center"/>
      <protection/>
    </xf>
    <xf numFmtId="168" fontId="102" fillId="35" borderId="74" xfId="63" applyNumberFormat="1" applyFont="1" applyFill="1" applyBorder="1" applyAlignment="1" applyProtection="1" quotePrefix="1">
      <alignment horizontal="center"/>
      <protection/>
    </xf>
    <xf numFmtId="4" fontId="102" fillId="35" borderId="48" xfId="63" applyNumberFormat="1" applyFont="1" applyFill="1" applyBorder="1" applyAlignment="1" applyProtection="1">
      <alignment horizontal="center"/>
      <protection/>
    </xf>
    <xf numFmtId="168" fontId="63" fillId="50" borderId="35" xfId="63" applyNumberFormat="1" applyFont="1" applyFill="1" applyBorder="1" applyAlignment="1" applyProtection="1" quotePrefix="1">
      <alignment horizontal="center"/>
      <protection/>
    </xf>
    <xf numFmtId="168" fontId="63" fillId="50" borderId="74" xfId="63" applyNumberFormat="1" applyFont="1" applyFill="1" applyBorder="1" applyAlignment="1" applyProtection="1" quotePrefix="1">
      <alignment horizontal="center"/>
      <protection/>
    </xf>
    <xf numFmtId="4" fontId="63" fillId="50" borderId="48" xfId="63" applyNumberFormat="1" applyFont="1" applyFill="1" applyBorder="1" applyAlignment="1" applyProtection="1">
      <alignment horizontal="center"/>
      <protection/>
    </xf>
    <xf numFmtId="4" fontId="63" fillId="39" borderId="34" xfId="63" applyNumberFormat="1" applyFont="1" applyFill="1" applyBorder="1" applyAlignment="1" applyProtection="1">
      <alignment horizontal="center"/>
      <protection/>
    </xf>
    <xf numFmtId="4" fontId="63" fillId="51" borderId="34" xfId="63" applyNumberFormat="1" applyFont="1" applyFill="1" applyBorder="1" applyAlignment="1" applyProtection="1">
      <alignment horizontal="center"/>
      <protection/>
    </xf>
    <xf numFmtId="4" fontId="49" fillId="0" borderId="34" xfId="63" applyNumberFormat="1" applyFont="1" applyBorder="1" applyAlignment="1" applyProtection="1">
      <alignment horizontal="center"/>
      <protection/>
    </xf>
    <xf numFmtId="168" fontId="64" fillId="0" borderId="34" xfId="63" applyNumberFormat="1" applyFont="1" applyFill="1" applyBorder="1" applyAlignment="1">
      <alignment horizontal="center"/>
      <protection/>
    </xf>
    <xf numFmtId="4" fontId="13" fillId="0" borderId="14" xfId="63" applyNumberFormat="1" applyFont="1" applyFill="1" applyBorder="1" applyAlignment="1">
      <alignment horizontal="center"/>
      <protection/>
    </xf>
    <xf numFmtId="164" fontId="103" fillId="0" borderId="0" xfId="63" applyNumberFormat="1" applyFont="1" applyBorder="1" applyAlignment="1" applyProtection="1">
      <alignment horizontal="center"/>
      <protection/>
    </xf>
    <xf numFmtId="165" fontId="21" fillId="0" borderId="0" xfId="63" applyNumberFormat="1" applyFont="1" applyBorder="1" applyAlignment="1" applyProtection="1">
      <alignment horizontal="center"/>
      <protection/>
    </xf>
    <xf numFmtId="168" fontId="21" fillId="0" borderId="0" xfId="63" applyNumberFormat="1" applyFont="1" applyBorder="1" applyAlignment="1" applyProtection="1">
      <alignment horizontal="center"/>
      <protection/>
    </xf>
    <xf numFmtId="173" fontId="21" fillId="0" borderId="0" xfId="63" applyNumberFormat="1" applyFont="1" applyBorder="1" applyAlignment="1" applyProtection="1" quotePrefix="1">
      <alignment horizontal="center"/>
      <protection/>
    </xf>
    <xf numFmtId="2" fontId="101" fillId="42" borderId="20" xfId="63" applyNumberFormat="1" applyFont="1" applyFill="1" applyBorder="1" applyAlignment="1" applyProtection="1">
      <alignment horizontal="center"/>
      <protection/>
    </xf>
    <xf numFmtId="2" fontId="75" fillId="49" borderId="20" xfId="63" applyNumberFormat="1" applyFont="1" applyFill="1" applyBorder="1" applyAlignment="1" applyProtection="1">
      <alignment horizontal="center"/>
      <protection/>
    </xf>
    <xf numFmtId="2" fontId="104" fillId="35" borderId="20" xfId="63" applyNumberFormat="1" applyFont="1" applyFill="1" applyBorder="1" applyAlignment="1" applyProtection="1">
      <alignment horizontal="center"/>
      <protection/>
    </xf>
    <xf numFmtId="2" fontId="101" fillId="50" borderId="20" xfId="63" applyNumberFormat="1" applyFont="1" applyFill="1" applyBorder="1" applyAlignment="1" applyProtection="1">
      <alignment horizontal="center"/>
      <protection/>
    </xf>
    <xf numFmtId="2" fontId="101" fillId="39" borderId="20" xfId="63" applyNumberFormat="1" applyFont="1" applyFill="1" applyBorder="1" applyAlignment="1" applyProtection="1">
      <alignment horizontal="center"/>
      <protection/>
    </xf>
    <xf numFmtId="2" fontId="101" fillId="51" borderId="20" xfId="63" applyNumberFormat="1" applyFont="1" applyFill="1" applyBorder="1" applyAlignment="1" applyProtection="1">
      <alignment horizontal="center"/>
      <protection/>
    </xf>
    <xf numFmtId="2" fontId="21" fillId="0" borderId="42" xfId="63" applyNumberFormat="1" applyFont="1" applyBorder="1" applyAlignment="1" applyProtection="1">
      <alignment horizontal="center"/>
      <protection/>
    </xf>
    <xf numFmtId="7" fontId="48" fillId="0" borderId="20" xfId="63" applyNumberFormat="1" applyFont="1" applyBorder="1" applyAlignment="1" applyProtection="1">
      <alignment horizontal="right"/>
      <protection/>
    </xf>
    <xf numFmtId="0" fontId="48" fillId="0" borderId="0" xfId="63" applyFont="1" applyBorder="1" applyAlignment="1">
      <alignment horizontal="left"/>
      <protection/>
    </xf>
    <xf numFmtId="0" fontId="48" fillId="0" borderId="0" xfId="63" applyFont="1" applyBorder="1" applyAlignment="1">
      <alignment horizontal="center"/>
      <protection/>
    </xf>
    <xf numFmtId="165" fontId="48" fillId="0" borderId="0" xfId="63" applyNumberFormat="1" applyFont="1" applyBorder="1" applyAlignment="1" applyProtection="1">
      <alignment horizontal="center"/>
      <protection/>
    </xf>
    <xf numFmtId="0" fontId="30" fillId="0" borderId="0" xfId="63" applyFont="1">
      <alignment/>
      <protection/>
    </xf>
    <xf numFmtId="168" fontId="48" fillId="0" borderId="0" xfId="63" applyNumberFormat="1" applyFont="1" applyBorder="1" applyAlignment="1" applyProtection="1">
      <alignment horizontal="center"/>
      <protection/>
    </xf>
    <xf numFmtId="2" fontId="101" fillId="0" borderId="21" xfId="63" applyNumberFormat="1" applyFont="1" applyFill="1" applyBorder="1" applyAlignment="1" applyProtection="1">
      <alignment horizontal="center"/>
      <protection/>
    </xf>
    <xf numFmtId="2" fontId="75" fillId="0" borderId="21" xfId="63" applyNumberFormat="1" applyFont="1" applyFill="1" applyBorder="1" applyAlignment="1" applyProtection="1">
      <alignment horizontal="center"/>
      <protection/>
    </xf>
    <xf numFmtId="2" fontId="104" fillId="0" borderId="21" xfId="63" applyNumberFormat="1" applyFont="1" applyFill="1" applyBorder="1" applyAlignment="1" applyProtection="1">
      <alignment horizontal="center"/>
      <protection/>
    </xf>
    <xf numFmtId="2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Border="1" applyAlignment="1" applyProtection="1">
      <alignment horizontal="center"/>
      <protection/>
    </xf>
    <xf numFmtId="0" fontId="13" fillId="0" borderId="13" xfId="63" applyFont="1" applyFill="1" applyBorder="1">
      <alignment/>
      <protection/>
    </xf>
    <xf numFmtId="0" fontId="30" fillId="0" borderId="20" xfId="63" applyFont="1" applyFill="1" applyBorder="1" applyAlignment="1" applyProtection="1">
      <alignment horizontal="center" vertical="center" wrapText="1"/>
      <protection/>
    </xf>
    <xf numFmtId="0" fontId="30" fillId="0" borderId="20" xfId="63" applyFont="1" applyFill="1" applyBorder="1" applyAlignment="1" applyProtection="1">
      <alignment horizontal="center" vertical="center"/>
      <protection/>
    </xf>
    <xf numFmtId="0" fontId="60" fillId="52" borderId="20" xfId="63" applyFont="1" applyFill="1" applyBorder="1" applyAlignment="1" applyProtection="1">
      <alignment horizontal="center" vertical="center"/>
      <protection/>
    </xf>
    <xf numFmtId="0" fontId="61" fillId="53" borderId="20" xfId="63" applyFont="1" applyFill="1" applyBorder="1" applyAlignment="1">
      <alignment horizontal="center" vertical="center" wrapText="1"/>
      <protection/>
    </xf>
    <xf numFmtId="0" fontId="61" fillId="48" borderId="15" xfId="63" applyFont="1" applyFill="1" applyBorder="1" applyAlignment="1" applyProtection="1">
      <alignment horizontal="centerContinuous" vertical="center" wrapText="1"/>
      <protection/>
    </xf>
    <xf numFmtId="0" fontId="61" fillId="48" borderId="16" xfId="63" applyFont="1" applyFill="1" applyBorder="1" applyAlignment="1">
      <alignment horizontal="centerContinuous" vertical="center"/>
      <protection/>
    </xf>
    <xf numFmtId="0" fontId="61" fillId="35" borderId="20" xfId="63" applyFont="1" applyFill="1" applyBorder="1" applyAlignment="1">
      <alignment horizontal="centerContinuous" vertical="center" wrapText="1"/>
      <protection/>
    </xf>
    <xf numFmtId="0" fontId="61" fillId="54" borderId="20" xfId="63" applyFont="1" applyFill="1" applyBorder="1" applyAlignment="1">
      <alignment vertical="center" wrapText="1"/>
      <protection/>
    </xf>
    <xf numFmtId="0" fontId="61" fillId="52" borderId="39" xfId="63" applyFont="1" applyFill="1" applyBorder="1" applyAlignment="1">
      <alignment vertical="center" wrapText="1"/>
      <protection/>
    </xf>
    <xf numFmtId="0" fontId="61" fillId="52" borderId="42" xfId="63" applyFont="1" applyFill="1" applyBorder="1" applyAlignment="1">
      <alignment vertical="center" wrapText="1"/>
      <protection/>
    </xf>
    <xf numFmtId="0" fontId="13" fillId="0" borderId="27" xfId="63" applyFont="1" applyFill="1" applyBorder="1" applyAlignment="1">
      <alignment horizontal="center"/>
      <protection/>
    </xf>
    <xf numFmtId="0" fontId="105" fillId="52" borderId="27" xfId="63" applyFont="1" applyFill="1" applyBorder="1" applyAlignment="1">
      <alignment horizontal="center"/>
      <protection/>
    </xf>
    <xf numFmtId="0" fontId="13" fillId="0" borderId="28" xfId="63" applyFont="1" applyFill="1" applyBorder="1" applyAlignment="1">
      <alignment horizontal="center"/>
      <protection/>
    </xf>
    <xf numFmtId="0" fontId="29" fillId="52" borderId="0" xfId="63" applyFont="1" applyFill="1" applyBorder="1" applyAlignment="1">
      <alignment horizontal="left"/>
      <protection/>
    </xf>
    <xf numFmtId="0" fontId="29" fillId="52" borderId="55" xfId="63" applyFont="1" applyFill="1" applyBorder="1" applyAlignment="1">
      <alignment horizontal="left"/>
      <protection/>
    </xf>
    <xf numFmtId="0" fontId="48" fillId="0" borderId="28" xfId="63" applyFont="1" applyFill="1" applyBorder="1" applyAlignment="1">
      <alignment horizontal="center"/>
      <protection/>
    </xf>
    <xf numFmtId="0" fontId="13" fillId="0" borderId="26" xfId="63" applyFont="1" applyBorder="1" applyAlignment="1" applyProtection="1">
      <alignment horizontal="center"/>
      <protection/>
    </xf>
    <xf numFmtId="0" fontId="13" fillId="0" borderId="31" xfId="63" applyFont="1" applyBorder="1" applyAlignment="1" applyProtection="1">
      <alignment horizontal="center"/>
      <protection/>
    </xf>
    <xf numFmtId="168" fontId="105" fillId="37" borderId="27" xfId="63" applyNumberFormat="1" applyFont="1" applyFill="1" applyBorder="1" applyAlignment="1" applyProtection="1">
      <alignment horizontal="center"/>
      <protection/>
    </xf>
    <xf numFmtId="168" fontId="105" fillId="52" borderId="27" xfId="63" applyNumberFormat="1" applyFont="1" applyFill="1" applyBorder="1" applyAlignment="1" applyProtection="1">
      <alignment horizontal="center"/>
      <protection/>
    </xf>
    <xf numFmtId="4" fontId="13" fillId="0" borderId="27" xfId="63" applyNumberFormat="1" applyFont="1" applyFill="1" applyBorder="1" applyAlignment="1" applyProtection="1">
      <alignment horizontal="center"/>
      <protection/>
    </xf>
    <xf numFmtId="3" fontId="13" fillId="0" borderId="27" xfId="63" applyNumberFormat="1" applyFont="1" applyFill="1" applyBorder="1" applyAlignment="1" applyProtection="1">
      <alignment horizontal="center"/>
      <protection/>
    </xf>
    <xf numFmtId="168" fontId="13" fillId="0" borderId="27" xfId="63" applyNumberFormat="1" applyFont="1" applyFill="1" applyBorder="1" applyAlignment="1" applyProtection="1">
      <alignment horizontal="center"/>
      <protection/>
    </xf>
    <xf numFmtId="168" fontId="13" fillId="0" borderId="27" xfId="63" applyNumberFormat="1" applyFont="1" applyBorder="1" applyAlignment="1" applyProtection="1" quotePrefix="1">
      <alignment horizontal="center"/>
      <protection/>
    </xf>
    <xf numFmtId="164" fontId="62" fillId="37" borderId="56" xfId="63" applyNumberFormat="1" applyFont="1" applyFill="1" applyBorder="1" applyAlignment="1" applyProtection="1">
      <alignment horizontal="center"/>
      <protection locked="0"/>
    </xf>
    <xf numFmtId="2" fontId="63" fillId="53" borderId="27" xfId="63" applyNumberFormat="1" applyFont="1" applyFill="1" applyBorder="1" applyAlignment="1">
      <alignment horizontal="center"/>
      <protection/>
    </xf>
    <xf numFmtId="168" fontId="63" fillId="48" borderId="46" xfId="63" applyNumberFormat="1" applyFont="1" applyFill="1" applyBorder="1" applyAlignment="1" applyProtection="1" quotePrefix="1">
      <alignment horizontal="center"/>
      <protection/>
    </xf>
    <xf numFmtId="168" fontId="63" fillId="48" borderId="47" xfId="63" applyNumberFormat="1" applyFont="1" applyFill="1" applyBorder="1" applyAlignment="1" applyProtection="1" quotePrefix="1">
      <alignment horizontal="center"/>
      <protection/>
    </xf>
    <xf numFmtId="168" fontId="63" fillId="35" borderId="27" xfId="63" applyNumberFormat="1" applyFont="1" applyFill="1" applyBorder="1" applyAlignment="1" applyProtection="1" quotePrefix="1">
      <alignment horizontal="center"/>
      <protection/>
    </xf>
    <xf numFmtId="2" fontId="63" fillId="54" borderId="27" xfId="63" applyNumberFormat="1" applyFont="1" applyFill="1" applyBorder="1" applyAlignment="1">
      <alignment horizontal="center"/>
      <protection/>
    </xf>
    <xf numFmtId="168" fontId="63" fillId="52" borderId="0" xfId="63" applyNumberFormat="1" applyFont="1" applyFill="1" applyBorder="1" applyAlignment="1" applyProtection="1" quotePrefix="1">
      <alignment horizontal="center"/>
      <protection/>
    </xf>
    <xf numFmtId="168" fontId="63" fillId="52" borderId="55" xfId="63" applyNumberFormat="1" applyFont="1" applyFill="1" applyBorder="1" applyAlignment="1" applyProtection="1" quotePrefix="1">
      <alignment horizontal="center"/>
      <protection/>
    </xf>
    <xf numFmtId="168" fontId="13" fillId="0" borderId="28" xfId="63" applyNumberFormat="1" applyFont="1" applyFill="1" applyBorder="1" applyAlignment="1">
      <alignment horizontal="center"/>
      <protection/>
    </xf>
    <xf numFmtId="4" fontId="76" fillId="0" borderId="28" xfId="63" applyNumberFormat="1" applyFont="1" applyFill="1" applyBorder="1" applyAlignment="1">
      <alignment horizontal="right"/>
      <protection/>
    </xf>
    <xf numFmtId="22" fontId="13" fillId="0" borderId="27" xfId="63" applyNumberFormat="1" applyFont="1" applyFill="1" applyBorder="1" applyAlignment="1">
      <alignment horizontal="center"/>
      <protection/>
    </xf>
    <xf numFmtId="22" fontId="13" fillId="0" borderId="27" xfId="63" applyNumberFormat="1" applyFont="1" applyFill="1" applyBorder="1" applyAlignment="1" applyProtection="1">
      <alignment horizontal="center"/>
      <protection/>
    </xf>
    <xf numFmtId="0" fontId="13" fillId="0" borderId="34" xfId="63" applyFont="1" applyFill="1" applyBorder="1" applyAlignment="1">
      <alignment horizontal="center"/>
      <protection/>
    </xf>
    <xf numFmtId="0" fontId="13" fillId="0" borderId="33" xfId="63" applyFont="1" applyBorder="1" applyAlignment="1" applyProtection="1">
      <alignment horizontal="center"/>
      <protection/>
    </xf>
    <xf numFmtId="0" fontId="13" fillId="0" borderId="69" xfId="63" applyFont="1" applyBorder="1" applyAlignment="1" applyProtection="1">
      <alignment horizontal="center"/>
      <protection/>
    </xf>
    <xf numFmtId="168" fontId="105" fillId="52" borderId="34" xfId="63" applyNumberFormat="1" applyFont="1" applyFill="1" applyBorder="1" applyAlignment="1" applyProtection="1">
      <alignment horizontal="center"/>
      <protection/>
    </xf>
    <xf numFmtId="22" fontId="13" fillId="0" borderId="34" xfId="63" applyNumberFormat="1" applyFont="1" applyFill="1" applyBorder="1" applyAlignment="1">
      <alignment horizontal="center"/>
      <protection/>
    </xf>
    <xf numFmtId="22" fontId="13" fillId="0" borderId="34" xfId="63" applyNumberFormat="1" applyFont="1" applyFill="1" applyBorder="1" applyAlignment="1" applyProtection="1">
      <alignment horizontal="center"/>
      <protection/>
    </xf>
    <xf numFmtId="4" fontId="13" fillId="0" borderId="34" xfId="63" applyNumberFormat="1" applyFont="1" applyFill="1" applyBorder="1" applyAlignment="1" applyProtection="1">
      <alignment horizontal="center"/>
      <protection/>
    </xf>
    <xf numFmtId="3" fontId="13" fillId="0" borderId="34" xfId="63" applyNumberFormat="1" applyFont="1" applyFill="1" applyBorder="1" applyAlignment="1" applyProtection="1">
      <alignment horizontal="center"/>
      <protection/>
    </xf>
    <xf numFmtId="168" fontId="13" fillId="0" borderId="34" xfId="63" applyNumberFormat="1" applyFont="1" applyFill="1" applyBorder="1" applyAlignment="1" applyProtection="1">
      <alignment horizontal="center"/>
      <protection/>
    </xf>
    <xf numFmtId="168" fontId="29" fillId="52" borderId="63" xfId="63" applyNumberFormat="1" applyFont="1" applyFill="1" applyBorder="1" applyAlignment="1" applyProtection="1" quotePrefix="1">
      <alignment horizontal="center"/>
      <protection/>
    </xf>
    <xf numFmtId="168" fontId="29" fillId="52" borderId="48" xfId="63" applyNumberFormat="1" applyFont="1" applyFill="1" applyBorder="1" applyAlignment="1" applyProtection="1" quotePrefix="1">
      <alignment horizontal="center"/>
      <protection/>
    </xf>
    <xf numFmtId="168" fontId="13" fillId="0" borderId="48" xfId="63" applyNumberFormat="1" applyFont="1" applyFill="1" applyBorder="1" applyAlignment="1">
      <alignment horizontal="center"/>
      <protection/>
    </xf>
    <xf numFmtId="4" fontId="76" fillId="0" borderId="48" xfId="63" applyNumberFormat="1" applyFont="1" applyFill="1" applyBorder="1" applyAlignment="1">
      <alignment horizontal="right"/>
      <protection/>
    </xf>
    <xf numFmtId="0" fontId="13" fillId="0" borderId="0" xfId="63" applyFont="1" applyFill="1" applyBorder="1" applyAlignment="1">
      <alignment horizontal="center"/>
      <protection/>
    </xf>
    <xf numFmtId="164" fontId="13" fillId="0" borderId="0" xfId="63" applyNumberFormat="1" applyFont="1" applyBorder="1" applyAlignment="1" applyProtection="1">
      <alignment horizontal="center"/>
      <protection/>
    </xf>
    <xf numFmtId="1" fontId="13" fillId="0" borderId="0" xfId="63" applyNumberFormat="1" applyFont="1" applyBorder="1" applyAlignment="1" applyProtection="1" quotePrefix="1">
      <alignment horizontal="center"/>
      <protection/>
    </xf>
    <xf numFmtId="168" fontId="13" fillId="0" borderId="0" xfId="63" applyNumberFormat="1" applyFont="1" applyFill="1" applyBorder="1" applyAlignment="1" applyProtection="1">
      <alignment horizontal="center"/>
      <protection/>
    </xf>
    <xf numFmtId="22" fontId="13" fillId="0" borderId="0" xfId="63" applyNumberFormat="1" applyFont="1" applyFill="1" applyBorder="1" applyAlignment="1">
      <alignment horizontal="center"/>
      <protection/>
    </xf>
    <xf numFmtId="22" fontId="13" fillId="0" borderId="0" xfId="63" applyNumberFormat="1" applyFont="1" applyFill="1" applyBorder="1" applyAlignment="1" applyProtection="1">
      <alignment horizontal="center"/>
      <protection/>
    </xf>
    <xf numFmtId="4" fontId="13" fillId="0" borderId="0" xfId="63" applyNumberFormat="1" applyFont="1" applyFill="1" applyBorder="1" applyAlignment="1" applyProtection="1">
      <alignment horizontal="center"/>
      <protection/>
    </xf>
    <xf numFmtId="3" fontId="13" fillId="0" borderId="0" xfId="63" applyNumberFormat="1" applyFont="1" applyFill="1" applyBorder="1" applyAlignment="1" applyProtection="1">
      <alignment horizontal="center"/>
      <protection/>
    </xf>
    <xf numFmtId="168" fontId="13" fillId="0" borderId="0" xfId="63" applyNumberFormat="1" applyFont="1" applyBorder="1" applyAlignment="1" applyProtection="1" quotePrefix="1">
      <alignment horizontal="center"/>
      <protection/>
    </xf>
    <xf numFmtId="168" fontId="13" fillId="0" borderId="0" xfId="63" applyNumberFormat="1" applyFont="1" applyBorder="1" applyAlignment="1" applyProtection="1">
      <alignment horizontal="center"/>
      <protection/>
    </xf>
    <xf numFmtId="164" fontId="13" fillId="0" borderId="0" xfId="63" applyNumberFormat="1" applyFont="1" applyFill="1" applyBorder="1" applyAlignment="1" applyProtection="1">
      <alignment horizontal="center"/>
      <protection/>
    </xf>
    <xf numFmtId="2" fontId="59" fillId="0" borderId="39" xfId="63" applyNumberFormat="1" applyFont="1" applyFill="1" applyBorder="1" applyAlignment="1">
      <alignment horizontal="center"/>
      <protection/>
    </xf>
    <xf numFmtId="168" fontId="49" fillId="0" borderId="39" xfId="63" applyNumberFormat="1" applyFont="1" applyFill="1" applyBorder="1" applyAlignment="1" applyProtection="1" quotePrefix="1">
      <alignment horizontal="center"/>
      <protection/>
    </xf>
    <xf numFmtId="168" fontId="13" fillId="0" borderId="39" xfId="63" applyNumberFormat="1" applyFont="1" applyFill="1" applyBorder="1" applyAlignment="1">
      <alignment horizontal="center"/>
      <protection/>
    </xf>
    <xf numFmtId="4" fontId="76" fillId="0" borderId="20" xfId="63" applyNumberFormat="1" applyFont="1" applyFill="1" applyBorder="1" applyAlignment="1">
      <alignment horizontal="right"/>
      <protection/>
    </xf>
    <xf numFmtId="168" fontId="29" fillId="52" borderId="0" xfId="63" applyNumberFormat="1" applyFont="1" applyFill="1" applyBorder="1" applyAlignment="1" applyProtection="1" quotePrefix="1">
      <alignment horizontal="center"/>
      <protection/>
    </xf>
    <xf numFmtId="0" fontId="30" fillId="0" borderId="16" xfId="63" applyFont="1" applyBorder="1" applyAlignment="1" applyProtection="1">
      <alignment horizontal="center" vertical="center"/>
      <protection/>
    </xf>
    <xf numFmtId="0" fontId="60" fillId="37" borderId="16" xfId="63" applyFont="1" applyFill="1" applyBorder="1" applyAlignment="1" applyProtection="1">
      <alignment horizontal="center" vertical="center"/>
      <protection/>
    </xf>
    <xf numFmtId="0" fontId="89" fillId="39" borderId="20" xfId="63" applyFont="1" applyFill="1" applyBorder="1" applyAlignment="1">
      <alignment horizontal="center" vertical="center" wrapText="1"/>
      <protection/>
    </xf>
    <xf numFmtId="0" fontId="34" fillId="47" borderId="15" xfId="63" applyFont="1" applyFill="1" applyBorder="1" applyAlignment="1" applyProtection="1">
      <alignment horizontal="centerContinuous" vertical="center" wrapText="1"/>
      <protection/>
    </xf>
    <xf numFmtId="0" fontId="34" fillId="47" borderId="16" xfId="63" applyFont="1" applyFill="1" applyBorder="1" applyAlignment="1">
      <alignment horizontal="centerContinuous" vertical="center"/>
      <protection/>
    </xf>
    <xf numFmtId="0" fontId="67" fillId="43" borderId="15" xfId="63" applyFont="1" applyFill="1" applyBorder="1" applyAlignment="1" applyProtection="1">
      <alignment horizontal="centerContinuous" vertical="center" wrapText="1"/>
      <protection/>
    </xf>
    <xf numFmtId="0" fontId="67" fillId="43" borderId="16" xfId="63" applyFont="1" applyFill="1" applyBorder="1" applyAlignment="1">
      <alignment horizontal="centerContinuous" vertical="center"/>
      <protection/>
    </xf>
    <xf numFmtId="0" fontId="37" fillId="36" borderId="20" xfId="63" applyFont="1" applyFill="1" applyBorder="1" applyAlignment="1">
      <alignment horizontal="center" vertical="center" wrapText="1"/>
      <protection/>
    </xf>
    <xf numFmtId="0" fontId="13" fillId="0" borderId="61" xfId="63" applyFont="1" applyBorder="1" applyAlignment="1" applyProtection="1">
      <alignment horizontal="center"/>
      <protection/>
    </xf>
    <xf numFmtId="0" fontId="66" fillId="36" borderId="20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/>
      <protection/>
    </xf>
    <xf numFmtId="0" fontId="13" fillId="0" borderId="67" xfId="63" applyFont="1" applyFill="1" applyBorder="1" applyAlignment="1">
      <alignment/>
      <protection/>
    </xf>
    <xf numFmtId="0" fontId="13" fillId="0" borderId="75" xfId="63" applyFont="1" applyFill="1" applyBorder="1" applyAlignment="1">
      <alignment/>
      <protection/>
    </xf>
    <xf numFmtId="0" fontId="13" fillId="0" borderId="56" xfId="63" applyFont="1" applyBorder="1" applyAlignment="1" applyProtection="1">
      <alignment horizontal="center"/>
      <protection locked="0"/>
    </xf>
    <xf numFmtId="0" fontId="13" fillId="0" borderId="32" xfId="63" applyFont="1" applyBorder="1" applyAlignment="1" applyProtection="1">
      <alignment horizontal="center"/>
      <protection locked="0"/>
    </xf>
    <xf numFmtId="164" fontId="62" fillId="37" borderId="56" xfId="63" applyNumberFormat="1" applyFont="1" applyFill="1" applyBorder="1" applyAlignment="1" applyProtection="1">
      <alignment horizontal="center"/>
      <protection/>
    </xf>
    <xf numFmtId="2" fontId="90" fillId="39" borderId="27" xfId="63" applyNumberFormat="1" applyFont="1" applyFill="1" applyBorder="1" applyAlignment="1" applyProtection="1">
      <alignment horizontal="center"/>
      <protection/>
    </xf>
    <xf numFmtId="168" fontId="50" fillId="47" borderId="46" xfId="63" applyNumberFormat="1" applyFont="1" applyFill="1" applyBorder="1" applyAlignment="1" applyProtection="1" quotePrefix="1">
      <alignment horizontal="center"/>
      <protection/>
    </xf>
    <xf numFmtId="168" fontId="50" fillId="47" borderId="47" xfId="63" applyNumberFormat="1" applyFont="1" applyFill="1" applyBorder="1" applyAlignment="1" applyProtection="1" quotePrefix="1">
      <alignment horizontal="center"/>
      <protection/>
    </xf>
    <xf numFmtId="168" fontId="71" fillId="43" borderId="46" xfId="63" applyNumberFormat="1" applyFont="1" applyFill="1" applyBorder="1" applyAlignment="1" applyProtection="1" quotePrefix="1">
      <alignment horizontal="center"/>
      <protection/>
    </xf>
    <xf numFmtId="168" fontId="71" fillId="43" borderId="47" xfId="63" applyNumberFormat="1" applyFont="1" applyFill="1" applyBorder="1" applyAlignment="1" applyProtection="1" quotePrefix="1">
      <alignment horizontal="center"/>
      <protection/>
    </xf>
    <xf numFmtId="168" fontId="53" fillId="36" borderId="26" xfId="63" applyNumberFormat="1" applyFont="1" applyFill="1" applyBorder="1" applyAlignment="1" applyProtection="1" quotePrefix="1">
      <alignment horizontal="center"/>
      <protection/>
    </xf>
    <xf numFmtId="2" fontId="70" fillId="36" borderId="27" xfId="63" applyNumberFormat="1" applyFont="1" applyFill="1" applyBorder="1" applyAlignment="1" applyProtection="1">
      <alignment horizontal="center"/>
      <protection/>
    </xf>
    <xf numFmtId="4" fontId="21" fillId="0" borderId="14" xfId="63" applyNumberFormat="1" applyFont="1" applyFill="1" applyBorder="1" applyAlignment="1">
      <alignment horizontal="center"/>
      <protection/>
    </xf>
    <xf numFmtId="168" fontId="13" fillId="0" borderId="33" xfId="63" applyNumberFormat="1" applyFont="1" applyFill="1" applyBorder="1" applyAlignment="1" applyProtection="1">
      <alignment/>
      <protection/>
    </xf>
    <xf numFmtId="168" fontId="13" fillId="0" borderId="69" xfId="63" applyNumberFormat="1" applyFont="1" applyFill="1" applyBorder="1" applyAlignment="1" applyProtection="1">
      <alignment/>
      <protection/>
    </xf>
    <xf numFmtId="168" fontId="13" fillId="0" borderId="70" xfId="63" applyNumberFormat="1" applyFont="1" applyFill="1" applyBorder="1" applyAlignment="1" applyProtection="1">
      <alignment/>
      <protection/>
    </xf>
    <xf numFmtId="2" fontId="59" fillId="0" borderId="0" xfId="63" applyNumberFormat="1" applyFont="1" applyFill="1" applyBorder="1" applyAlignment="1">
      <alignment horizontal="center"/>
      <protection/>
    </xf>
    <xf numFmtId="168" fontId="13" fillId="0" borderId="0" xfId="63" applyNumberFormat="1" applyFont="1" applyFill="1" applyBorder="1" applyAlignment="1">
      <alignment horizontal="center"/>
      <protection/>
    </xf>
    <xf numFmtId="168" fontId="13" fillId="0" borderId="0" xfId="63" applyNumberFormat="1" applyFont="1" applyBorder="1" applyAlignment="1" applyProtection="1" quotePrefix="1">
      <alignment horizontal="centerContinuous"/>
      <protection/>
    </xf>
    <xf numFmtId="168" fontId="13" fillId="0" borderId="0" xfId="63" applyNumberFormat="1" applyFont="1" applyBorder="1" applyAlignment="1" applyProtection="1">
      <alignment horizontal="centerContinuous"/>
      <protection/>
    </xf>
    <xf numFmtId="168" fontId="49" fillId="0" borderId="0" xfId="63" applyNumberFormat="1" applyFont="1" applyFill="1" applyBorder="1" applyAlignment="1" applyProtection="1" quotePrefix="1">
      <alignment horizontal="center"/>
      <protection/>
    </xf>
    <xf numFmtId="4" fontId="76" fillId="0" borderId="0" xfId="63" applyNumberFormat="1" applyFont="1" applyFill="1" applyBorder="1" applyAlignment="1">
      <alignment horizontal="right"/>
      <protection/>
    </xf>
    <xf numFmtId="2" fontId="106" fillId="0" borderId="0" xfId="63" applyNumberFormat="1" applyFont="1" applyBorder="1" applyAlignment="1" applyProtection="1">
      <alignment horizontal="left"/>
      <protection/>
    </xf>
    <xf numFmtId="168" fontId="106" fillId="0" borderId="0" xfId="63" applyNumberFormat="1" applyFont="1" applyBorder="1" applyAlignment="1" applyProtection="1">
      <alignment horizontal="center"/>
      <protection/>
    </xf>
    <xf numFmtId="0" fontId="106" fillId="0" borderId="0" xfId="63" applyFont="1" applyBorder="1" applyAlignment="1" applyProtection="1">
      <alignment horizontal="center"/>
      <protection/>
    </xf>
    <xf numFmtId="165" fontId="106" fillId="0" borderId="0" xfId="63" applyNumberFormat="1" applyFont="1" applyBorder="1" applyAlignment="1" applyProtection="1">
      <alignment horizontal="center"/>
      <protection/>
    </xf>
    <xf numFmtId="0" fontId="107" fillId="0" borderId="0" xfId="63" applyFont="1">
      <alignment/>
      <protection/>
    </xf>
    <xf numFmtId="173" fontId="106" fillId="0" borderId="0" xfId="63" applyNumberFormat="1" applyFont="1" applyBorder="1" applyAlignment="1" applyProtection="1" quotePrefix="1">
      <alignment horizontal="center"/>
      <protection/>
    </xf>
    <xf numFmtId="0" fontId="106" fillId="0" borderId="0" xfId="63" applyFont="1">
      <alignment/>
      <protection/>
    </xf>
    <xf numFmtId="2" fontId="106" fillId="0" borderId="0" xfId="63" applyNumberFormat="1" applyFont="1" applyBorder="1" applyAlignment="1" applyProtection="1">
      <alignment horizontal="center"/>
      <protection/>
    </xf>
    <xf numFmtId="168" fontId="106" fillId="0" borderId="0" xfId="63" applyNumberFormat="1" applyFont="1" applyBorder="1" applyAlignment="1" applyProtection="1" quotePrefix="1">
      <alignment horizontal="center"/>
      <protection/>
    </xf>
    <xf numFmtId="0" fontId="4" fillId="0" borderId="0" xfId="63" applyFont="1" applyBorder="1" applyAlignment="1">
      <alignment horizontal="center"/>
      <protection/>
    </xf>
    <xf numFmtId="2" fontId="108" fillId="0" borderId="0" xfId="63" applyNumberFormat="1" applyFont="1" applyBorder="1" applyAlignment="1" applyProtection="1">
      <alignment horizontal="left"/>
      <protection/>
    </xf>
    <xf numFmtId="0" fontId="21" fillId="0" borderId="0" xfId="63" applyFont="1" applyAlignment="1">
      <alignment horizontal="center"/>
      <protection/>
    </xf>
    <xf numFmtId="173" fontId="4" fillId="0" borderId="0" xfId="63" applyNumberFormat="1" applyFont="1" applyBorder="1" applyAlignment="1" applyProtection="1">
      <alignment horizontal="left"/>
      <protection/>
    </xf>
    <xf numFmtId="168" fontId="4" fillId="0" borderId="0" xfId="63" applyNumberFormat="1" applyFont="1" applyBorder="1" applyAlignment="1" applyProtection="1">
      <alignment horizontal="left"/>
      <protection/>
    </xf>
    <xf numFmtId="2" fontId="109" fillId="0" borderId="0" xfId="63" applyNumberFormat="1" applyFont="1" applyBorder="1" applyAlignment="1" applyProtection="1">
      <alignment horizontal="center"/>
      <protection/>
    </xf>
    <xf numFmtId="168" fontId="103" fillId="0" borderId="0" xfId="63" applyNumberFormat="1" applyFont="1" applyBorder="1" applyAlignment="1" applyProtection="1" quotePrefix="1">
      <alignment horizontal="center"/>
      <protection/>
    </xf>
    <xf numFmtId="4" fontId="103" fillId="0" borderId="0" xfId="63" applyNumberFormat="1" applyFont="1" applyBorder="1" applyAlignment="1" applyProtection="1">
      <alignment horizontal="center"/>
      <protection/>
    </xf>
    <xf numFmtId="7" fontId="4" fillId="0" borderId="0" xfId="63" applyNumberFormat="1" applyFont="1" applyBorder="1" applyAlignment="1">
      <alignment horizontal="centerContinuous"/>
      <protection/>
    </xf>
    <xf numFmtId="170" fontId="21" fillId="0" borderId="0" xfId="63" applyNumberFormat="1" applyFont="1" applyBorder="1" applyAlignment="1" applyProtection="1">
      <alignment horizontal="center"/>
      <protection/>
    </xf>
    <xf numFmtId="1" fontId="21" fillId="0" borderId="0" xfId="63" applyNumberFormat="1" applyFont="1" applyBorder="1" applyAlignment="1" applyProtection="1">
      <alignment horizontal="center"/>
      <protection/>
    </xf>
    <xf numFmtId="183" fontId="21" fillId="0" borderId="0" xfId="63" applyNumberFormat="1" applyFont="1" applyBorder="1" applyAlignment="1" applyProtection="1">
      <alignment horizontal="centerContinuous"/>
      <protection/>
    </xf>
    <xf numFmtId="183" fontId="106" fillId="0" borderId="0" xfId="63" applyNumberFormat="1" applyFont="1" applyBorder="1" applyAlignment="1" applyProtection="1">
      <alignment horizontal="centerContinuous"/>
      <protection/>
    </xf>
    <xf numFmtId="168" fontId="106" fillId="0" borderId="0" xfId="63" applyNumberFormat="1" applyFont="1" applyBorder="1" applyAlignment="1" applyProtection="1" quotePrefix="1">
      <alignment horizontal="left"/>
      <protection/>
    </xf>
    <xf numFmtId="168" fontId="21" fillId="0" borderId="0" xfId="63" applyNumberFormat="1" applyFont="1" applyBorder="1">
      <alignment/>
      <protection/>
    </xf>
    <xf numFmtId="0" fontId="21" fillId="0" borderId="0" xfId="63" applyFont="1" applyAlignment="1">
      <alignment horizontal="centerContinuous"/>
      <protection/>
    </xf>
    <xf numFmtId="168" fontId="21" fillId="0" borderId="0" xfId="63" applyNumberFormat="1" applyFont="1" applyBorder="1" applyAlignment="1" applyProtection="1">
      <alignment horizontal="centerContinuous"/>
      <protection/>
    </xf>
    <xf numFmtId="168" fontId="106" fillId="0" borderId="0" xfId="63" applyNumberFormat="1" applyFont="1" applyBorder="1" applyAlignment="1" applyProtection="1" quotePrefix="1">
      <alignment horizontal="right"/>
      <protection/>
    </xf>
    <xf numFmtId="7" fontId="21" fillId="0" borderId="56" xfId="63" applyNumberFormat="1" applyFont="1" applyBorder="1" applyAlignment="1">
      <alignment horizontal="centerContinuous"/>
      <protection/>
    </xf>
    <xf numFmtId="7" fontId="21" fillId="0" borderId="0" xfId="63" applyNumberFormat="1" applyFont="1" applyBorder="1" applyAlignment="1">
      <alignment horizontal="right"/>
      <protection/>
    </xf>
    <xf numFmtId="0" fontId="10" fillId="0" borderId="15" xfId="63" applyFont="1" applyBorder="1" applyAlignment="1">
      <alignment horizontal="center"/>
      <protection/>
    </xf>
    <xf numFmtId="7" fontId="10" fillId="0" borderId="16" xfId="63" applyNumberFormat="1" applyFont="1" applyBorder="1" applyAlignment="1">
      <alignment horizontal="center"/>
      <protection/>
    </xf>
    <xf numFmtId="168" fontId="22" fillId="0" borderId="0" xfId="63" applyNumberFormat="1" applyFont="1" applyBorder="1" applyAlignment="1" applyProtection="1">
      <alignment horizontal="left"/>
      <protection/>
    </xf>
    <xf numFmtId="10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Alignment="1">
      <alignment horizontal="right"/>
      <protection/>
    </xf>
    <xf numFmtId="0" fontId="21" fillId="0" borderId="0" xfId="63" applyFont="1" quotePrefix="1">
      <alignment/>
      <protection/>
    </xf>
    <xf numFmtId="168" fontId="21" fillId="0" borderId="0" xfId="63" applyNumberFormat="1" applyFont="1" applyBorder="1" applyAlignment="1" applyProtection="1" quotePrefix="1">
      <alignment horizontal="center"/>
      <protection/>
    </xf>
    <xf numFmtId="7" fontId="21" fillId="0" borderId="0" xfId="63" applyNumberFormat="1" applyFont="1" applyBorder="1" applyAlignment="1" applyProtection="1">
      <alignment horizontal="left"/>
      <protection/>
    </xf>
    <xf numFmtId="0" fontId="107" fillId="0" borderId="0" xfId="63" applyFont="1" quotePrefix="1">
      <alignment/>
      <protection/>
    </xf>
    <xf numFmtId="0" fontId="111" fillId="0" borderId="0" xfId="63" applyFont="1" applyAlignment="1">
      <alignment vertical="center"/>
      <protection/>
    </xf>
    <xf numFmtId="0" fontId="23" fillId="0" borderId="13" xfId="63" applyFont="1" applyBorder="1" applyAlignme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168" fontId="23" fillId="0" borderId="0" xfId="63" applyNumberFormat="1" applyFont="1" applyBorder="1" applyAlignment="1" applyProtection="1">
      <alignment horizontal="left" vertical="center"/>
      <protection/>
    </xf>
    <xf numFmtId="0" fontId="111" fillId="0" borderId="0" xfId="63" applyFont="1" applyAlignment="1" quotePrefix="1">
      <alignment vertical="center"/>
      <protection/>
    </xf>
    <xf numFmtId="0" fontId="23" fillId="0" borderId="0" xfId="63" applyFont="1" applyBorder="1" applyAlignment="1" applyProtection="1">
      <alignment horizontal="center" vertical="center"/>
      <protection/>
    </xf>
    <xf numFmtId="165" fontId="23" fillId="0" borderId="0" xfId="63" applyNumberFormat="1" applyFont="1" applyBorder="1" applyAlignment="1" applyProtection="1">
      <alignment horizontal="center" vertical="center"/>
      <protection/>
    </xf>
    <xf numFmtId="4" fontId="10" fillId="0" borderId="15" xfId="63" applyNumberFormat="1" applyFont="1" applyBorder="1" applyAlignment="1" applyProtection="1">
      <alignment horizontal="center" vertical="center"/>
      <protection/>
    </xf>
    <xf numFmtId="7" fontId="112" fillId="0" borderId="16" xfId="63" applyNumberFormat="1" applyFont="1" applyFill="1" applyBorder="1" applyAlignment="1">
      <alignment horizontal="center" vertical="center"/>
      <protection/>
    </xf>
    <xf numFmtId="168" fontId="23" fillId="0" borderId="0" xfId="63" applyNumberFormat="1" applyFont="1" applyBorder="1" applyAlignment="1" applyProtection="1">
      <alignment horizontal="center" vertical="center"/>
      <protection/>
    </xf>
    <xf numFmtId="168" fontId="10" fillId="0" borderId="0" xfId="63" applyNumberFormat="1" applyFont="1" applyBorder="1" applyAlignment="1" applyProtection="1">
      <alignment horizontal="left" vertical="center"/>
      <protection/>
    </xf>
    <xf numFmtId="173" fontId="23" fillId="0" borderId="0" xfId="63" applyNumberFormat="1" applyFont="1" applyBorder="1" applyAlignment="1" applyProtection="1" quotePrefix="1">
      <alignment horizontal="center" vertical="center"/>
      <protection/>
    </xf>
    <xf numFmtId="2" fontId="115" fillId="0" borderId="0" xfId="63" applyNumberFormat="1" applyFont="1" applyBorder="1" applyAlignment="1" applyProtection="1">
      <alignment horizontal="center" vertical="center"/>
      <protection/>
    </xf>
    <xf numFmtId="168" fontId="116" fillId="0" borderId="0" xfId="63" applyNumberFormat="1" applyFont="1" applyBorder="1" applyAlignment="1" applyProtection="1" quotePrefix="1">
      <alignment horizontal="center" vertical="center"/>
      <protection/>
    </xf>
    <xf numFmtId="4" fontId="23" fillId="0" borderId="14" xfId="63" applyNumberFormat="1" applyFont="1" applyFill="1" applyBorder="1" applyAlignment="1">
      <alignment horizontal="center" vertical="center"/>
      <protection/>
    </xf>
    <xf numFmtId="0" fontId="21" fillId="0" borderId="17" xfId="63" applyFont="1" applyBorder="1">
      <alignment/>
      <protection/>
    </xf>
    <xf numFmtId="0" fontId="21" fillId="0" borderId="18" xfId="63" applyFont="1" applyBorder="1">
      <alignment/>
      <protection/>
    </xf>
    <xf numFmtId="0" fontId="3" fillId="0" borderId="18" xfId="63" applyBorder="1">
      <alignment/>
      <protection/>
    </xf>
    <xf numFmtId="0" fontId="21" fillId="0" borderId="19" xfId="63" applyFont="1" applyFill="1" applyBorder="1">
      <alignment/>
      <protection/>
    </xf>
    <xf numFmtId="0" fontId="13" fillId="0" borderId="0" xfId="63" applyFont="1" applyBorder="1" applyAlignment="1">
      <alignment horizontal="left"/>
      <protection/>
    </xf>
    <xf numFmtId="0" fontId="11" fillId="0" borderId="0" xfId="63" applyFont="1" applyAlignment="1">
      <alignment horizontal="right" vertical="top"/>
      <protection/>
    </xf>
    <xf numFmtId="0" fontId="6" fillId="0" borderId="0" xfId="63" applyFont="1" applyFill="1" applyBorder="1" applyAlignment="1" applyProtection="1">
      <alignment horizontal="center"/>
      <protection/>
    </xf>
    <xf numFmtId="0" fontId="6" fillId="0" borderId="0" xfId="63" applyFont="1" applyFill="1" applyBorder="1" applyAlignment="1" applyProtection="1">
      <alignment horizontal="left"/>
      <protection/>
    </xf>
    <xf numFmtId="1" fontId="3" fillId="0" borderId="76" xfId="63" applyNumberFormat="1" applyBorder="1" applyAlignment="1">
      <alignment horizontal="center"/>
      <protection/>
    </xf>
    <xf numFmtId="0" fontId="21" fillId="0" borderId="0" xfId="63" applyFont="1" applyAlignment="1">
      <alignment/>
      <protection/>
    </xf>
    <xf numFmtId="0" fontId="48" fillId="0" borderId="77" xfId="63" applyFont="1" applyBorder="1" applyAlignment="1">
      <alignment horizontal="centerContinuous"/>
      <protection/>
    </xf>
    <xf numFmtId="0" fontId="48" fillId="0" borderId="78" xfId="63" applyFont="1" applyBorder="1" applyAlignment="1">
      <alignment horizontal="centerContinuous"/>
      <protection/>
    </xf>
    <xf numFmtId="174" fontId="48" fillId="0" borderId="79" xfId="63" applyNumberFormat="1" applyFont="1" applyBorder="1" applyAlignment="1">
      <alignment horizontal="center"/>
      <protection/>
    </xf>
    <xf numFmtId="1" fontId="48" fillId="0" borderId="79" xfId="63" applyNumberFormat="1" applyFont="1" applyBorder="1" applyAlignment="1">
      <alignment horizontal="center"/>
      <protection/>
    </xf>
    <xf numFmtId="0" fontId="48" fillId="0" borderId="80" xfId="63" applyFont="1" applyBorder="1" applyAlignment="1">
      <alignment horizontal="centerContinuous"/>
      <protection/>
    </xf>
    <xf numFmtId="0" fontId="48" fillId="0" borderId="57" xfId="63" applyFont="1" applyBorder="1" applyAlignment="1">
      <alignment horizontal="centerContinuous"/>
      <protection/>
    </xf>
    <xf numFmtId="174" fontId="48" fillId="0" borderId="81" xfId="63" applyNumberFormat="1" applyFont="1" applyBorder="1" applyAlignment="1">
      <alignment horizontal="center"/>
      <protection/>
    </xf>
    <xf numFmtId="1" fontId="48" fillId="0" borderId="81" xfId="63" applyNumberFormat="1" applyFont="1" applyBorder="1" applyAlignment="1">
      <alignment horizontal="center"/>
      <protection/>
    </xf>
    <xf numFmtId="183" fontId="21" fillId="0" borderId="0" xfId="63" applyNumberFormat="1" applyFont="1" applyBorder="1">
      <alignment/>
      <protection/>
    </xf>
    <xf numFmtId="0" fontId="48" fillId="0" borderId="82" xfId="63" applyFont="1" applyBorder="1" applyAlignment="1">
      <alignment horizontal="centerContinuous"/>
      <protection/>
    </xf>
    <xf numFmtId="0" fontId="48" fillId="0" borderId="83" xfId="63" applyFont="1" applyBorder="1" applyAlignment="1">
      <alignment horizontal="centerContinuous"/>
      <protection/>
    </xf>
    <xf numFmtId="174" fontId="48" fillId="0" borderId="84" xfId="63" applyNumberFormat="1" applyFont="1" applyFill="1" applyBorder="1" applyAlignment="1">
      <alignment horizontal="center"/>
      <protection/>
    </xf>
    <xf numFmtId="1" fontId="48" fillId="0" borderId="84" xfId="63" applyNumberFormat="1" applyFont="1" applyFill="1" applyBorder="1" applyAlignment="1">
      <alignment horizontal="center"/>
      <protection/>
    </xf>
    <xf numFmtId="2" fontId="101" fillId="0" borderId="63" xfId="63" applyNumberFormat="1" applyFont="1" applyFill="1" applyBorder="1" applyAlignment="1" applyProtection="1">
      <alignment horizontal="center"/>
      <protection/>
    </xf>
    <xf numFmtId="2" fontId="75" fillId="0" borderId="63" xfId="63" applyNumberFormat="1" applyFont="1" applyFill="1" applyBorder="1" applyAlignment="1" applyProtection="1">
      <alignment horizontal="center"/>
      <protection/>
    </xf>
    <xf numFmtId="2" fontId="104" fillId="0" borderId="63" xfId="63" applyNumberFormat="1" applyFont="1" applyFill="1" applyBorder="1" applyAlignment="1" applyProtection="1">
      <alignment horizontal="center"/>
      <protection/>
    </xf>
    <xf numFmtId="0" fontId="30" fillId="0" borderId="20" xfId="63" applyFont="1" applyFill="1" applyBorder="1" applyAlignment="1" applyProtection="1" quotePrefix="1">
      <alignment horizontal="center" vertical="center" wrapText="1"/>
      <protection/>
    </xf>
    <xf numFmtId="0" fontId="30" fillId="0" borderId="15" xfId="63" applyFont="1" applyFill="1" applyBorder="1" applyAlignment="1" applyProtection="1">
      <alignment horizontal="centerContinuous" vertical="center"/>
      <protection/>
    </xf>
    <xf numFmtId="164" fontId="13" fillId="0" borderId="27" xfId="63" applyNumberFormat="1" applyFont="1" applyFill="1" applyBorder="1" applyAlignment="1" applyProtection="1">
      <alignment horizontal="center"/>
      <protection/>
    </xf>
    <xf numFmtId="0" fontId="105" fillId="37" borderId="27" xfId="63" applyFont="1" applyFill="1" applyBorder="1" applyAlignment="1">
      <alignment horizontal="center"/>
      <protection/>
    </xf>
    <xf numFmtId="0" fontId="13" fillId="0" borderId="22" xfId="63" applyFont="1" applyFill="1" applyBorder="1" applyAlignment="1">
      <alignment horizontal="centerContinuous"/>
      <protection/>
    </xf>
    <xf numFmtId="0" fontId="62" fillId="37" borderId="22" xfId="63" applyFont="1" applyFill="1" applyBorder="1" applyAlignment="1">
      <alignment horizontal="center"/>
      <protection/>
    </xf>
    <xf numFmtId="0" fontId="29" fillId="53" borderId="22" xfId="63" applyFont="1" applyFill="1" applyBorder="1" applyAlignment="1">
      <alignment horizontal="center"/>
      <protection/>
    </xf>
    <xf numFmtId="0" fontId="29" fillId="48" borderId="23" xfId="63" applyFont="1" applyFill="1" applyBorder="1" applyAlignment="1">
      <alignment horizontal="center"/>
      <protection/>
    </xf>
    <xf numFmtId="0" fontId="29" fillId="48" borderId="25" xfId="63" applyFont="1" applyFill="1" applyBorder="1" applyAlignment="1">
      <alignment horizontal="left"/>
      <protection/>
    </xf>
    <xf numFmtId="0" fontId="29" fillId="35" borderId="22" xfId="63" applyFont="1" applyFill="1" applyBorder="1" applyAlignment="1">
      <alignment horizontal="left"/>
      <protection/>
    </xf>
    <xf numFmtId="168" fontId="13" fillId="0" borderId="27" xfId="63" applyNumberFormat="1" applyFont="1" applyFill="1" applyBorder="1" applyAlignment="1" applyProtection="1">
      <alignment horizontal="center"/>
      <protection locked="0"/>
    </xf>
    <xf numFmtId="168" fontId="13" fillId="0" borderId="27" xfId="63" applyNumberFormat="1" applyFont="1" applyBorder="1" applyAlignment="1" applyProtection="1">
      <alignment horizontal="centerContinuous"/>
      <protection/>
    </xf>
    <xf numFmtId="164" fontId="13" fillId="0" borderId="26" xfId="63" applyNumberFormat="1" applyFont="1" applyBorder="1" applyAlignment="1" applyProtection="1">
      <alignment horizontal="center"/>
      <protection/>
    </xf>
    <xf numFmtId="1" fontId="13" fillId="0" borderId="47" xfId="63" applyNumberFormat="1" applyFont="1" applyBorder="1" applyAlignment="1" applyProtection="1">
      <alignment horizontal="center"/>
      <protection/>
    </xf>
    <xf numFmtId="164" fontId="13" fillId="0" borderId="33" xfId="63" applyNumberFormat="1" applyFont="1" applyBorder="1" applyAlignment="1" applyProtection="1">
      <alignment horizontal="center"/>
      <protection/>
    </xf>
    <xf numFmtId="1" fontId="13" fillId="0" borderId="50" xfId="63" applyNumberFormat="1" applyFont="1" applyBorder="1" applyAlignment="1" applyProtection="1" quotePrefix="1">
      <alignment horizontal="center"/>
      <protection/>
    </xf>
    <xf numFmtId="168" fontId="105" fillId="37" borderId="34" xfId="63" applyNumberFormat="1" applyFont="1" applyFill="1" applyBorder="1" applyAlignment="1" applyProtection="1">
      <alignment horizontal="center"/>
      <protection/>
    </xf>
    <xf numFmtId="168" fontId="13" fillId="0" borderId="34" xfId="63" applyNumberFormat="1" applyFont="1" applyBorder="1" applyAlignment="1" applyProtection="1">
      <alignment horizontal="centerContinuous"/>
      <protection/>
    </xf>
    <xf numFmtId="164" fontId="62" fillId="37" borderId="34" xfId="63" applyNumberFormat="1" applyFont="1" applyFill="1" applyBorder="1" applyAlignment="1" applyProtection="1">
      <alignment horizontal="center"/>
      <protection/>
    </xf>
    <xf numFmtId="2" fontId="29" fillId="53" borderId="34" xfId="63" applyNumberFormat="1" applyFont="1" applyFill="1" applyBorder="1" applyAlignment="1">
      <alignment horizontal="center"/>
      <protection/>
    </xf>
    <xf numFmtId="168" fontId="29" fillId="48" borderId="49" xfId="63" applyNumberFormat="1" applyFont="1" applyFill="1" applyBorder="1" applyAlignment="1" applyProtection="1" quotePrefix="1">
      <alignment horizontal="center"/>
      <protection/>
    </xf>
    <xf numFmtId="168" fontId="29" fillId="48" borderId="50" xfId="63" applyNumberFormat="1" applyFont="1" applyFill="1" applyBorder="1" applyAlignment="1" applyProtection="1" quotePrefix="1">
      <alignment horizontal="center"/>
      <protection/>
    </xf>
    <xf numFmtId="168" fontId="29" fillId="35" borderId="34" xfId="63" applyNumberFormat="1" applyFont="1" applyFill="1" applyBorder="1" applyAlignment="1" applyProtection="1" quotePrefix="1">
      <alignment horizontal="center"/>
      <protection/>
    </xf>
    <xf numFmtId="0" fontId="30" fillId="0" borderId="16" xfId="63" applyFont="1" applyBorder="1" applyAlignment="1" applyProtection="1">
      <alignment horizontal="center" vertical="center" wrapText="1"/>
      <protection/>
    </xf>
    <xf numFmtId="0" fontId="67" fillId="43" borderId="20" xfId="63" applyFont="1" applyFill="1" applyBorder="1" applyAlignment="1">
      <alignment horizontal="center" vertical="center" wrapText="1"/>
      <protection/>
    </xf>
    <xf numFmtId="0" fontId="35" fillId="36" borderId="15" xfId="63" applyFont="1" applyFill="1" applyBorder="1" applyAlignment="1" applyProtection="1">
      <alignment horizontal="centerContinuous" vertical="center" wrapText="1"/>
      <protection/>
    </xf>
    <xf numFmtId="0" fontId="35" fillId="36" borderId="16" xfId="63" applyFont="1" applyFill="1" applyBorder="1" applyAlignment="1">
      <alignment horizontal="centerContinuous" vertical="center"/>
      <protection/>
    </xf>
    <xf numFmtId="0" fontId="61" fillId="35" borderId="20" xfId="63" applyFont="1" applyFill="1" applyBorder="1" applyAlignment="1">
      <alignment horizontal="center" vertical="center" wrapText="1"/>
      <protection/>
    </xf>
    <xf numFmtId="0" fontId="73" fillId="0" borderId="32" xfId="63" applyFont="1" applyBorder="1" applyAlignment="1" applyProtection="1">
      <alignment horizontal="center"/>
      <protection/>
    </xf>
    <xf numFmtId="0" fontId="62" fillId="37" borderId="32" xfId="63" applyFont="1" applyFill="1" applyBorder="1" applyAlignment="1" applyProtection="1">
      <alignment horizontal="center"/>
      <protection/>
    </xf>
    <xf numFmtId="0" fontId="29" fillId="34" borderId="27" xfId="63" applyFont="1" applyFill="1" applyBorder="1" applyAlignment="1" applyProtection="1">
      <alignment horizontal="center"/>
      <protection/>
    </xf>
    <xf numFmtId="0" fontId="71" fillId="43" borderId="27" xfId="63" applyFont="1" applyFill="1" applyBorder="1" applyAlignment="1" applyProtection="1">
      <alignment horizontal="center"/>
      <protection/>
    </xf>
    <xf numFmtId="168" fontId="51" fillId="36" borderId="29" xfId="63" applyNumberFormat="1" applyFont="1" applyFill="1" applyBorder="1" applyAlignment="1" applyProtection="1" quotePrefix="1">
      <alignment horizontal="center"/>
      <protection/>
    </xf>
    <xf numFmtId="168" fontId="51" fillId="36" borderId="54" xfId="63" applyNumberFormat="1" applyFont="1" applyFill="1" applyBorder="1" applyAlignment="1" applyProtection="1" quotePrefix="1">
      <alignment horizontal="center"/>
      <protection/>
    </xf>
    <xf numFmtId="168" fontId="76" fillId="0" borderId="27" xfId="63" applyNumberFormat="1" applyFont="1" applyFill="1" applyBorder="1" applyAlignment="1">
      <alignment horizontal="center"/>
      <protection/>
    </xf>
    <xf numFmtId="0" fontId="13" fillId="0" borderId="32" xfId="63" applyFont="1" applyBorder="1" applyAlignment="1" applyProtection="1">
      <alignment horizontal="center"/>
      <protection/>
    </xf>
    <xf numFmtId="164" fontId="13" fillId="0" borderId="27" xfId="63" applyNumberFormat="1" applyFont="1" applyBorder="1" applyAlignment="1" applyProtection="1" quotePrefix="1">
      <alignment horizontal="center"/>
      <protection/>
    </xf>
    <xf numFmtId="168" fontId="62" fillId="37" borderId="27" xfId="63" applyNumberFormat="1" applyFont="1" applyFill="1" applyBorder="1" applyAlignment="1" applyProtection="1">
      <alignment horizontal="center"/>
      <protection/>
    </xf>
    <xf numFmtId="22" fontId="13" fillId="0" borderId="29" xfId="63" applyNumberFormat="1" applyFont="1" applyBorder="1" applyAlignment="1">
      <alignment horizontal="center"/>
      <protection/>
    </xf>
    <xf numFmtId="22" fontId="13" fillId="0" borderId="27" xfId="63" applyNumberFormat="1" applyFont="1" applyBorder="1" applyAlignment="1" applyProtection="1">
      <alignment horizontal="center"/>
      <protection/>
    </xf>
    <xf numFmtId="164" fontId="29" fillId="34" borderId="27" xfId="63" applyNumberFormat="1" applyFont="1" applyFill="1" applyBorder="1" applyAlignment="1" applyProtection="1">
      <alignment horizontal="center"/>
      <protection/>
    </xf>
    <xf numFmtId="2" fontId="71" fillId="43" borderId="27" xfId="63" applyNumberFormat="1" applyFont="1" applyFill="1" applyBorder="1" applyAlignment="1">
      <alignment horizontal="center"/>
      <protection/>
    </xf>
    <xf numFmtId="168" fontId="13" fillId="0" borderId="27" xfId="63" applyNumberFormat="1" applyFont="1" applyBorder="1" applyAlignment="1">
      <alignment horizontal="center"/>
      <protection/>
    </xf>
    <xf numFmtId="0" fontId="3" fillId="0" borderId="45" xfId="63" applyBorder="1" applyAlignment="1">
      <alignment horizontal="center"/>
      <protection/>
    </xf>
    <xf numFmtId="0" fontId="73" fillId="0" borderId="85" xfId="63" applyFont="1" applyBorder="1" applyAlignment="1" applyProtection="1">
      <alignment horizontal="center"/>
      <protection/>
    </xf>
    <xf numFmtId="164" fontId="49" fillId="0" borderId="33" xfId="63" applyNumberFormat="1" applyFont="1" applyBorder="1" applyAlignment="1" applyProtection="1" quotePrefix="1">
      <alignment horizontal="center"/>
      <protection/>
    </xf>
    <xf numFmtId="168" fontId="62" fillId="37" borderId="33" xfId="63" applyNumberFormat="1" applyFont="1" applyFill="1" applyBorder="1" applyAlignment="1" applyProtection="1">
      <alignment horizontal="center"/>
      <protection/>
    </xf>
    <xf numFmtId="22" fontId="13" fillId="0" borderId="49" xfId="63" applyNumberFormat="1" applyFont="1" applyBorder="1" applyAlignment="1">
      <alignment horizontal="center"/>
      <protection/>
    </xf>
    <xf numFmtId="22" fontId="13" fillId="0" borderId="33" xfId="63" applyNumberFormat="1" applyFont="1" applyBorder="1" applyAlignment="1" applyProtection="1">
      <alignment horizontal="center"/>
      <protection/>
    </xf>
    <xf numFmtId="2" fontId="13" fillId="0" borderId="33" xfId="63" applyNumberFormat="1" applyFont="1" applyFill="1" applyBorder="1" applyAlignment="1" applyProtection="1" quotePrefix="1">
      <alignment horizontal="center"/>
      <protection/>
    </xf>
    <xf numFmtId="164" fontId="13" fillId="0" borderId="33" xfId="63" applyNumberFormat="1" applyFont="1" applyFill="1" applyBorder="1" applyAlignment="1" applyProtection="1" quotePrefix="1">
      <alignment horizontal="center"/>
      <protection/>
    </xf>
    <xf numFmtId="164" fontId="29" fillId="34" borderId="33" xfId="63" applyNumberFormat="1" applyFont="1" applyFill="1" applyBorder="1" applyAlignment="1" applyProtection="1">
      <alignment horizontal="center"/>
      <protection/>
    </xf>
    <xf numFmtId="2" fontId="71" fillId="43" borderId="33" xfId="63" applyNumberFormat="1" applyFont="1" applyFill="1" applyBorder="1" applyAlignment="1">
      <alignment horizontal="center"/>
      <protection/>
    </xf>
    <xf numFmtId="168" fontId="51" fillId="36" borderId="49" xfId="63" applyNumberFormat="1" applyFont="1" applyFill="1" applyBorder="1" applyAlignment="1" applyProtection="1" quotePrefix="1">
      <alignment horizontal="center"/>
      <protection/>
    </xf>
    <xf numFmtId="168" fontId="51" fillId="36" borderId="50" xfId="63" applyNumberFormat="1" applyFont="1" applyFill="1" applyBorder="1" applyAlignment="1" applyProtection="1" quotePrefix="1">
      <alignment horizontal="center"/>
      <protection/>
    </xf>
    <xf numFmtId="168" fontId="63" fillId="35" borderId="33" xfId="63" applyNumberFormat="1" applyFont="1" applyFill="1" applyBorder="1" applyAlignment="1" applyProtection="1" quotePrefix="1">
      <alignment horizontal="center"/>
      <protection/>
    </xf>
    <xf numFmtId="168" fontId="13" fillId="0" borderId="33" xfId="63" applyNumberFormat="1" applyFont="1" applyBorder="1" applyAlignment="1">
      <alignment horizontal="center"/>
      <protection/>
    </xf>
    <xf numFmtId="4" fontId="76" fillId="0" borderId="33" xfId="63" applyNumberFormat="1" applyFont="1" applyFill="1" applyBorder="1" applyAlignment="1">
      <alignment horizontal="right"/>
      <protection/>
    </xf>
    <xf numFmtId="0" fontId="48" fillId="0" borderId="0" xfId="63" applyFont="1" applyFill="1" applyBorder="1">
      <alignment/>
      <protection/>
    </xf>
    <xf numFmtId="0" fontId="48" fillId="0" borderId="0" xfId="63" applyFont="1" applyFill="1" applyBorder="1" applyAlignment="1">
      <alignment horizontal="center"/>
      <protection/>
    </xf>
    <xf numFmtId="164" fontId="48" fillId="0" borderId="0" xfId="63" applyNumberFormat="1" applyFont="1" applyBorder="1" applyAlignment="1" applyProtection="1" quotePrefix="1">
      <alignment horizontal="center"/>
      <protection/>
    </xf>
    <xf numFmtId="7" fontId="48" fillId="0" borderId="0" xfId="63" applyNumberFormat="1" applyFont="1" applyFill="1" applyBorder="1" applyAlignment="1">
      <alignment horizontal="center"/>
      <protection/>
    </xf>
    <xf numFmtId="0" fontId="48" fillId="0" borderId="0" xfId="63" applyFont="1" applyFill="1" applyBorder="1" applyAlignment="1">
      <alignment horizontal="centerContinuous"/>
      <protection/>
    </xf>
    <xf numFmtId="0" fontId="48" fillId="0" borderId="0" xfId="63" applyFont="1" applyBorder="1" applyAlignment="1" applyProtection="1">
      <alignment horizontal="center"/>
      <protection/>
    </xf>
    <xf numFmtId="4" fontId="106" fillId="0" borderId="0" xfId="63" applyNumberFormat="1" applyFont="1" applyBorder="1" applyAlignment="1" applyProtection="1">
      <alignment horizontal="center"/>
      <protection/>
    </xf>
    <xf numFmtId="6" fontId="48" fillId="0" borderId="0" xfId="54" applyFont="1" applyBorder="1" applyAlignment="1">
      <alignment horizontal="center"/>
    </xf>
    <xf numFmtId="1" fontId="21" fillId="0" borderId="0" xfId="63" applyNumberFormat="1" applyFont="1" applyBorder="1" applyAlignment="1" applyProtection="1">
      <alignment horizontal="centerContinuous"/>
      <protection/>
    </xf>
    <xf numFmtId="0" fontId="117" fillId="0" borderId="0" xfId="63" applyFont="1" applyAlignment="1">
      <alignment horizontal="right" vertical="top"/>
      <protection/>
    </xf>
    <xf numFmtId="0" fontId="13" fillId="0" borderId="0" xfId="63" applyFont="1" applyAlignment="1">
      <alignment/>
      <protection/>
    </xf>
    <xf numFmtId="0" fontId="8" fillId="0" borderId="0" xfId="63" applyFont="1" applyAlignment="1">
      <alignment/>
      <protection/>
    </xf>
    <xf numFmtId="0" fontId="14" fillId="0" borderId="0" xfId="63" applyFont="1" applyAlignment="1">
      <alignment/>
      <protection/>
    </xf>
    <xf numFmtId="0" fontId="13" fillId="0" borderId="0" xfId="63" applyFont="1" applyAlignment="1">
      <alignment horizontal="centerContinuous"/>
      <protection/>
    </xf>
    <xf numFmtId="0" fontId="118" fillId="0" borderId="0" xfId="63" applyFont="1">
      <alignment/>
      <protection/>
    </xf>
    <xf numFmtId="0" fontId="118" fillId="0" borderId="0" xfId="63" applyFont="1" applyAlignment="1">
      <alignment horizontal="centerContinuous"/>
      <protection/>
    </xf>
    <xf numFmtId="0" fontId="119" fillId="0" borderId="0" xfId="63" applyFont="1" applyAlignment="1">
      <alignment horizontal="centerContinuous"/>
      <protection/>
    </xf>
    <xf numFmtId="0" fontId="118" fillId="0" borderId="0" xfId="63" applyFont="1" applyAlignment="1">
      <alignment/>
      <protection/>
    </xf>
    <xf numFmtId="0" fontId="119" fillId="0" borderId="0" xfId="63" applyFont="1">
      <alignment/>
      <protection/>
    </xf>
    <xf numFmtId="0" fontId="119" fillId="0" borderId="0" xfId="63" applyFont="1" applyAlignment="1">
      <alignment/>
      <protection/>
    </xf>
    <xf numFmtId="0" fontId="21" fillId="0" borderId="10" xfId="63" applyFont="1" applyBorder="1" applyAlignment="1">
      <alignment horizontal="centerContinuous"/>
      <protection/>
    </xf>
    <xf numFmtId="0" fontId="21" fillId="0" borderId="11" xfId="63" applyFont="1" applyBorder="1" applyAlignment="1">
      <alignment horizontal="centerContinuous"/>
      <protection/>
    </xf>
    <xf numFmtId="0" fontId="21" fillId="0" borderId="12" xfId="63" applyFont="1" applyBorder="1" applyAlignment="1">
      <alignment horizontal="centerContinuous"/>
      <protection/>
    </xf>
    <xf numFmtId="0" fontId="21" fillId="0" borderId="0" xfId="63" applyFont="1" applyBorder="1" applyAlignment="1">
      <alignment horizontal="centerContinuous"/>
      <protection/>
    </xf>
    <xf numFmtId="0" fontId="21" fillId="0" borderId="14" xfId="63" applyFont="1" applyBorder="1" applyAlignment="1">
      <alignment/>
      <protection/>
    </xf>
    <xf numFmtId="0" fontId="21" fillId="0" borderId="14" xfId="63" applyFont="1" applyBorder="1">
      <alignment/>
      <protection/>
    </xf>
    <xf numFmtId="0" fontId="30" fillId="0" borderId="0" xfId="63" applyFont="1" applyAlignment="1">
      <alignment horizontal="center" vertical="center"/>
      <protection/>
    </xf>
    <xf numFmtId="0" fontId="30" fillId="0" borderId="13" xfId="63" applyFont="1" applyBorder="1" applyAlignment="1">
      <alignment horizontal="center" vertical="center"/>
      <protection/>
    </xf>
    <xf numFmtId="17" fontId="30" fillId="0" borderId="20" xfId="63" applyNumberFormat="1" applyFont="1" applyBorder="1" applyAlignment="1">
      <alignment horizontal="center" vertical="center"/>
      <protection/>
    </xf>
    <xf numFmtId="0" fontId="30" fillId="0" borderId="14" xfId="63" applyFont="1" applyBorder="1" applyAlignment="1">
      <alignment horizontal="center" vertical="center"/>
      <protection/>
    </xf>
    <xf numFmtId="0" fontId="120" fillId="0" borderId="0" xfId="63" applyFont="1" applyAlignment="1">
      <alignment vertical="center"/>
      <protection/>
    </xf>
    <xf numFmtId="0" fontId="120" fillId="0" borderId="13" xfId="63" applyFont="1" applyBorder="1" applyAlignment="1">
      <alignment vertical="center"/>
      <protection/>
    </xf>
    <xf numFmtId="0" fontId="120" fillId="0" borderId="32" xfId="63" applyFont="1" applyBorder="1" applyAlignment="1">
      <alignment vertical="center"/>
      <protection/>
    </xf>
    <xf numFmtId="0" fontId="120" fillId="0" borderId="27" xfId="63" applyFont="1" applyBorder="1" applyAlignment="1">
      <alignment vertical="center"/>
      <protection/>
    </xf>
    <xf numFmtId="0" fontId="120" fillId="0" borderId="27" xfId="63" applyFont="1" applyFill="1" applyBorder="1" applyAlignment="1">
      <alignment vertical="center"/>
      <protection/>
    </xf>
    <xf numFmtId="0" fontId="120" fillId="0" borderId="41" xfId="63" applyFont="1" applyBorder="1" applyAlignment="1">
      <alignment vertical="center"/>
      <protection/>
    </xf>
    <xf numFmtId="0" fontId="120" fillId="0" borderId="14" xfId="63" applyFont="1" applyBorder="1" applyAlignment="1">
      <alignment vertical="center"/>
      <protection/>
    </xf>
    <xf numFmtId="0" fontId="120" fillId="1" borderId="29" xfId="63" applyFont="1" applyFill="1" applyBorder="1" applyAlignment="1">
      <alignment horizontal="center" vertical="center"/>
      <protection/>
    </xf>
    <xf numFmtId="0" fontId="120" fillId="55" borderId="26" xfId="63" applyFont="1" applyFill="1" applyBorder="1" applyAlignment="1">
      <alignment horizontal="center" vertical="center"/>
      <protection/>
    </xf>
    <xf numFmtId="0" fontId="120" fillId="0" borderId="59" xfId="63" applyFont="1" applyBorder="1" applyAlignment="1">
      <alignment vertical="center"/>
      <protection/>
    </xf>
    <xf numFmtId="0" fontId="120" fillId="0" borderId="49" xfId="63" applyFont="1" applyFill="1" applyBorder="1" applyAlignment="1">
      <alignment horizontal="center" vertical="center"/>
      <protection/>
    </xf>
    <xf numFmtId="0" fontId="120" fillId="0" borderId="33" xfId="63" applyFont="1" applyFill="1" applyBorder="1" applyAlignment="1">
      <alignment horizontal="center" vertical="center"/>
      <protection/>
    </xf>
    <xf numFmtId="0" fontId="120" fillId="1" borderId="33" xfId="63" applyFont="1" applyFill="1" applyBorder="1" applyAlignment="1">
      <alignment horizontal="center" vertical="center"/>
      <protection/>
    </xf>
    <xf numFmtId="0" fontId="120" fillId="0" borderId="26" xfId="63" applyFont="1" applyFill="1" applyBorder="1" applyAlignment="1">
      <alignment horizontal="center" vertical="center"/>
      <protection/>
    </xf>
    <xf numFmtId="0" fontId="120" fillId="0" borderId="0" xfId="63" applyFont="1" applyFill="1" applyBorder="1" applyAlignment="1">
      <alignment horizontal="center" vertical="center"/>
      <protection/>
    </xf>
    <xf numFmtId="0" fontId="120" fillId="0" borderId="0" xfId="63" applyFont="1" applyFill="1" applyBorder="1" applyAlignment="1">
      <alignment vertical="center"/>
      <protection/>
    </xf>
    <xf numFmtId="0" fontId="121" fillId="0" borderId="0" xfId="63" applyFont="1" applyFill="1" applyBorder="1" applyAlignment="1">
      <alignment horizontal="right" vertical="center"/>
      <protection/>
    </xf>
    <xf numFmtId="0" fontId="120" fillId="1" borderId="20" xfId="63" applyFont="1" applyFill="1" applyBorder="1" applyAlignment="1">
      <alignment horizontal="center" vertical="center"/>
      <protection/>
    </xf>
    <xf numFmtId="0" fontId="120" fillId="0" borderId="15" xfId="63" applyFont="1" applyFill="1" applyBorder="1" applyAlignment="1">
      <alignment horizontal="center" vertical="center"/>
      <protection/>
    </xf>
    <xf numFmtId="0" fontId="120" fillId="0" borderId="21" xfId="63" applyFont="1" applyFill="1" applyBorder="1" applyAlignment="1">
      <alignment horizontal="center" vertical="center"/>
      <protection/>
    </xf>
    <xf numFmtId="0" fontId="120" fillId="0" borderId="0" xfId="63" applyFont="1" applyBorder="1" applyAlignment="1">
      <alignment horizontal="center" vertical="center"/>
      <protection/>
    </xf>
    <xf numFmtId="0" fontId="120" fillId="0" borderId="0" xfId="63" applyFont="1" applyBorder="1" applyAlignment="1">
      <alignment vertical="center"/>
      <protection/>
    </xf>
    <xf numFmtId="0" fontId="120" fillId="0" borderId="0" xfId="63" applyFont="1" applyBorder="1" applyAlignment="1">
      <alignment horizontal="right" vertical="center"/>
      <protection/>
    </xf>
    <xf numFmtId="0" fontId="121" fillId="0" borderId="0" xfId="63" applyFont="1" applyBorder="1" applyAlignment="1">
      <alignment horizontal="right" vertical="center"/>
      <protection/>
    </xf>
    <xf numFmtId="0" fontId="120" fillId="0" borderId="20" xfId="63" applyFont="1" applyBorder="1" applyAlignment="1">
      <alignment horizontal="center" vertical="center"/>
      <protection/>
    </xf>
    <xf numFmtId="0" fontId="120" fillId="0" borderId="34" xfId="63" applyFont="1" applyBorder="1" applyAlignment="1">
      <alignment vertical="center"/>
      <protection/>
    </xf>
    <xf numFmtId="2" fontId="121" fillId="55" borderId="20" xfId="63" applyNumberFormat="1" applyFont="1" applyFill="1" applyBorder="1" applyAlignment="1">
      <alignment horizontal="center" vertical="center"/>
      <protection/>
    </xf>
    <xf numFmtId="0" fontId="13" fillId="0" borderId="0" xfId="64" applyFont="1" applyBorder="1" applyAlignment="1">
      <alignment horizontal="left" vertical="center"/>
      <protection/>
    </xf>
    <xf numFmtId="0" fontId="13" fillId="0" borderId="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right" vertical="center"/>
      <protection/>
    </xf>
    <xf numFmtId="2" fontId="5" fillId="0" borderId="0" xfId="63" applyNumberFormat="1" applyFont="1" applyFill="1" applyBorder="1" applyAlignment="1">
      <alignment horizontal="center" vertical="center"/>
      <protection/>
    </xf>
    <xf numFmtId="0" fontId="13" fillId="0" borderId="15" xfId="63" applyFont="1" applyBorder="1">
      <alignment/>
      <protection/>
    </xf>
    <xf numFmtId="0" fontId="13" fillId="0" borderId="21" xfId="63" applyFont="1" applyBorder="1" applyAlignment="1">
      <alignment horizontal="center"/>
      <protection/>
    </xf>
    <xf numFmtId="2" fontId="10" fillId="0" borderId="21" xfId="63" applyNumberFormat="1" applyFont="1" applyBorder="1" applyAlignment="1">
      <alignment horizontal="center"/>
      <protection/>
    </xf>
    <xf numFmtId="0" fontId="21" fillId="0" borderId="21" xfId="63" applyFont="1" applyBorder="1">
      <alignment/>
      <protection/>
    </xf>
    <xf numFmtId="0" fontId="13" fillId="0" borderId="21" xfId="63" applyFont="1" applyBorder="1">
      <alignment/>
      <protection/>
    </xf>
    <xf numFmtId="0" fontId="3" fillId="0" borderId="16" xfId="63" applyBorder="1">
      <alignment/>
      <protection/>
    </xf>
    <xf numFmtId="0" fontId="13" fillId="0" borderId="13" xfId="63" applyFont="1" applyBorder="1" applyAlignment="1">
      <alignment vertical="center"/>
      <protection/>
    </xf>
    <xf numFmtId="0" fontId="13" fillId="0" borderId="14" xfId="63" applyFont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21" fillId="0" borderId="18" xfId="63" applyFont="1" applyBorder="1" applyAlignment="1">
      <alignment horizontal="center"/>
      <protection/>
    </xf>
    <xf numFmtId="0" fontId="21" fillId="0" borderId="19" xfId="63" applyFont="1" applyBorder="1">
      <alignment/>
      <protection/>
    </xf>
    <xf numFmtId="0" fontId="13" fillId="0" borderId="0" xfId="63" applyFont="1" applyAlignment="1">
      <alignment horizontal="center"/>
      <protection/>
    </xf>
    <xf numFmtId="2" fontId="13" fillId="0" borderId="0" xfId="63" applyNumberFormat="1" applyFont="1" applyBorder="1" applyAlignment="1">
      <alignment horizontal="center"/>
      <protection/>
    </xf>
    <xf numFmtId="174" fontId="13" fillId="0" borderId="0" xfId="63" applyNumberFormat="1" applyFont="1" applyBorder="1" applyAlignment="1">
      <alignment horizontal="center"/>
      <protection/>
    </xf>
    <xf numFmtId="168" fontId="114" fillId="0" borderId="0" xfId="67" applyNumberFormat="1" applyFont="1" applyBorder="1" applyAlignment="1" applyProtection="1">
      <alignment horizontal="left" vertical="center"/>
      <protection/>
    </xf>
    <xf numFmtId="0" fontId="8" fillId="0" borderId="0" xfId="58" applyFont="1">
      <alignment/>
      <protection/>
    </xf>
    <xf numFmtId="0" fontId="8" fillId="0" borderId="0" xfId="58" applyFont="1" applyFill="1">
      <alignment/>
      <protection/>
    </xf>
    <xf numFmtId="0" fontId="11" fillId="0" borderId="0" xfId="58" applyFont="1" applyFill="1" applyAlignment="1">
      <alignment horizontal="right" vertical="top"/>
      <protection/>
    </xf>
    <xf numFmtId="0" fontId="9" fillId="0" borderId="0" xfId="58" applyFont="1" applyFill="1" applyAlignment="1">
      <alignment horizontal="centerContinuous"/>
      <protection/>
    </xf>
    <xf numFmtId="0" fontId="9" fillId="0" borderId="0" xfId="58" applyFont="1" applyAlignment="1">
      <alignment horizontal="centerContinuous"/>
      <protection/>
    </xf>
    <xf numFmtId="0" fontId="13" fillId="0" borderId="0" xfId="58" applyFont="1" applyFill="1">
      <alignment/>
      <protection/>
    </xf>
    <xf numFmtId="0" fontId="13" fillId="0" borderId="0" xfId="58" applyFont="1">
      <alignment/>
      <protection/>
    </xf>
    <xf numFmtId="0" fontId="6" fillId="0" borderId="0" xfId="58" applyFont="1" applyFill="1" applyAlignment="1">
      <alignment horizontal="centerContinuous"/>
      <protection/>
    </xf>
    <xf numFmtId="0" fontId="14" fillId="0" borderId="0" xfId="58" applyFont="1" applyFill="1" applyAlignment="1">
      <alignment horizontal="centerContinuous"/>
      <protection/>
    </xf>
    <xf numFmtId="0" fontId="14" fillId="0" borderId="0" xfId="58" applyFont="1" applyFill="1">
      <alignment/>
      <protection/>
    </xf>
    <xf numFmtId="0" fontId="14" fillId="0" borderId="0" xfId="58" applyFont="1">
      <alignment/>
      <protection/>
    </xf>
    <xf numFmtId="0" fontId="13" fillId="0" borderId="10" xfId="58" applyFont="1" applyFill="1" applyBorder="1">
      <alignment/>
      <protection/>
    </xf>
    <xf numFmtId="0" fontId="13" fillId="0" borderId="11" xfId="58" applyFont="1" applyFill="1" applyBorder="1">
      <alignment/>
      <protection/>
    </xf>
    <xf numFmtId="0" fontId="13" fillId="0" borderId="12" xfId="58" applyFont="1" applyFill="1" applyBorder="1">
      <alignment/>
      <protection/>
    </xf>
    <xf numFmtId="0" fontId="16" fillId="0" borderId="0" xfId="58" applyFont="1">
      <alignment/>
      <protection/>
    </xf>
    <xf numFmtId="0" fontId="16" fillId="0" borderId="13" xfId="58" applyFont="1" applyBorder="1">
      <alignment/>
      <protection/>
    </xf>
    <xf numFmtId="0" fontId="16" fillId="0" borderId="0" xfId="58" applyFont="1" applyBorder="1">
      <alignment/>
      <protection/>
    </xf>
    <xf numFmtId="0" fontId="20" fillId="0" borderId="0" xfId="58" applyFont="1" applyBorder="1" applyAlignment="1">
      <alignment horizontal="left"/>
      <protection/>
    </xf>
    <xf numFmtId="0" fontId="20" fillId="0" borderId="0" xfId="58" applyFont="1" applyBorder="1">
      <alignment/>
      <protection/>
    </xf>
    <xf numFmtId="0" fontId="18" fillId="0" borderId="0" xfId="58" applyFont="1">
      <alignment/>
      <protection/>
    </xf>
    <xf numFmtId="0" fontId="16" fillId="0" borderId="14" xfId="58" applyFont="1" applyFill="1" applyBorder="1">
      <alignment/>
      <protection/>
    </xf>
    <xf numFmtId="0" fontId="13" fillId="0" borderId="13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13" fillId="0" borderId="14" xfId="58" applyFont="1" applyFill="1" applyBorder="1">
      <alignment/>
      <protection/>
    </xf>
    <xf numFmtId="0" fontId="16" fillId="0" borderId="0" xfId="58" applyFont="1" applyAlignment="1">
      <alignment vertical="top"/>
      <protection/>
    </xf>
    <xf numFmtId="0" fontId="16" fillId="0" borderId="13" xfId="58" applyFont="1" applyBorder="1" applyAlignment="1">
      <alignment vertical="top"/>
      <protection/>
    </xf>
    <xf numFmtId="0" fontId="16" fillId="0" borderId="0" xfId="58" applyFont="1" applyBorder="1" applyAlignment="1">
      <alignment vertical="top"/>
      <protection/>
    </xf>
    <xf numFmtId="0" fontId="20" fillId="0" borderId="0" xfId="58" applyFont="1" applyFill="1" applyBorder="1" applyAlignment="1">
      <alignment horizontal="left" vertical="top"/>
      <protection/>
    </xf>
    <xf numFmtId="0" fontId="20" fillId="0" borderId="0" xfId="58" applyFont="1" applyBorder="1" applyAlignment="1">
      <alignment vertical="top"/>
      <protection/>
    </xf>
    <xf numFmtId="0" fontId="18" fillId="0" borderId="0" xfId="58" applyFont="1" applyAlignment="1">
      <alignment vertical="top"/>
      <protection/>
    </xf>
    <xf numFmtId="0" fontId="16" fillId="0" borderId="14" xfId="58" applyFont="1" applyFill="1" applyBorder="1" applyAlignment="1">
      <alignment vertical="top"/>
      <protection/>
    </xf>
    <xf numFmtId="0" fontId="13" fillId="0" borderId="0" xfId="58" applyFont="1" applyFill="1" applyAlignment="1">
      <alignment vertical="top"/>
      <protection/>
    </xf>
    <xf numFmtId="0" fontId="13" fillId="0" borderId="13" xfId="58" applyFont="1" applyFill="1" applyBorder="1" applyAlignment="1">
      <alignment vertical="top"/>
      <protection/>
    </xf>
    <xf numFmtId="0" fontId="13" fillId="0" borderId="0" xfId="58" applyFont="1" applyFill="1" applyBorder="1" applyAlignment="1">
      <alignment vertical="top"/>
      <protection/>
    </xf>
    <xf numFmtId="0" fontId="20" fillId="0" borderId="0" xfId="58" applyFont="1" applyBorder="1" applyAlignment="1">
      <alignment horizontal="left" vertical="top"/>
      <protection/>
    </xf>
    <xf numFmtId="0" fontId="13" fillId="0" borderId="0" xfId="58" applyFont="1" applyFill="1" applyBorder="1" applyAlignment="1">
      <alignment horizontal="center" vertical="top"/>
      <protection/>
    </xf>
    <xf numFmtId="0" fontId="13" fillId="0" borderId="14" xfId="58" applyFont="1" applyFill="1" applyBorder="1" applyAlignment="1">
      <alignment vertical="top"/>
      <protection/>
    </xf>
    <xf numFmtId="0" fontId="13" fillId="0" borderId="0" xfId="58" applyFont="1" applyAlignment="1">
      <alignment vertical="top"/>
      <protection/>
    </xf>
    <xf numFmtId="0" fontId="23" fillId="0" borderId="0" xfId="58" applyFont="1" applyFill="1">
      <alignment/>
      <protection/>
    </xf>
    <xf numFmtId="0" fontId="24" fillId="0" borderId="13" xfId="58" applyFont="1" applyBorder="1" applyAlignment="1">
      <alignment horizontal="centerContinuous"/>
      <protection/>
    </xf>
    <xf numFmtId="0" fontId="24" fillId="0" borderId="0" xfId="58" applyFont="1" applyBorder="1" applyAlignment="1">
      <alignment horizontal="centerContinuous"/>
      <protection/>
    </xf>
    <xf numFmtId="0" fontId="24" fillId="0" borderId="0" xfId="58" applyFont="1" applyFill="1" applyAlignment="1">
      <alignment horizontal="centerContinuous"/>
      <protection/>
    </xf>
    <xf numFmtId="0" fontId="24" fillId="0" borderId="0" xfId="58" applyFont="1" applyFill="1" applyBorder="1" applyAlignment="1">
      <alignment horizontal="centerContinuous"/>
      <protection/>
    </xf>
    <xf numFmtId="0" fontId="26" fillId="0" borderId="0" xfId="58" applyFont="1" applyFill="1" applyAlignment="1">
      <alignment horizontal="centerContinuous"/>
      <protection/>
    </xf>
    <xf numFmtId="0" fontId="26" fillId="0" borderId="14" xfId="58" applyFont="1" applyFill="1" applyBorder="1" applyAlignment="1">
      <alignment horizontal="centerContinuous"/>
      <protection/>
    </xf>
    <xf numFmtId="0" fontId="23" fillId="0" borderId="0" xfId="58" applyFont="1">
      <alignment/>
      <protection/>
    </xf>
    <xf numFmtId="0" fontId="1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 applyProtection="1">
      <alignment horizontal="left" vertical="center"/>
      <protection/>
    </xf>
    <xf numFmtId="0" fontId="3" fillId="0" borderId="39" xfId="58" applyFont="1" applyFill="1" applyBorder="1" applyAlignment="1" applyProtection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15" xfId="58" applyFont="1" applyFill="1" applyBorder="1" applyAlignment="1" applyProtection="1" quotePrefix="1">
      <alignment horizontal="left"/>
      <protection/>
    </xf>
    <xf numFmtId="0" fontId="3" fillId="0" borderId="21" xfId="58" applyFont="1" applyFill="1" applyBorder="1" applyAlignment="1" applyProtection="1">
      <alignment horizontal="center"/>
      <protection/>
    </xf>
    <xf numFmtId="164" fontId="3" fillId="0" borderId="20" xfId="58" applyNumberFormat="1" applyFont="1" applyFill="1" applyBorder="1" applyAlignment="1" applyProtection="1">
      <alignment horizontal="center"/>
      <protection/>
    </xf>
    <xf numFmtId="0" fontId="3" fillId="0" borderId="0" xfId="58">
      <alignment/>
      <protection/>
    </xf>
    <xf numFmtId="0" fontId="48" fillId="0" borderId="0" xfId="58" applyFont="1" applyBorder="1" applyAlignment="1">
      <alignment horizontal="right"/>
      <protection/>
    </xf>
    <xf numFmtId="0" fontId="91" fillId="0" borderId="0" xfId="58" applyFont="1" applyBorder="1" applyAlignment="1">
      <alignment horizontal="center"/>
      <protection/>
    </xf>
    <xf numFmtId="0" fontId="13" fillId="0" borderId="0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22" fontId="13" fillId="0" borderId="0" xfId="58" applyNumberFormat="1" applyFont="1" applyFill="1" applyBorder="1">
      <alignment/>
      <protection/>
    </xf>
    <xf numFmtId="0" fontId="3" fillId="0" borderId="0" xfId="58" applyFont="1" applyFill="1" applyBorder="1" applyAlignment="1" applyProtection="1" quotePrefix="1">
      <alignment horizontal="left"/>
      <protection/>
    </xf>
    <xf numFmtId="0" fontId="3" fillId="0" borderId="0" xfId="58" applyFont="1" applyFill="1" applyBorder="1" applyAlignment="1" applyProtection="1">
      <alignment horizontal="center"/>
      <protection/>
    </xf>
    <xf numFmtId="164" fontId="3" fillId="0" borderId="0" xfId="58" applyNumberFormat="1" applyFont="1" applyFill="1" applyBorder="1" applyAlignment="1" applyProtection="1">
      <alignment horizontal="center"/>
      <protection/>
    </xf>
    <xf numFmtId="0" fontId="29" fillId="0" borderId="0" xfId="58" applyFont="1" applyFill="1" applyBorder="1">
      <alignment/>
      <protection/>
    </xf>
    <xf numFmtId="0" fontId="30" fillId="0" borderId="20" xfId="58" applyFont="1" applyFill="1" applyBorder="1" applyAlignment="1">
      <alignment horizontal="center" vertical="center"/>
      <protection/>
    </xf>
    <xf numFmtId="0" fontId="30" fillId="0" borderId="20" xfId="58" applyFont="1" applyBorder="1" applyAlignment="1">
      <alignment horizontal="center" vertical="center"/>
      <protection/>
    </xf>
    <xf numFmtId="0" fontId="30" fillId="0" borderId="20" xfId="58" applyFont="1" applyFill="1" applyBorder="1" applyAlignment="1" applyProtection="1">
      <alignment horizontal="center" vertical="center" wrapText="1"/>
      <protection/>
    </xf>
    <xf numFmtId="0" fontId="30" fillId="0" borderId="20" xfId="58" applyFont="1" applyFill="1" applyBorder="1" applyAlignment="1" applyProtection="1">
      <alignment horizontal="center" vertical="center"/>
      <protection/>
    </xf>
    <xf numFmtId="0" fontId="30" fillId="0" borderId="20" xfId="58" applyFont="1" applyFill="1" applyBorder="1" applyAlignment="1" applyProtection="1" quotePrefix="1">
      <alignment horizontal="center" vertical="center" wrapText="1"/>
      <protection/>
    </xf>
    <xf numFmtId="0" fontId="30" fillId="0" borderId="20" xfId="58" applyFont="1" applyFill="1" applyBorder="1" applyAlignment="1">
      <alignment horizontal="center" vertical="center" wrapText="1"/>
      <protection/>
    </xf>
    <xf numFmtId="0" fontId="60" fillId="37" borderId="20" xfId="58" applyFont="1" applyFill="1" applyBorder="1" applyAlignment="1" applyProtection="1">
      <alignment horizontal="center" vertical="center"/>
      <protection/>
    </xf>
    <xf numFmtId="0" fontId="30" fillId="0" borderId="15" xfId="58" applyFont="1" applyBorder="1" applyAlignment="1" applyProtection="1">
      <alignment horizontal="center" vertical="center" wrapText="1"/>
      <protection/>
    </xf>
    <xf numFmtId="0" fontId="30" fillId="0" borderId="15" xfId="58" applyFont="1" applyFill="1" applyBorder="1" applyAlignment="1" applyProtection="1">
      <alignment horizontal="center" vertical="center"/>
      <protection/>
    </xf>
    <xf numFmtId="164" fontId="29" fillId="42" borderId="20" xfId="58" applyNumberFormat="1" applyFont="1" applyFill="1" applyBorder="1" applyAlignment="1" applyProtection="1">
      <alignment horizontal="center" vertical="center"/>
      <protection/>
    </xf>
    <xf numFmtId="0" fontId="65" fillId="39" borderId="20" xfId="58" applyFont="1" applyFill="1" applyBorder="1" applyAlignment="1">
      <alignment horizontal="center" vertical="center" wrapText="1"/>
      <protection/>
    </xf>
    <xf numFmtId="0" fontId="66" fillId="36" borderId="20" xfId="58" applyFont="1" applyFill="1" applyBorder="1" applyAlignment="1">
      <alignment horizontal="center" vertical="center" wrapText="1"/>
      <protection/>
    </xf>
    <xf numFmtId="0" fontId="36" fillId="37" borderId="15" xfId="58" applyFont="1" applyFill="1" applyBorder="1" applyAlignment="1" applyProtection="1">
      <alignment horizontal="centerContinuous" vertical="center" wrapText="1"/>
      <protection/>
    </xf>
    <xf numFmtId="0" fontId="36" fillId="37" borderId="16" xfId="58" applyFont="1" applyFill="1" applyBorder="1" applyAlignment="1">
      <alignment horizontal="centerContinuous" vertical="center"/>
      <protection/>
    </xf>
    <xf numFmtId="0" fontId="67" fillId="43" borderId="15" xfId="58" applyFont="1" applyFill="1" applyBorder="1" applyAlignment="1" applyProtection="1">
      <alignment horizontal="centerContinuous" vertical="center" wrapText="1"/>
      <protection/>
    </xf>
    <xf numFmtId="0" fontId="67" fillId="43" borderId="16" xfId="58" applyFont="1" applyFill="1" applyBorder="1" applyAlignment="1">
      <alignment horizontal="centerContinuous" vertical="center"/>
      <protection/>
    </xf>
    <xf numFmtId="0" fontId="34" fillId="44" borderId="20" xfId="58" applyFont="1" applyFill="1" applyBorder="1" applyAlignment="1">
      <alignment horizontal="center" vertical="center" wrapText="1"/>
      <protection/>
    </xf>
    <xf numFmtId="0" fontId="68" fillId="39" borderId="20" xfId="58" applyFont="1" applyFill="1" applyBorder="1" applyAlignment="1">
      <alignment horizontal="center" vertical="center" wrapText="1"/>
      <protection/>
    </xf>
    <xf numFmtId="0" fontId="30" fillId="0" borderId="20" xfId="58" applyFont="1" applyBorder="1" applyAlignment="1">
      <alignment horizontal="center" vertical="center" wrapText="1"/>
      <protection/>
    </xf>
    <xf numFmtId="0" fontId="89" fillId="37" borderId="20" xfId="58" applyFont="1" applyFill="1" applyBorder="1" applyAlignment="1">
      <alignment horizontal="center" vertical="center" wrapText="1"/>
      <protection/>
    </xf>
    <xf numFmtId="0" fontId="13" fillId="0" borderId="41" xfId="58" applyFont="1" applyFill="1" applyBorder="1" applyAlignment="1">
      <alignment horizontal="center"/>
      <protection/>
    </xf>
    <xf numFmtId="0" fontId="13" fillId="0" borderId="59" xfId="58" applyFont="1" applyFill="1" applyBorder="1" applyAlignment="1">
      <alignment horizontal="center"/>
      <protection/>
    </xf>
    <xf numFmtId="164" fontId="13" fillId="0" borderId="59" xfId="58" applyNumberFormat="1" applyFont="1" applyFill="1" applyBorder="1" applyAlignment="1" applyProtection="1">
      <alignment horizontal="center"/>
      <protection/>
    </xf>
    <xf numFmtId="0" fontId="62" fillId="37" borderId="59" xfId="58" applyFont="1" applyFill="1" applyBorder="1" applyAlignment="1">
      <alignment horizontal="center"/>
      <protection/>
    </xf>
    <xf numFmtId="0" fontId="13" fillId="0" borderId="27" xfId="58" applyFont="1" applyBorder="1">
      <alignment/>
      <protection/>
    </xf>
    <xf numFmtId="0" fontId="13" fillId="0" borderId="55" xfId="58" applyFont="1" applyFill="1" applyBorder="1" applyAlignment="1">
      <alignment horizontal="center"/>
      <protection/>
    </xf>
    <xf numFmtId="164" fontId="29" fillId="42" borderId="22" xfId="58" applyNumberFormat="1" applyFont="1" applyFill="1" applyBorder="1" applyAlignment="1" applyProtection="1">
      <alignment horizontal="center"/>
      <protection/>
    </xf>
    <xf numFmtId="0" fontId="69" fillId="39" borderId="41" xfId="58" applyFont="1" applyFill="1" applyBorder="1" applyAlignment="1">
      <alignment horizontal="center"/>
      <protection/>
    </xf>
    <xf numFmtId="0" fontId="70" fillId="36" borderId="41" xfId="58" applyFont="1" applyFill="1" applyBorder="1" applyAlignment="1">
      <alignment horizontal="center"/>
      <protection/>
    </xf>
    <xf numFmtId="0" fontId="52" fillId="37" borderId="23" xfId="58" applyFont="1" applyFill="1" applyBorder="1" applyAlignment="1">
      <alignment horizontal="center"/>
      <protection/>
    </xf>
    <xf numFmtId="0" fontId="52" fillId="37" borderId="25" xfId="58" applyFont="1" applyFill="1" applyBorder="1" applyAlignment="1">
      <alignment horizontal="center"/>
      <protection/>
    </xf>
    <xf numFmtId="0" fontId="71" fillId="43" borderId="43" xfId="58" applyFont="1" applyFill="1" applyBorder="1" applyAlignment="1">
      <alignment horizontal="center"/>
      <protection/>
    </xf>
    <xf numFmtId="0" fontId="71" fillId="43" borderId="44" xfId="58" applyFont="1" applyFill="1" applyBorder="1" applyAlignment="1">
      <alignment horizontal="center"/>
      <protection/>
    </xf>
    <xf numFmtId="0" fontId="50" fillId="44" borderId="41" xfId="58" applyFont="1" applyFill="1" applyBorder="1" applyAlignment="1">
      <alignment horizontal="center"/>
      <protection/>
    </xf>
    <xf numFmtId="0" fontId="72" fillId="39" borderId="41" xfId="58" applyFont="1" applyFill="1" applyBorder="1" applyAlignment="1">
      <alignment horizontal="center"/>
      <protection/>
    </xf>
    <xf numFmtId="7" fontId="76" fillId="37" borderId="41" xfId="58" applyNumberFormat="1" applyFont="1" applyFill="1" applyBorder="1" applyAlignment="1">
      <alignment horizontal="center"/>
      <protection/>
    </xf>
    <xf numFmtId="7" fontId="48" fillId="0" borderId="59" xfId="58" applyNumberFormat="1" applyFont="1" applyFill="1" applyBorder="1" applyAlignment="1">
      <alignment horizontal="center"/>
      <protection/>
    </xf>
    <xf numFmtId="0" fontId="13" fillId="0" borderId="26" xfId="58" applyFont="1" applyFill="1" applyBorder="1" applyAlignment="1">
      <alignment horizontal="center"/>
      <protection/>
    </xf>
    <xf numFmtId="164" fontId="13" fillId="0" borderId="26" xfId="58" applyNumberFormat="1" applyFont="1" applyFill="1" applyBorder="1" applyAlignment="1" applyProtection="1">
      <alignment horizontal="center"/>
      <protection/>
    </xf>
    <xf numFmtId="0" fontId="62" fillId="37" borderId="26" xfId="58" applyFont="1" applyFill="1" applyBorder="1" applyAlignment="1">
      <alignment horizontal="center"/>
      <protection/>
    </xf>
    <xf numFmtId="0" fontId="13" fillId="0" borderId="28" xfId="58" applyFont="1" applyBorder="1">
      <alignment/>
      <protection/>
    </xf>
    <xf numFmtId="0" fontId="13" fillId="0" borderId="45" xfId="58" applyFont="1" applyFill="1" applyBorder="1" applyAlignment="1">
      <alignment horizontal="center"/>
      <protection/>
    </xf>
    <xf numFmtId="164" fontId="29" fillId="42" borderId="26" xfId="58" applyNumberFormat="1" applyFont="1" applyFill="1" applyBorder="1" applyAlignment="1" applyProtection="1">
      <alignment horizontal="center"/>
      <protection/>
    </xf>
    <xf numFmtId="0" fontId="69" fillId="39" borderId="26" xfId="58" applyFont="1" applyFill="1" applyBorder="1" applyAlignment="1">
      <alignment horizontal="center"/>
      <protection/>
    </xf>
    <xf numFmtId="0" fontId="70" fillId="36" borderId="26" xfId="58" applyFont="1" applyFill="1" applyBorder="1" applyAlignment="1">
      <alignment horizontal="center"/>
      <protection/>
    </xf>
    <xf numFmtId="0" fontId="52" fillId="37" borderId="46" xfId="58" applyFont="1" applyFill="1" applyBorder="1" applyAlignment="1">
      <alignment horizontal="center"/>
      <protection/>
    </xf>
    <xf numFmtId="0" fontId="52" fillId="37" borderId="47" xfId="58" applyFont="1" applyFill="1" applyBorder="1" applyAlignment="1">
      <alignment horizontal="center"/>
      <protection/>
    </xf>
    <xf numFmtId="0" fontId="71" fillId="43" borderId="46" xfId="58" applyFont="1" applyFill="1" applyBorder="1" applyAlignment="1">
      <alignment horizontal="center"/>
      <protection/>
    </xf>
    <xf numFmtId="0" fontId="71" fillId="43" borderId="47" xfId="58" applyFont="1" applyFill="1" applyBorder="1" applyAlignment="1">
      <alignment horizontal="center"/>
      <protection/>
    </xf>
    <xf numFmtId="0" fontId="50" fillId="44" borderId="26" xfId="58" applyFont="1" applyFill="1" applyBorder="1" applyAlignment="1">
      <alignment horizontal="center"/>
      <protection/>
    </xf>
    <xf numFmtId="0" fontId="72" fillId="39" borderId="26" xfId="58" applyFont="1" applyFill="1" applyBorder="1" applyAlignment="1">
      <alignment horizontal="center"/>
      <protection/>
    </xf>
    <xf numFmtId="0" fontId="76" fillId="37" borderId="26" xfId="58" applyFont="1" applyFill="1" applyBorder="1" applyAlignment="1">
      <alignment horizontal="center"/>
      <protection/>
    </xf>
    <xf numFmtId="0" fontId="48" fillId="0" borderId="26" xfId="58" applyFont="1" applyFill="1" applyBorder="1" applyAlignment="1">
      <alignment horizontal="center"/>
      <protection/>
    </xf>
    <xf numFmtId="0" fontId="13" fillId="0" borderId="27" xfId="58" applyFont="1" applyFill="1" applyBorder="1" applyAlignment="1" applyProtection="1">
      <alignment horizontal="center"/>
      <protection locked="0"/>
    </xf>
    <xf numFmtId="0" fontId="13" fillId="0" borderId="26" xfId="58" applyFont="1" applyBorder="1" applyAlignment="1" applyProtection="1">
      <alignment horizontal="center"/>
      <protection locked="0"/>
    </xf>
    <xf numFmtId="0" fontId="13" fillId="0" borderId="31" xfId="58" applyFont="1" applyBorder="1" applyAlignment="1" applyProtection="1">
      <alignment horizontal="center"/>
      <protection locked="0"/>
    </xf>
    <xf numFmtId="164" fontId="13" fillId="0" borderId="26" xfId="58" applyNumberFormat="1" applyFont="1" applyBorder="1" applyAlignment="1" applyProtection="1">
      <alignment horizontal="center"/>
      <protection locked="0"/>
    </xf>
    <xf numFmtId="1" fontId="13" fillId="0" borderId="47" xfId="58" applyNumberFormat="1" applyFont="1" applyBorder="1" applyAlignment="1" applyProtection="1">
      <alignment horizontal="center"/>
      <protection locked="0"/>
    </xf>
    <xf numFmtId="174" fontId="62" fillId="37" borderId="26" xfId="58" applyNumberFormat="1" applyFont="1" applyFill="1" applyBorder="1" applyAlignment="1" applyProtection="1">
      <alignment horizontal="center"/>
      <protection/>
    </xf>
    <xf numFmtId="22" fontId="13" fillId="0" borderId="26" xfId="58" applyNumberFormat="1" applyFont="1" applyFill="1" applyBorder="1" applyAlignment="1" applyProtection="1">
      <alignment horizontal="center"/>
      <protection locked="0"/>
    </xf>
    <xf numFmtId="4" fontId="13" fillId="0" borderId="26" xfId="58" applyNumberFormat="1" applyFont="1" applyFill="1" applyBorder="1" applyAlignment="1" applyProtection="1">
      <alignment horizontal="center"/>
      <protection/>
    </xf>
    <xf numFmtId="3" fontId="13" fillId="0" borderId="26" xfId="58" applyNumberFormat="1" applyFont="1" applyFill="1" applyBorder="1" applyAlignment="1" applyProtection="1">
      <alignment horizontal="center"/>
      <protection/>
    </xf>
    <xf numFmtId="168" fontId="13" fillId="0" borderId="26" xfId="58" applyNumberFormat="1" applyFont="1" applyFill="1" applyBorder="1" applyAlignment="1" applyProtection="1">
      <alignment horizontal="center"/>
      <protection locked="0"/>
    </xf>
    <xf numFmtId="173" fontId="13" fillId="0" borderId="28" xfId="58" applyNumberFormat="1" applyFont="1" applyBorder="1" applyAlignment="1" applyProtection="1" quotePrefix="1">
      <alignment horizontal="center"/>
      <protection/>
    </xf>
    <xf numFmtId="168" fontId="13" fillId="0" borderId="26" xfId="58" applyNumberFormat="1" applyFont="1" applyBorder="1" applyAlignment="1" applyProtection="1" quotePrefix="1">
      <alignment horizontal="center"/>
      <protection/>
    </xf>
    <xf numFmtId="168" fontId="13" fillId="0" borderId="26" xfId="58" applyNumberFormat="1" applyFont="1" applyBorder="1" applyAlignment="1" applyProtection="1">
      <alignment horizontal="center"/>
      <protection/>
    </xf>
    <xf numFmtId="2" fontId="69" fillId="39" borderId="27" xfId="58" applyNumberFormat="1" applyFont="1" applyFill="1" applyBorder="1" applyAlignment="1" applyProtection="1">
      <alignment horizontal="center"/>
      <protection/>
    </xf>
    <xf numFmtId="2" fontId="70" fillId="36" borderId="27" xfId="58" applyNumberFormat="1" applyFont="1" applyFill="1" applyBorder="1" applyAlignment="1" applyProtection="1">
      <alignment horizontal="center"/>
      <protection/>
    </xf>
    <xf numFmtId="168" fontId="52" fillId="37" borderId="46" xfId="58" applyNumberFormat="1" applyFont="1" applyFill="1" applyBorder="1" applyAlignment="1" applyProtection="1" quotePrefix="1">
      <alignment horizontal="center"/>
      <protection/>
    </xf>
    <xf numFmtId="168" fontId="52" fillId="37" borderId="47" xfId="58" applyNumberFormat="1" applyFont="1" applyFill="1" applyBorder="1" applyAlignment="1" applyProtection="1" quotePrefix="1">
      <alignment horizontal="center"/>
      <protection/>
    </xf>
    <xf numFmtId="168" fontId="71" fillId="43" borderId="46" xfId="58" applyNumberFormat="1" applyFont="1" applyFill="1" applyBorder="1" applyAlignment="1" applyProtection="1" quotePrefix="1">
      <alignment horizontal="center"/>
      <protection/>
    </xf>
    <xf numFmtId="168" fontId="71" fillId="43" borderId="47" xfId="58" applyNumberFormat="1" applyFont="1" applyFill="1" applyBorder="1" applyAlignment="1" applyProtection="1" quotePrefix="1">
      <alignment horizontal="center"/>
      <protection/>
    </xf>
    <xf numFmtId="168" fontId="50" fillId="44" borderId="27" xfId="58" applyNumberFormat="1" applyFont="1" applyFill="1" applyBorder="1" applyAlignment="1" applyProtection="1" quotePrefix="1">
      <alignment horizontal="center"/>
      <protection/>
    </xf>
    <xf numFmtId="168" fontId="72" fillId="39" borderId="26" xfId="58" applyNumberFormat="1" applyFont="1" applyFill="1" applyBorder="1" applyAlignment="1" applyProtection="1" quotePrefix="1">
      <alignment horizontal="center"/>
      <protection/>
    </xf>
    <xf numFmtId="168" fontId="13" fillId="0" borderId="45" xfId="58" applyNumberFormat="1" applyFont="1" applyFill="1" applyBorder="1" applyAlignment="1" applyProtection="1">
      <alignment horizontal="center"/>
      <protection/>
    </xf>
    <xf numFmtId="4" fontId="76" fillId="37" borderId="26" xfId="58" applyNumberFormat="1" applyFont="1" applyFill="1" applyBorder="1" applyAlignment="1">
      <alignment horizontal="right"/>
      <protection/>
    </xf>
    <xf numFmtId="4" fontId="76" fillId="0" borderId="26" xfId="58" applyNumberFormat="1" applyFont="1" applyFill="1" applyBorder="1" applyAlignment="1">
      <alignment horizontal="right"/>
      <protection/>
    </xf>
    <xf numFmtId="1" fontId="13" fillId="0" borderId="47" xfId="58" applyNumberFormat="1" applyFont="1" applyBorder="1" applyAlignment="1" applyProtection="1" quotePrefix="1">
      <alignment horizontal="center"/>
      <protection locked="0"/>
    </xf>
    <xf numFmtId="22" fontId="13" fillId="0" borderId="27" xfId="58" applyNumberFormat="1" applyFont="1" applyFill="1" applyBorder="1" applyAlignment="1" applyProtection="1">
      <alignment horizontal="center"/>
      <protection locked="0"/>
    </xf>
    <xf numFmtId="168" fontId="13" fillId="0" borderId="27" xfId="58" applyNumberFormat="1" applyFont="1" applyFill="1" applyBorder="1" applyAlignment="1" applyProtection="1">
      <alignment horizontal="center"/>
      <protection locked="0"/>
    </xf>
    <xf numFmtId="0" fontId="13" fillId="0" borderId="45" xfId="58" applyFont="1" applyBorder="1" applyAlignment="1" applyProtection="1">
      <alignment horizontal="center"/>
      <protection locked="0"/>
    </xf>
    <xf numFmtId="0" fontId="73" fillId="0" borderId="34" xfId="58" applyFont="1" applyFill="1" applyBorder="1" applyAlignment="1" applyProtection="1">
      <alignment horizontal="center"/>
      <protection locked="0"/>
    </xf>
    <xf numFmtId="164" fontId="49" fillId="0" borderId="33" xfId="58" applyNumberFormat="1" applyFont="1" applyFill="1" applyBorder="1" applyAlignment="1" applyProtection="1">
      <alignment horizontal="center"/>
      <protection locked="0"/>
    </xf>
    <xf numFmtId="168" fontId="62" fillId="37" borderId="34" xfId="58" applyNumberFormat="1" applyFont="1" applyFill="1" applyBorder="1" applyAlignment="1" applyProtection="1">
      <alignment horizontal="center"/>
      <protection/>
    </xf>
    <xf numFmtId="0" fontId="13" fillId="0" borderId="34" xfId="58" applyFont="1" applyFill="1" applyBorder="1" applyAlignment="1" applyProtection="1">
      <alignment horizontal="center"/>
      <protection locked="0"/>
    </xf>
    <xf numFmtId="38" fontId="13" fillId="0" borderId="34" xfId="58" applyNumberFormat="1" applyFont="1" applyFill="1" applyBorder="1" applyAlignment="1" applyProtection="1">
      <alignment horizontal="center"/>
      <protection locked="0"/>
    </xf>
    <xf numFmtId="38" fontId="13" fillId="0" borderId="34" xfId="58" applyNumberFormat="1" applyFont="1" applyFill="1" applyBorder="1" applyAlignment="1" applyProtection="1">
      <alignment horizontal="center"/>
      <protection/>
    </xf>
    <xf numFmtId="164" fontId="13" fillId="0" borderId="34" xfId="58" applyNumberFormat="1" applyFont="1" applyFill="1" applyBorder="1" applyAlignment="1" applyProtection="1" quotePrefix="1">
      <alignment horizontal="center"/>
      <protection/>
    </xf>
    <xf numFmtId="168" fontId="13" fillId="0" borderId="34" xfId="58" applyNumberFormat="1" applyFont="1" applyFill="1" applyBorder="1" applyAlignment="1" applyProtection="1">
      <alignment horizontal="center"/>
      <protection locked="0"/>
    </xf>
    <xf numFmtId="173" fontId="13" fillId="0" borderId="34" xfId="58" applyNumberFormat="1" applyFont="1" applyBorder="1" applyAlignment="1" applyProtection="1" quotePrefix="1">
      <alignment horizontal="center"/>
      <protection locked="0"/>
    </xf>
    <xf numFmtId="168" fontId="13" fillId="0" borderId="48" xfId="58" applyNumberFormat="1" applyFont="1" applyFill="1" applyBorder="1" applyAlignment="1" applyProtection="1">
      <alignment horizontal="center"/>
      <protection locked="0"/>
    </xf>
    <xf numFmtId="164" fontId="29" fillId="42" borderId="33" xfId="58" applyNumberFormat="1" applyFont="1" applyFill="1" applyBorder="1" applyAlignment="1" applyProtection="1">
      <alignment horizontal="center"/>
      <protection locked="0"/>
    </xf>
    <xf numFmtId="2" fontId="69" fillId="39" borderId="34" xfId="58" applyNumberFormat="1" applyFont="1" applyFill="1" applyBorder="1" applyAlignment="1" applyProtection="1">
      <alignment horizontal="center"/>
      <protection locked="0"/>
    </xf>
    <xf numFmtId="2" fontId="70" fillId="36" borderId="34" xfId="58" applyNumberFormat="1" applyFont="1" applyFill="1" applyBorder="1" applyAlignment="1" applyProtection="1">
      <alignment horizontal="center"/>
      <protection locked="0"/>
    </xf>
    <xf numFmtId="168" fontId="52" fillId="37" borderId="49" xfId="58" applyNumberFormat="1" applyFont="1" applyFill="1" applyBorder="1" applyAlignment="1" applyProtection="1" quotePrefix="1">
      <alignment horizontal="center"/>
      <protection locked="0"/>
    </xf>
    <xf numFmtId="168" fontId="52" fillId="37" borderId="50" xfId="58" applyNumberFormat="1" applyFont="1" applyFill="1" applyBorder="1" applyAlignment="1" applyProtection="1" quotePrefix="1">
      <alignment horizontal="center"/>
      <protection locked="0"/>
    </xf>
    <xf numFmtId="168" fontId="71" fillId="43" borderId="35" xfId="58" applyNumberFormat="1" applyFont="1" applyFill="1" applyBorder="1" applyAlignment="1" applyProtection="1" quotePrefix="1">
      <alignment horizontal="center"/>
      <protection locked="0"/>
    </xf>
    <xf numFmtId="168" fontId="71" fillId="43" borderId="37" xfId="58" applyNumberFormat="1" applyFont="1" applyFill="1" applyBorder="1" applyAlignment="1" applyProtection="1" quotePrefix="1">
      <alignment horizontal="center"/>
      <protection locked="0"/>
    </xf>
    <xf numFmtId="168" fontId="50" fillId="44" borderId="34" xfId="58" applyNumberFormat="1" applyFont="1" applyFill="1" applyBorder="1" applyAlignment="1" applyProtection="1" quotePrefix="1">
      <alignment horizontal="center"/>
      <protection locked="0"/>
    </xf>
    <xf numFmtId="168" fontId="72" fillId="39" borderId="34" xfId="58" applyNumberFormat="1" applyFont="1" applyFill="1" applyBorder="1" applyAlignment="1" applyProtection="1" quotePrefix="1">
      <alignment horizontal="center"/>
      <protection locked="0"/>
    </xf>
    <xf numFmtId="168" fontId="74" fillId="0" borderId="48" xfId="58" applyNumberFormat="1" applyFont="1" applyFill="1" applyBorder="1" applyAlignment="1" applyProtection="1">
      <alignment horizontal="center"/>
      <protection locked="0"/>
    </xf>
    <xf numFmtId="168" fontId="76" fillId="37" borderId="38" xfId="58" applyNumberFormat="1" applyFont="1" applyFill="1" applyBorder="1" applyAlignment="1">
      <alignment horizontal="center"/>
      <protection/>
    </xf>
    <xf numFmtId="168" fontId="64" fillId="0" borderId="38" xfId="58" applyNumberFormat="1" applyFont="1" applyFill="1" applyBorder="1" applyAlignment="1">
      <alignment horizontal="center"/>
      <protection/>
    </xf>
    <xf numFmtId="0" fontId="87" fillId="0" borderId="39" xfId="58" applyFont="1" applyBorder="1" applyAlignment="1">
      <alignment horizontal="center"/>
      <protection/>
    </xf>
    <xf numFmtId="0" fontId="87" fillId="0" borderId="0" xfId="58" applyFont="1" applyFill="1" applyBorder="1" applyAlignment="1">
      <alignment horizontal="left"/>
      <protection/>
    </xf>
    <xf numFmtId="0" fontId="57" fillId="0" borderId="39" xfId="58" applyFont="1" applyBorder="1" applyAlignment="1">
      <alignment horizontal="center"/>
      <protection/>
    </xf>
    <xf numFmtId="0" fontId="58" fillId="0" borderId="0" xfId="58" applyFont="1" applyBorder="1" applyAlignment="1" applyProtection="1">
      <alignment horizontal="left"/>
      <protection/>
    </xf>
    <xf numFmtId="164" fontId="29" fillId="0" borderId="0" xfId="58" applyNumberFormat="1" applyFont="1" applyFill="1" applyBorder="1" applyAlignment="1" applyProtection="1">
      <alignment horizontal="center"/>
      <protection/>
    </xf>
    <xf numFmtId="4" fontId="69" fillId="39" borderId="20" xfId="58" applyNumberFormat="1" applyFont="1" applyFill="1" applyBorder="1" applyAlignment="1">
      <alignment horizontal="center"/>
      <protection/>
    </xf>
    <xf numFmtId="4" fontId="70" fillId="36" borderId="20" xfId="58" applyNumberFormat="1" applyFont="1" applyFill="1" applyBorder="1" applyAlignment="1">
      <alignment horizontal="center"/>
      <protection/>
    </xf>
    <xf numFmtId="4" fontId="52" fillId="37" borderId="52" xfId="58" applyNumberFormat="1" applyFont="1" applyFill="1" applyBorder="1" applyAlignment="1">
      <alignment horizontal="center"/>
      <protection/>
    </xf>
    <xf numFmtId="4" fontId="52" fillId="37" borderId="16" xfId="58" applyNumberFormat="1" applyFont="1" applyFill="1" applyBorder="1" applyAlignment="1">
      <alignment horizontal="center"/>
      <protection/>
    </xf>
    <xf numFmtId="4" fontId="71" fillId="43" borderId="52" xfId="58" applyNumberFormat="1" applyFont="1" applyFill="1" applyBorder="1" applyAlignment="1">
      <alignment horizontal="center"/>
      <protection/>
    </xf>
    <xf numFmtId="4" fontId="71" fillId="43" borderId="53" xfId="58" applyNumberFormat="1" applyFont="1" applyFill="1" applyBorder="1" applyAlignment="1">
      <alignment horizontal="center"/>
      <protection/>
    </xf>
    <xf numFmtId="4" fontId="50" fillId="44" borderId="52" xfId="58" applyNumberFormat="1" applyFont="1" applyFill="1" applyBorder="1" applyAlignment="1">
      <alignment horizontal="center"/>
      <protection/>
    </xf>
    <xf numFmtId="4" fontId="72" fillId="39" borderId="53" xfId="58" applyNumberFormat="1" applyFont="1" applyFill="1" applyBorder="1" applyAlignment="1">
      <alignment horizontal="center"/>
      <protection/>
    </xf>
    <xf numFmtId="7" fontId="75" fillId="37" borderId="20" xfId="58" applyNumberFormat="1" applyFont="1" applyFill="1" applyBorder="1" applyAlignment="1">
      <alignment horizontal="right"/>
      <protection/>
    </xf>
    <xf numFmtId="7" fontId="75" fillId="0" borderId="20" xfId="58" applyNumberFormat="1" applyFont="1" applyFill="1" applyBorder="1" applyAlignment="1">
      <alignment horizontal="right"/>
      <protection/>
    </xf>
    <xf numFmtId="0" fontId="13" fillId="0" borderId="17" xfId="58" applyFont="1" applyFill="1" applyBorder="1">
      <alignment/>
      <protection/>
    </xf>
    <xf numFmtId="0" fontId="13" fillId="0" borderId="18" xfId="58" applyFont="1" applyFill="1" applyBorder="1">
      <alignment/>
      <protection/>
    </xf>
    <xf numFmtId="0" fontId="13" fillId="0" borderId="19" xfId="58" applyFont="1" applyFill="1" applyBorder="1">
      <alignment/>
      <protection/>
    </xf>
    <xf numFmtId="0" fontId="3" fillId="0" borderId="0" xfId="58" applyFill="1">
      <alignment/>
      <protection/>
    </xf>
    <xf numFmtId="0" fontId="0" fillId="0" borderId="0" xfId="58" applyFont="1">
      <alignment/>
      <protection/>
    </xf>
    <xf numFmtId="0" fontId="93" fillId="0" borderId="0" xfId="67" applyFont="1" applyFill="1">
      <alignment/>
      <protection/>
    </xf>
    <xf numFmtId="0" fontId="94" fillId="0" borderId="0" xfId="67" applyFont="1" applyAlignment="1">
      <alignment horizontal="centerContinuous"/>
      <protection/>
    </xf>
    <xf numFmtId="0" fontId="93" fillId="0" borderId="0" xfId="67" applyFont="1" applyAlignment="1">
      <alignment horizontal="centerContinuous"/>
      <protection/>
    </xf>
    <xf numFmtId="0" fontId="93" fillId="0" borderId="0" xfId="67" applyFont="1">
      <alignment/>
      <protection/>
    </xf>
    <xf numFmtId="0" fontId="6" fillId="0" borderId="0" xfId="67" applyFont="1" applyFill="1" applyBorder="1" applyAlignment="1" applyProtection="1">
      <alignment horizontal="center"/>
      <protection/>
    </xf>
    <xf numFmtId="0" fontId="6" fillId="0" borderId="0" xfId="67" applyFont="1" applyFill="1" applyBorder="1" applyAlignment="1" applyProtection="1">
      <alignment horizontal="left"/>
      <protection/>
    </xf>
    <xf numFmtId="0" fontId="3" fillId="0" borderId="11" xfId="67" applyBorder="1">
      <alignment/>
      <protection/>
    </xf>
    <xf numFmtId="0" fontId="19" fillId="0" borderId="0" xfId="67" applyFont="1" applyBorder="1">
      <alignment/>
      <protection/>
    </xf>
    <xf numFmtId="0" fontId="17" fillId="0" borderId="0" xfId="67" applyFont="1" applyBorder="1">
      <alignment/>
      <protection/>
    </xf>
    <xf numFmtId="0" fontId="23" fillId="0" borderId="14" xfId="67" applyFont="1" applyFill="1" applyBorder="1">
      <alignment/>
      <protection/>
    </xf>
    <xf numFmtId="0" fontId="23" fillId="0" borderId="0" xfId="67" applyFont="1" applyAlignment="1">
      <alignment horizontal="centerContinuous"/>
      <protection/>
    </xf>
    <xf numFmtId="0" fontId="23" fillId="0" borderId="0" xfId="67" applyFont="1" applyAlignment="1">
      <alignment/>
      <protection/>
    </xf>
    <xf numFmtId="0" fontId="95" fillId="0" borderId="0" xfId="67" applyFont="1" applyBorder="1" applyAlignment="1" quotePrefix="1">
      <alignment horizontal="left"/>
      <protection/>
    </xf>
    <xf numFmtId="168" fontId="48" fillId="0" borderId="0" xfId="67" applyNumberFormat="1" applyFont="1" applyBorder="1" applyAlignment="1" applyProtection="1">
      <alignment horizontal="left"/>
      <protection/>
    </xf>
    <xf numFmtId="0" fontId="21" fillId="0" borderId="13" xfId="67" applyFont="1" applyBorder="1">
      <alignment/>
      <protection/>
    </xf>
    <xf numFmtId="0" fontId="21" fillId="0" borderId="0" xfId="67" applyFont="1" applyBorder="1" applyAlignment="1">
      <alignment horizontal="right"/>
      <protection/>
    </xf>
    <xf numFmtId="7" fontId="21" fillId="0" borderId="0" xfId="67" applyNumberFormat="1" applyFont="1" applyBorder="1" applyAlignment="1">
      <alignment horizontal="center"/>
      <protection/>
    </xf>
    <xf numFmtId="0" fontId="21" fillId="0" borderId="0" xfId="67" applyFont="1" applyBorder="1" applyAlignment="1">
      <alignment horizontal="center"/>
      <protection/>
    </xf>
    <xf numFmtId="0" fontId="96" fillId="0" borderId="0" xfId="67" applyFont="1" applyBorder="1" applyAlignment="1" quotePrefix="1">
      <alignment horizontal="left"/>
      <protection/>
    </xf>
    <xf numFmtId="0" fontId="21" fillId="0" borderId="14" xfId="67" applyFont="1" applyFill="1" applyBorder="1">
      <alignment/>
      <protection/>
    </xf>
    <xf numFmtId="0" fontId="21" fillId="0" borderId="0" xfId="67" applyFont="1" applyBorder="1" applyAlignment="1" applyProtection="1">
      <alignment horizontal="left"/>
      <protection/>
    </xf>
    <xf numFmtId="174" fontId="21" fillId="0" borderId="0" xfId="67" applyNumberFormat="1" applyFont="1" applyBorder="1" applyAlignment="1">
      <alignment horizontal="center"/>
      <protection/>
    </xf>
    <xf numFmtId="168" fontId="21" fillId="0" borderId="0" xfId="67" applyNumberFormat="1" applyFont="1" applyBorder="1" applyAlignment="1" applyProtection="1">
      <alignment horizontal="left"/>
      <protection/>
    </xf>
    <xf numFmtId="0" fontId="21" fillId="0" borderId="0" xfId="67" applyFont="1" applyAlignment="1">
      <alignment horizontal="right"/>
      <protection/>
    </xf>
    <xf numFmtId="10" fontId="21" fillId="0" borderId="0" xfId="67" applyNumberFormat="1" applyFont="1" applyBorder="1" applyAlignment="1" applyProtection="1">
      <alignment horizontal="right"/>
      <protection/>
    </xf>
    <xf numFmtId="183" fontId="21" fillId="0" borderId="0" xfId="67" applyNumberFormat="1" applyFont="1" applyBorder="1">
      <alignment/>
      <protection/>
    </xf>
    <xf numFmtId="0" fontId="21" fillId="0" borderId="0" xfId="67" applyFont="1" applyBorder="1" applyAlignment="1" applyProtection="1">
      <alignment horizontal="center"/>
      <protection/>
    </xf>
    <xf numFmtId="168" fontId="4" fillId="0" borderId="15" xfId="67" applyNumberFormat="1" applyFont="1" applyBorder="1" applyAlignment="1" applyProtection="1">
      <alignment horizontal="center"/>
      <protection/>
    </xf>
    <xf numFmtId="183" fontId="21" fillId="0" borderId="16" xfId="67" applyNumberFormat="1" applyFont="1" applyBorder="1" applyAlignment="1" applyProtection="1">
      <alignment horizontal="centerContinuous"/>
      <protection/>
    </xf>
    <xf numFmtId="164" fontId="30" fillId="0" borderId="16" xfId="67" applyNumberFormat="1" applyFont="1" applyBorder="1" applyAlignment="1" applyProtection="1">
      <alignment horizontal="center" vertical="center" wrapText="1"/>
      <protection/>
    </xf>
    <xf numFmtId="0" fontId="30" fillId="0" borderId="21" xfId="67" applyFont="1" applyBorder="1" applyAlignment="1" applyProtection="1">
      <alignment horizontal="center" vertical="center" wrapText="1"/>
      <protection/>
    </xf>
    <xf numFmtId="168" fontId="60" fillId="37" borderId="20" xfId="67" applyNumberFormat="1" applyFont="1" applyFill="1" applyBorder="1" applyAlignment="1" applyProtection="1">
      <alignment horizontal="center" vertical="center"/>
      <protection/>
    </xf>
    <xf numFmtId="0" fontId="61" fillId="42" borderId="20" xfId="67" applyFont="1" applyFill="1" applyBorder="1" applyAlignment="1">
      <alignment horizontal="center" vertical="center" wrapText="1"/>
      <protection/>
    </xf>
    <xf numFmtId="0" fontId="89" fillId="49" borderId="20" xfId="67" applyFont="1" applyFill="1" applyBorder="1" applyAlignment="1">
      <alignment horizontal="center" vertical="center" wrapText="1"/>
      <protection/>
    </xf>
    <xf numFmtId="0" fontId="97" fillId="35" borderId="15" xfId="67" applyFont="1" applyFill="1" applyBorder="1" applyAlignment="1" applyProtection="1">
      <alignment horizontal="centerContinuous" vertical="center" wrapText="1"/>
      <protection/>
    </xf>
    <xf numFmtId="0" fontId="98" fillId="35" borderId="21" xfId="67" applyFont="1" applyFill="1" applyBorder="1" applyAlignment="1">
      <alignment horizontal="centerContinuous"/>
      <protection/>
    </xf>
    <xf numFmtId="0" fontId="97" fillId="35" borderId="16" xfId="67" applyFont="1" applyFill="1" applyBorder="1" applyAlignment="1">
      <alignment horizontal="centerContinuous" vertical="center"/>
      <protection/>
    </xf>
    <xf numFmtId="0" fontId="61" fillId="50" borderId="15" xfId="67" applyFont="1" applyFill="1" applyBorder="1" applyAlignment="1">
      <alignment horizontal="centerContinuous" vertical="center" wrapText="1"/>
      <protection/>
    </xf>
    <xf numFmtId="0" fontId="99" fillId="50" borderId="21" xfId="67" applyFont="1" applyFill="1" applyBorder="1" applyAlignment="1">
      <alignment horizontal="centerContinuous"/>
      <protection/>
    </xf>
    <xf numFmtId="0" fontId="61" fillId="50" borderId="16" xfId="67" applyFont="1" applyFill="1" applyBorder="1" applyAlignment="1">
      <alignment horizontal="centerContinuous" vertical="center"/>
      <protection/>
    </xf>
    <xf numFmtId="0" fontId="61" fillId="39" borderId="20" xfId="67" applyFont="1" applyFill="1" applyBorder="1" applyAlignment="1">
      <alignment horizontal="centerContinuous" vertical="center" wrapText="1"/>
      <protection/>
    </xf>
    <xf numFmtId="0" fontId="61" fillId="51" borderId="20" xfId="67" applyFont="1" applyFill="1" applyBorder="1" applyAlignment="1">
      <alignment horizontal="centerContinuous" vertical="center" wrapText="1"/>
      <protection/>
    </xf>
    <xf numFmtId="0" fontId="30" fillId="0" borderId="16" xfId="67" applyFont="1" applyBorder="1" applyAlignment="1">
      <alignment horizontal="center" vertical="center" wrapText="1"/>
      <protection/>
    </xf>
    <xf numFmtId="0" fontId="21" fillId="0" borderId="27" xfId="67" applyFont="1" applyBorder="1">
      <alignment/>
      <protection/>
    </xf>
    <xf numFmtId="164" fontId="21" fillId="0" borderId="28" xfId="67" applyNumberFormat="1" applyFont="1" applyBorder="1" applyProtection="1">
      <alignment/>
      <protection/>
    </xf>
    <xf numFmtId="164" fontId="21" fillId="0" borderId="27" xfId="67" applyNumberFormat="1" applyFont="1" applyBorder="1" applyAlignment="1" applyProtection="1">
      <alignment horizontal="center"/>
      <protection/>
    </xf>
    <xf numFmtId="164" fontId="21" fillId="0" borderId="22" xfId="67" applyNumberFormat="1" applyFont="1" applyBorder="1" applyAlignment="1" applyProtection="1">
      <alignment horizontal="center"/>
      <protection/>
    </xf>
    <xf numFmtId="164" fontId="100" fillId="37" borderId="22" xfId="67" applyNumberFormat="1" applyFont="1" applyFill="1" applyBorder="1" applyAlignment="1" applyProtection="1">
      <alignment horizontal="center"/>
      <protection/>
    </xf>
    <xf numFmtId="0" fontId="101" fillId="34" borderId="22" xfId="67" applyFont="1" applyFill="1" applyBorder="1" applyAlignment="1">
      <alignment horizontal="center"/>
      <protection/>
    </xf>
    <xf numFmtId="0" fontId="21" fillId="0" borderId="22" xfId="67" applyFont="1" applyBorder="1" applyAlignment="1">
      <alignment horizontal="center"/>
      <protection/>
    </xf>
    <xf numFmtId="0" fontId="21" fillId="0" borderId="66" xfId="67" applyFont="1" applyBorder="1" applyAlignment="1">
      <alignment horizontal="center"/>
      <protection/>
    </xf>
    <xf numFmtId="0" fontId="13" fillId="0" borderId="28" xfId="67" applyFont="1" applyBorder="1" applyAlignment="1">
      <alignment horizontal="center"/>
      <protection/>
    </xf>
    <xf numFmtId="0" fontId="13" fillId="0" borderId="22" xfId="67" applyFont="1" applyBorder="1" applyAlignment="1">
      <alignment horizontal="center"/>
      <protection/>
    </xf>
    <xf numFmtId="0" fontId="63" fillId="42" borderId="22" xfId="67" applyFont="1" applyFill="1" applyBorder="1" applyAlignment="1">
      <alignment horizontal="center"/>
      <protection/>
    </xf>
    <xf numFmtId="0" fontId="90" fillId="49" borderId="22" xfId="67" applyFont="1" applyFill="1" applyBorder="1" applyAlignment="1">
      <alignment horizontal="center"/>
      <protection/>
    </xf>
    <xf numFmtId="168" fontId="102" fillId="35" borderId="23" xfId="67" applyNumberFormat="1" applyFont="1" applyFill="1" applyBorder="1" applyAlignment="1" applyProtection="1" quotePrefix="1">
      <alignment horizontal="center"/>
      <protection/>
    </xf>
    <xf numFmtId="168" fontId="102" fillId="35" borderId="73" xfId="67" applyNumberFormat="1" applyFont="1" applyFill="1" applyBorder="1" applyAlignment="1" applyProtection="1" quotePrefix="1">
      <alignment horizontal="center"/>
      <protection/>
    </xf>
    <xf numFmtId="4" fontId="102" fillId="35" borderId="67" xfId="67" applyNumberFormat="1" applyFont="1" applyFill="1" applyBorder="1" applyAlignment="1" applyProtection="1">
      <alignment horizontal="center"/>
      <protection/>
    </xf>
    <xf numFmtId="168" fontId="63" fillId="50" borderId="23" xfId="67" applyNumberFormat="1" applyFont="1" applyFill="1" applyBorder="1" applyAlignment="1" applyProtection="1" quotePrefix="1">
      <alignment horizontal="center"/>
      <protection/>
    </xf>
    <xf numFmtId="168" fontId="63" fillId="50" borderId="73" xfId="67" applyNumberFormat="1" applyFont="1" applyFill="1" applyBorder="1" applyAlignment="1" applyProtection="1" quotePrefix="1">
      <alignment horizontal="center"/>
      <protection/>
    </xf>
    <xf numFmtId="4" fontId="63" fillId="50" borderId="67" xfId="67" applyNumberFormat="1" applyFont="1" applyFill="1" applyBorder="1" applyAlignment="1" applyProtection="1">
      <alignment horizontal="center"/>
      <protection/>
    </xf>
    <xf numFmtId="4" fontId="63" fillId="39" borderId="22" xfId="67" applyNumberFormat="1" applyFont="1" applyFill="1" applyBorder="1" applyAlignment="1" applyProtection="1">
      <alignment horizontal="center"/>
      <protection/>
    </xf>
    <xf numFmtId="4" fontId="63" fillId="51" borderId="22" xfId="67" applyNumberFormat="1" applyFont="1" applyFill="1" applyBorder="1" applyAlignment="1" applyProtection="1">
      <alignment horizontal="center"/>
      <protection/>
    </xf>
    <xf numFmtId="0" fontId="13" fillId="0" borderId="67" xfId="67" applyFont="1" applyBorder="1" applyAlignment="1">
      <alignment horizontal="left"/>
      <protection/>
    </xf>
    <xf numFmtId="0" fontId="48" fillId="0" borderId="67" xfId="67" applyFont="1" applyBorder="1" applyAlignment="1">
      <alignment horizontal="center"/>
      <protection/>
    </xf>
    <xf numFmtId="164" fontId="13" fillId="0" borderId="27" xfId="67" applyNumberFormat="1" applyFont="1" applyBorder="1" applyAlignment="1" applyProtection="1">
      <alignment horizontal="center"/>
      <protection/>
    </xf>
    <xf numFmtId="0" fontId="100" fillId="37" borderId="27" xfId="67" applyFont="1" applyFill="1" applyBorder="1" applyAlignment="1" applyProtection="1">
      <alignment horizontal="center"/>
      <protection/>
    </xf>
    <xf numFmtId="168" fontId="101" fillId="34" borderId="27" xfId="67" applyNumberFormat="1" applyFont="1" applyFill="1" applyBorder="1" applyAlignment="1" applyProtection="1">
      <alignment horizontal="center"/>
      <protection/>
    </xf>
    <xf numFmtId="22" fontId="13" fillId="0" borderId="27" xfId="67" applyNumberFormat="1" applyFont="1" applyBorder="1" applyAlignment="1">
      <alignment horizontal="center"/>
      <protection/>
    </xf>
    <xf numFmtId="22" fontId="13" fillId="0" borderId="31" xfId="67" applyNumberFormat="1" applyFont="1" applyBorder="1" applyAlignment="1">
      <alignment horizontal="center"/>
      <protection/>
    </xf>
    <xf numFmtId="4" fontId="13" fillId="0" borderId="27" xfId="67" applyNumberFormat="1" applyFont="1" applyFill="1" applyBorder="1" applyAlignment="1" applyProtection="1" quotePrefix="1">
      <alignment horizontal="center"/>
      <protection/>
    </xf>
    <xf numFmtId="168" fontId="13" fillId="0" borderId="28" xfId="67" applyNumberFormat="1" applyFont="1" applyBorder="1" applyAlignment="1" applyProtection="1">
      <alignment horizontal="center"/>
      <protection/>
    </xf>
    <xf numFmtId="2" fontId="63" fillId="42" borderId="27" xfId="67" applyNumberFormat="1" applyFont="1" applyFill="1" applyBorder="1" applyAlignment="1" applyProtection="1">
      <alignment horizontal="center"/>
      <protection/>
    </xf>
    <xf numFmtId="2" fontId="90" fillId="49" borderId="27" xfId="67" applyNumberFormat="1" applyFont="1" applyFill="1" applyBorder="1" applyAlignment="1" applyProtection="1">
      <alignment horizontal="center"/>
      <protection/>
    </xf>
    <xf numFmtId="168" fontId="102" fillId="35" borderId="29" xfId="67" applyNumberFormat="1" applyFont="1" applyFill="1" applyBorder="1" applyAlignment="1" applyProtection="1" quotePrefix="1">
      <alignment horizontal="center"/>
      <protection/>
    </xf>
    <xf numFmtId="168" fontId="102" fillId="35" borderId="30" xfId="67" applyNumberFormat="1" applyFont="1" applyFill="1" applyBorder="1" applyAlignment="1" applyProtection="1" quotePrefix="1">
      <alignment horizontal="center"/>
      <protection/>
    </xf>
    <xf numFmtId="4" fontId="102" fillId="35" borderId="28" xfId="67" applyNumberFormat="1" applyFont="1" applyFill="1" applyBorder="1" applyAlignment="1" applyProtection="1">
      <alignment horizontal="center"/>
      <protection/>
    </xf>
    <xf numFmtId="168" fontId="63" fillId="50" borderId="29" xfId="67" applyNumberFormat="1" applyFont="1" applyFill="1" applyBorder="1" applyAlignment="1" applyProtection="1" quotePrefix="1">
      <alignment horizontal="center"/>
      <protection/>
    </xf>
    <xf numFmtId="168" fontId="63" fillId="50" borderId="30" xfId="67" applyNumberFormat="1" applyFont="1" applyFill="1" applyBorder="1" applyAlignment="1" applyProtection="1" quotePrefix="1">
      <alignment horizontal="center"/>
      <protection/>
    </xf>
    <xf numFmtId="4" fontId="63" fillId="50" borderId="28" xfId="67" applyNumberFormat="1" applyFont="1" applyFill="1" applyBorder="1" applyAlignment="1" applyProtection="1">
      <alignment horizontal="center"/>
      <protection/>
    </xf>
    <xf numFmtId="4" fontId="63" fillId="39" borderId="27" xfId="67" applyNumberFormat="1" applyFont="1" applyFill="1" applyBorder="1" applyAlignment="1" applyProtection="1">
      <alignment horizontal="center"/>
      <protection/>
    </xf>
    <xf numFmtId="4" fontId="63" fillId="51" borderId="27" xfId="67" applyNumberFormat="1" applyFont="1" applyFill="1" applyBorder="1" applyAlignment="1" applyProtection="1">
      <alignment horizontal="center"/>
      <protection/>
    </xf>
    <xf numFmtId="4" fontId="13" fillId="0" borderId="28" xfId="67" applyNumberFormat="1" applyFont="1" applyBorder="1" applyAlignment="1" applyProtection="1">
      <alignment horizontal="center"/>
      <protection/>
    </xf>
    <xf numFmtId="164" fontId="13" fillId="0" borderId="28" xfId="66" applyNumberFormat="1" applyFont="1" applyFill="1" applyBorder="1" applyAlignment="1" applyProtection="1">
      <alignment horizontal="center"/>
      <protection locked="0"/>
    </xf>
    <xf numFmtId="0" fontId="13" fillId="0" borderId="34" xfId="67" applyFont="1" applyFill="1" applyBorder="1" applyAlignment="1">
      <alignment horizontal="center"/>
      <protection/>
    </xf>
    <xf numFmtId="0" fontId="21" fillId="0" borderId="34" xfId="67" applyFont="1" applyBorder="1" applyAlignment="1">
      <alignment horizontal="center"/>
      <protection/>
    </xf>
    <xf numFmtId="164" fontId="103" fillId="0" borderId="34" xfId="67" applyNumberFormat="1" applyFont="1" applyBorder="1" applyAlignment="1" applyProtection="1">
      <alignment horizontal="center"/>
      <protection/>
    </xf>
    <xf numFmtId="0" fontId="21" fillId="0" borderId="34" xfId="67" applyFont="1" applyBorder="1" applyAlignment="1" applyProtection="1">
      <alignment horizontal="center"/>
      <protection/>
    </xf>
    <xf numFmtId="165" fontId="21" fillId="0" borderId="34" xfId="67" applyNumberFormat="1" applyFont="1" applyBorder="1" applyAlignment="1" applyProtection="1">
      <alignment horizontal="center"/>
      <protection/>
    </xf>
    <xf numFmtId="165" fontId="100" fillId="37" borderId="34" xfId="67" applyNumberFormat="1" applyFont="1" applyFill="1" applyBorder="1" applyAlignment="1" applyProtection="1">
      <alignment horizontal="center"/>
      <protection/>
    </xf>
    <xf numFmtId="168" fontId="101" fillId="34" borderId="34" xfId="67" applyNumberFormat="1" applyFont="1" applyFill="1" applyBorder="1" applyAlignment="1" applyProtection="1">
      <alignment horizontal="center"/>
      <protection/>
    </xf>
    <xf numFmtId="168" fontId="21" fillId="0" borderId="34" xfId="67" applyNumberFormat="1" applyFont="1" applyBorder="1" applyAlignment="1" applyProtection="1">
      <alignment horizontal="center"/>
      <protection/>
    </xf>
    <xf numFmtId="173" fontId="13" fillId="0" borderId="34" xfId="67" applyNumberFormat="1" applyFont="1" applyBorder="1" applyAlignment="1" applyProtection="1" quotePrefix="1">
      <alignment horizontal="center"/>
      <protection/>
    </xf>
    <xf numFmtId="2" fontId="63" fillId="42" borderId="34" xfId="67" applyNumberFormat="1" applyFont="1" applyFill="1" applyBorder="1" applyAlignment="1" applyProtection="1">
      <alignment horizontal="center"/>
      <protection/>
    </xf>
    <xf numFmtId="2" fontId="90" fillId="49" borderId="34" xfId="67" applyNumberFormat="1" applyFont="1" applyFill="1" applyBorder="1" applyAlignment="1" applyProtection="1">
      <alignment horizontal="center"/>
      <protection/>
    </xf>
    <xf numFmtId="168" fontId="102" fillId="35" borderId="35" xfId="67" applyNumberFormat="1" applyFont="1" applyFill="1" applyBorder="1" applyAlignment="1" applyProtection="1" quotePrefix="1">
      <alignment horizontal="center"/>
      <protection/>
    </xf>
    <xf numFmtId="168" fontId="102" fillId="35" borderId="74" xfId="67" applyNumberFormat="1" applyFont="1" applyFill="1" applyBorder="1" applyAlignment="1" applyProtection="1" quotePrefix="1">
      <alignment horizontal="center"/>
      <protection/>
    </xf>
    <xf numFmtId="4" fontId="102" fillId="35" borderId="48" xfId="67" applyNumberFormat="1" applyFont="1" applyFill="1" applyBorder="1" applyAlignment="1" applyProtection="1">
      <alignment horizontal="center"/>
      <protection/>
    </xf>
    <xf numFmtId="168" fontId="63" fillId="50" borderId="35" xfId="67" applyNumberFormat="1" applyFont="1" applyFill="1" applyBorder="1" applyAlignment="1" applyProtection="1" quotePrefix="1">
      <alignment horizontal="center"/>
      <protection/>
    </xf>
    <xf numFmtId="168" fontId="63" fillId="50" borderId="74" xfId="67" applyNumberFormat="1" applyFont="1" applyFill="1" applyBorder="1" applyAlignment="1" applyProtection="1" quotePrefix="1">
      <alignment horizontal="center"/>
      <protection/>
    </xf>
    <xf numFmtId="4" fontId="63" fillId="50" borderId="48" xfId="67" applyNumberFormat="1" applyFont="1" applyFill="1" applyBorder="1" applyAlignment="1" applyProtection="1">
      <alignment horizontal="center"/>
      <protection/>
    </xf>
    <xf numFmtId="4" fontId="63" fillId="39" borderId="34" xfId="67" applyNumberFormat="1" applyFont="1" applyFill="1" applyBorder="1" applyAlignment="1" applyProtection="1">
      <alignment horizontal="center"/>
      <protection/>
    </xf>
    <xf numFmtId="4" fontId="63" fillId="51" borderId="34" xfId="67" applyNumberFormat="1" applyFont="1" applyFill="1" applyBorder="1" applyAlignment="1" applyProtection="1">
      <alignment horizontal="center"/>
      <protection/>
    </xf>
    <xf numFmtId="4" fontId="49" fillId="0" borderId="34" xfId="67" applyNumberFormat="1" applyFont="1" applyBorder="1" applyAlignment="1" applyProtection="1">
      <alignment horizontal="center"/>
      <protection/>
    </xf>
    <xf numFmtId="168" fontId="64" fillId="0" borderId="34" xfId="67" applyNumberFormat="1" applyFont="1" applyFill="1" applyBorder="1" applyAlignment="1">
      <alignment horizontal="center"/>
      <protection/>
    </xf>
    <xf numFmtId="4" fontId="13" fillId="0" borderId="14" xfId="67" applyNumberFormat="1" applyFont="1" applyFill="1" applyBorder="1" applyAlignment="1">
      <alignment horizontal="center"/>
      <protection/>
    </xf>
    <xf numFmtId="164" fontId="103" fillId="0" borderId="0" xfId="67" applyNumberFormat="1" applyFont="1" applyBorder="1" applyAlignment="1" applyProtection="1">
      <alignment horizontal="center"/>
      <protection/>
    </xf>
    <xf numFmtId="165" fontId="21" fillId="0" borderId="0" xfId="67" applyNumberFormat="1" applyFont="1" applyBorder="1" applyAlignment="1" applyProtection="1">
      <alignment horizontal="center"/>
      <protection/>
    </xf>
    <xf numFmtId="168" fontId="21" fillId="0" borderId="0" xfId="67" applyNumberFormat="1" applyFont="1" applyBorder="1" applyAlignment="1" applyProtection="1">
      <alignment horizontal="center"/>
      <protection/>
    </xf>
    <xf numFmtId="173" fontId="21" fillId="0" borderId="0" xfId="67" applyNumberFormat="1" applyFont="1" applyBorder="1" applyAlignment="1" applyProtection="1" quotePrefix="1">
      <alignment horizontal="center"/>
      <protection/>
    </xf>
    <xf numFmtId="2" fontId="101" fillId="42" borderId="20" xfId="67" applyNumberFormat="1" applyFont="1" applyFill="1" applyBorder="1" applyAlignment="1" applyProtection="1">
      <alignment horizontal="center"/>
      <protection/>
    </xf>
    <xf numFmtId="2" fontId="75" fillId="49" borderId="20" xfId="67" applyNumberFormat="1" applyFont="1" applyFill="1" applyBorder="1" applyAlignment="1" applyProtection="1">
      <alignment horizontal="center"/>
      <protection/>
    </xf>
    <xf numFmtId="2" fontId="104" fillId="35" borderId="20" xfId="67" applyNumberFormat="1" applyFont="1" applyFill="1" applyBorder="1" applyAlignment="1" applyProtection="1">
      <alignment horizontal="center"/>
      <protection/>
    </xf>
    <xf numFmtId="2" fontId="101" fillId="50" borderId="20" xfId="67" applyNumberFormat="1" applyFont="1" applyFill="1" applyBorder="1" applyAlignment="1" applyProtection="1">
      <alignment horizontal="center"/>
      <protection/>
    </xf>
    <xf numFmtId="2" fontId="101" fillId="39" borderId="20" xfId="67" applyNumberFormat="1" applyFont="1" applyFill="1" applyBorder="1" applyAlignment="1" applyProtection="1">
      <alignment horizontal="center"/>
      <protection/>
    </xf>
    <xf numFmtId="2" fontId="101" fillId="51" borderId="20" xfId="67" applyNumberFormat="1" applyFont="1" applyFill="1" applyBorder="1" applyAlignment="1" applyProtection="1">
      <alignment horizontal="center"/>
      <protection/>
    </xf>
    <xf numFmtId="2" fontId="21" fillId="0" borderId="42" xfId="67" applyNumberFormat="1" applyFont="1" applyBorder="1" applyAlignment="1" applyProtection="1">
      <alignment horizontal="center"/>
      <protection/>
    </xf>
    <xf numFmtId="7" fontId="48" fillId="0" borderId="20" xfId="67" applyNumberFormat="1" applyFont="1" applyBorder="1" applyAlignment="1" applyProtection="1">
      <alignment horizontal="right"/>
      <protection/>
    </xf>
    <xf numFmtId="2" fontId="101" fillId="0" borderId="21" xfId="67" applyNumberFormat="1" applyFont="1" applyFill="1" applyBorder="1" applyAlignment="1" applyProtection="1">
      <alignment horizontal="center"/>
      <protection/>
    </xf>
    <xf numFmtId="2" fontId="75" fillId="0" borderId="21" xfId="67" applyNumberFormat="1" applyFont="1" applyFill="1" applyBorder="1" applyAlignment="1" applyProtection="1">
      <alignment horizontal="center"/>
      <protection/>
    </xf>
    <xf numFmtId="2" fontId="104" fillId="0" borderId="21" xfId="67" applyNumberFormat="1" applyFont="1" applyFill="1" applyBorder="1" applyAlignment="1" applyProtection="1">
      <alignment horizontal="center"/>
      <protection/>
    </xf>
    <xf numFmtId="2" fontId="21" fillId="0" borderId="0" xfId="67" applyNumberFormat="1" applyFont="1" applyBorder="1" applyAlignment="1" applyProtection="1">
      <alignment horizontal="center"/>
      <protection/>
    </xf>
    <xf numFmtId="7" fontId="21" fillId="0" borderId="0" xfId="67" applyNumberFormat="1" applyFont="1" applyBorder="1" applyAlignment="1" applyProtection="1">
      <alignment horizontal="center"/>
      <protection/>
    </xf>
    <xf numFmtId="0" fontId="60" fillId="52" borderId="20" xfId="67" applyFont="1" applyFill="1" applyBorder="1" applyAlignment="1" applyProtection="1">
      <alignment horizontal="center" vertical="center"/>
      <protection/>
    </xf>
    <xf numFmtId="0" fontId="30" fillId="0" borderId="15" xfId="67" applyFont="1" applyFill="1" applyBorder="1" applyAlignment="1" applyProtection="1">
      <alignment horizontal="centerContinuous" vertical="center"/>
      <protection/>
    </xf>
    <xf numFmtId="0" fontId="30" fillId="0" borderId="21" xfId="67" applyFont="1" applyFill="1" applyBorder="1" applyAlignment="1" applyProtection="1">
      <alignment horizontal="centerContinuous" vertical="center"/>
      <protection/>
    </xf>
    <xf numFmtId="0" fontId="61" fillId="53" borderId="20" xfId="67" applyFont="1" applyFill="1" applyBorder="1" applyAlignment="1">
      <alignment horizontal="center" vertical="center" wrapText="1"/>
      <protection/>
    </xf>
    <xf numFmtId="0" fontId="61" fillId="48" borderId="15" xfId="67" applyFont="1" applyFill="1" applyBorder="1" applyAlignment="1" applyProtection="1">
      <alignment horizontal="centerContinuous" vertical="center" wrapText="1"/>
      <protection/>
    </xf>
    <xf numFmtId="0" fontId="61" fillId="48" borderId="16" xfId="67" applyFont="1" applyFill="1" applyBorder="1" applyAlignment="1">
      <alignment horizontal="centerContinuous" vertical="center"/>
      <protection/>
    </xf>
    <xf numFmtId="0" fontId="61" fillId="35" borderId="20" xfId="67" applyFont="1" applyFill="1" applyBorder="1" applyAlignment="1">
      <alignment horizontal="centerContinuous" vertical="center" wrapText="1"/>
      <protection/>
    </xf>
    <xf numFmtId="0" fontId="61" fillId="52" borderId="68" xfId="67" applyFont="1" applyFill="1" applyBorder="1" applyAlignment="1">
      <alignment vertical="center" wrapText="1"/>
      <protection/>
    </xf>
    <xf numFmtId="0" fontId="61" fillId="52" borderId="39" xfId="67" applyFont="1" applyFill="1" applyBorder="1" applyAlignment="1">
      <alignment vertical="center" wrapText="1"/>
      <protection/>
    </xf>
    <xf numFmtId="0" fontId="61" fillId="52" borderId="42" xfId="67" applyFont="1" applyFill="1" applyBorder="1" applyAlignment="1">
      <alignment vertical="center" wrapText="1"/>
      <protection/>
    </xf>
    <xf numFmtId="164" fontId="13" fillId="0" borderId="27" xfId="67" applyNumberFormat="1" applyFont="1" applyFill="1" applyBorder="1" applyAlignment="1" applyProtection="1">
      <alignment horizontal="center"/>
      <protection/>
    </xf>
    <xf numFmtId="0" fontId="105" fillId="37" borderId="27" xfId="67" applyFont="1" applyFill="1" applyBorder="1" applyAlignment="1">
      <alignment horizontal="center"/>
      <protection/>
    </xf>
    <xf numFmtId="0" fontId="105" fillId="52" borderId="27" xfId="67" applyFont="1" applyFill="1" applyBorder="1" applyAlignment="1">
      <alignment horizontal="center"/>
      <protection/>
    </xf>
    <xf numFmtId="0" fontId="13" fillId="0" borderId="28" xfId="67" applyFont="1" applyFill="1" applyBorder="1" applyAlignment="1">
      <alignment horizontal="center"/>
      <protection/>
    </xf>
    <xf numFmtId="0" fontId="13" fillId="0" borderId="32" xfId="67" applyFont="1" applyFill="1" applyBorder="1" applyAlignment="1">
      <alignment horizontal="centerContinuous"/>
      <protection/>
    </xf>
    <xf numFmtId="0" fontId="13" fillId="0" borderId="28" xfId="67" applyFont="1" applyFill="1" applyBorder="1" applyAlignment="1">
      <alignment horizontal="centerContinuous"/>
      <protection/>
    </xf>
    <xf numFmtId="0" fontId="62" fillId="37" borderId="22" xfId="67" applyFont="1" applyFill="1" applyBorder="1" applyAlignment="1">
      <alignment horizontal="center"/>
      <protection/>
    </xf>
    <xf numFmtId="0" fontId="29" fillId="53" borderId="22" xfId="67" applyFont="1" applyFill="1" applyBorder="1" applyAlignment="1">
      <alignment horizontal="center"/>
      <protection/>
    </xf>
    <xf numFmtId="0" fontId="29" fillId="48" borderId="23" xfId="67" applyFont="1" applyFill="1" applyBorder="1" applyAlignment="1">
      <alignment horizontal="center"/>
      <protection/>
    </xf>
    <xf numFmtId="0" fontId="29" fillId="48" borderId="25" xfId="67" applyFont="1" applyFill="1" applyBorder="1" applyAlignment="1">
      <alignment horizontal="left"/>
      <protection/>
    </xf>
    <xf numFmtId="0" fontId="29" fillId="35" borderId="22" xfId="67" applyFont="1" applyFill="1" applyBorder="1" applyAlignment="1">
      <alignment horizontal="left"/>
      <protection/>
    </xf>
    <xf numFmtId="0" fontId="29" fillId="52" borderId="60" xfId="67" applyFont="1" applyFill="1" applyBorder="1" applyAlignment="1">
      <alignment horizontal="left"/>
      <protection/>
    </xf>
    <xf numFmtId="0" fontId="29" fillId="52" borderId="0" xfId="67" applyFont="1" applyFill="1" applyBorder="1" applyAlignment="1">
      <alignment horizontal="left"/>
      <protection/>
    </xf>
    <xf numFmtId="0" fontId="29" fillId="52" borderId="55" xfId="67" applyFont="1" applyFill="1" applyBorder="1" applyAlignment="1">
      <alignment horizontal="left"/>
      <protection/>
    </xf>
    <xf numFmtId="0" fontId="48" fillId="0" borderId="28" xfId="67" applyFont="1" applyFill="1" applyBorder="1" applyAlignment="1">
      <alignment horizontal="center"/>
      <protection/>
    </xf>
    <xf numFmtId="168" fontId="105" fillId="37" borderId="27" xfId="67" applyNumberFormat="1" applyFont="1" applyFill="1" applyBorder="1" applyAlignment="1" applyProtection="1">
      <alignment horizontal="center"/>
      <protection/>
    </xf>
    <xf numFmtId="168" fontId="105" fillId="52" borderId="27" xfId="67" applyNumberFormat="1" applyFont="1" applyFill="1" applyBorder="1" applyAlignment="1" applyProtection="1">
      <alignment horizontal="center"/>
      <protection/>
    </xf>
    <xf numFmtId="22" fontId="13" fillId="0" borderId="27" xfId="67" applyNumberFormat="1" applyFont="1" applyFill="1" applyBorder="1" applyAlignment="1" applyProtection="1">
      <alignment horizontal="center"/>
      <protection/>
    </xf>
    <xf numFmtId="168" fontId="13" fillId="0" borderId="27" xfId="67" applyNumberFormat="1" applyFont="1" applyFill="1" applyBorder="1" applyAlignment="1" applyProtection="1">
      <alignment horizontal="center"/>
      <protection/>
    </xf>
    <xf numFmtId="168" fontId="13" fillId="0" borderId="32" xfId="67" applyNumberFormat="1" applyFont="1" applyBorder="1" applyAlignment="1" applyProtection="1">
      <alignment horizontal="centerContinuous"/>
      <protection/>
    </xf>
    <xf numFmtId="168" fontId="13" fillId="0" borderId="28" xfId="67" applyNumberFormat="1" applyFont="1" applyBorder="1" applyAlignment="1" applyProtection="1">
      <alignment horizontal="centerContinuous"/>
      <protection/>
    </xf>
    <xf numFmtId="164" fontId="62" fillId="37" borderId="27" xfId="67" applyNumberFormat="1" applyFont="1" applyFill="1" applyBorder="1" applyAlignment="1" applyProtection="1">
      <alignment horizontal="center"/>
      <protection/>
    </xf>
    <xf numFmtId="2" fontId="63" fillId="53" borderId="27" xfId="67" applyNumberFormat="1" applyFont="1" applyFill="1" applyBorder="1" applyAlignment="1">
      <alignment horizontal="center"/>
      <protection/>
    </xf>
    <xf numFmtId="168" fontId="63" fillId="48" borderId="46" xfId="67" applyNumberFormat="1" applyFont="1" applyFill="1" applyBorder="1" applyAlignment="1" applyProtection="1" quotePrefix="1">
      <alignment horizontal="center"/>
      <protection/>
    </xf>
    <xf numFmtId="168" fontId="63" fillId="48" borderId="47" xfId="67" applyNumberFormat="1" applyFont="1" applyFill="1" applyBorder="1" applyAlignment="1" applyProtection="1" quotePrefix="1">
      <alignment horizontal="center"/>
      <protection/>
    </xf>
    <xf numFmtId="168" fontId="63" fillId="52" borderId="60" xfId="67" applyNumberFormat="1" applyFont="1" applyFill="1" applyBorder="1" applyAlignment="1" applyProtection="1" quotePrefix="1">
      <alignment horizontal="center"/>
      <protection/>
    </xf>
    <xf numFmtId="168" fontId="63" fillId="52" borderId="0" xfId="67" applyNumberFormat="1" applyFont="1" applyFill="1" applyBorder="1" applyAlignment="1" applyProtection="1" quotePrefix="1">
      <alignment horizontal="center"/>
      <protection/>
    </xf>
    <xf numFmtId="168" fontId="63" fillId="52" borderId="55" xfId="67" applyNumberFormat="1" applyFont="1" applyFill="1" applyBorder="1" applyAlignment="1" applyProtection="1" quotePrefix="1">
      <alignment horizontal="center"/>
      <protection/>
    </xf>
    <xf numFmtId="0" fontId="13" fillId="0" borderId="26" xfId="67" applyFont="1" applyBorder="1" applyAlignment="1" applyProtection="1">
      <alignment horizontal="center"/>
      <protection/>
    </xf>
    <xf numFmtId="0" fontId="13" fillId="0" borderId="33" xfId="67" applyFont="1" applyBorder="1" applyAlignment="1" applyProtection="1">
      <alignment horizontal="center"/>
      <protection/>
    </xf>
    <xf numFmtId="0" fontId="13" fillId="0" borderId="69" xfId="67" applyFont="1" applyBorder="1" applyAlignment="1" applyProtection="1">
      <alignment horizontal="center"/>
      <protection/>
    </xf>
    <xf numFmtId="164" fontId="13" fillId="0" borderId="33" xfId="67" applyNumberFormat="1" applyFont="1" applyBorder="1" applyAlignment="1" applyProtection="1">
      <alignment horizontal="center"/>
      <protection/>
    </xf>
    <xf numFmtId="1" fontId="13" fillId="0" borderId="50" xfId="67" applyNumberFormat="1" applyFont="1" applyBorder="1" applyAlignment="1" applyProtection="1" quotePrefix="1">
      <alignment horizontal="center"/>
      <protection/>
    </xf>
    <xf numFmtId="168" fontId="105" fillId="37" borderId="34" xfId="67" applyNumberFormat="1" applyFont="1" applyFill="1" applyBorder="1" applyAlignment="1" applyProtection="1">
      <alignment horizontal="center"/>
      <protection/>
    </xf>
    <xf numFmtId="168" fontId="105" fillId="52" borderId="34" xfId="67" applyNumberFormat="1" applyFont="1" applyFill="1" applyBorder="1" applyAlignment="1" applyProtection="1">
      <alignment horizontal="center"/>
      <protection/>
    </xf>
    <xf numFmtId="22" fontId="13" fillId="0" borderId="34" xfId="67" applyNumberFormat="1" applyFont="1" applyFill="1" applyBorder="1" applyAlignment="1">
      <alignment horizontal="center"/>
      <protection/>
    </xf>
    <xf numFmtId="22" fontId="13" fillId="0" borderId="34" xfId="67" applyNumberFormat="1" applyFont="1" applyFill="1" applyBorder="1" applyAlignment="1" applyProtection="1">
      <alignment horizontal="center"/>
      <protection/>
    </xf>
    <xf numFmtId="4" fontId="13" fillId="0" borderId="34" xfId="67" applyNumberFormat="1" applyFont="1" applyFill="1" applyBorder="1" applyAlignment="1" applyProtection="1">
      <alignment horizontal="center"/>
      <protection/>
    </xf>
    <xf numFmtId="3" fontId="13" fillId="0" borderId="34" xfId="67" applyNumberFormat="1" applyFont="1" applyFill="1" applyBorder="1" applyAlignment="1" applyProtection="1">
      <alignment horizontal="center"/>
      <protection/>
    </xf>
    <xf numFmtId="168" fontId="13" fillId="0" borderId="34" xfId="67" applyNumberFormat="1" applyFont="1" applyFill="1" applyBorder="1" applyAlignment="1" applyProtection="1">
      <alignment horizontal="center"/>
      <protection/>
    </xf>
    <xf numFmtId="168" fontId="13" fillId="0" borderId="65" xfId="67" applyNumberFormat="1" applyFont="1" applyBorder="1" applyAlignment="1" applyProtection="1">
      <alignment horizontal="centerContinuous"/>
      <protection/>
    </xf>
    <xf numFmtId="168" fontId="13" fillId="0" borderId="48" xfId="67" applyNumberFormat="1" applyFont="1" applyBorder="1" applyAlignment="1" applyProtection="1">
      <alignment horizontal="centerContinuous"/>
      <protection/>
    </xf>
    <xf numFmtId="164" fontId="62" fillId="37" borderId="34" xfId="67" applyNumberFormat="1" applyFont="1" applyFill="1" applyBorder="1" applyAlignment="1" applyProtection="1">
      <alignment horizontal="center"/>
      <protection/>
    </xf>
    <xf numFmtId="2" fontId="29" fillId="53" borderId="34" xfId="67" applyNumberFormat="1" applyFont="1" applyFill="1" applyBorder="1" applyAlignment="1">
      <alignment horizontal="center"/>
      <protection/>
    </xf>
    <xf numFmtId="168" fontId="29" fillId="48" borderId="49" xfId="67" applyNumberFormat="1" applyFont="1" applyFill="1" applyBorder="1" applyAlignment="1" applyProtection="1" quotePrefix="1">
      <alignment horizontal="center"/>
      <protection/>
    </xf>
    <xf numFmtId="168" fontId="29" fillId="48" borderId="50" xfId="67" applyNumberFormat="1" applyFont="1" applyFill="1" applyBorder="1" applyAlignment="1" applyProtection="1" quotePrefix="1">
      <alignment horizontal="center"/>
      <protection/>
    </xf>
    <xf numFmtId="168" fontId="29" fillId="35" borderId="34" xfId="67" applyNumberFormat="1" applyFont="1" applyFill="1" applyBorder="1" applyAlignment="1" applyProtection="1" quotePrefix="1">
      <alignment horizontal="center"/>
      <protection/>
    </xf>
    <xf numFmtId="168" fontId="29" fillId="52" borderId="65" xfId="67" applyNumberFormat="1" applyFont="1" applyFill="1" applyBorder="1" applyAlignment="1" applyProtection="1" quotePrefix="1">
      <alignment horizontal="center"/>
      <protection/>
    </xf>
    <xf numFmtId="168" fontId="29" fillId="52" borderId="63" xfId="67" applyNumberFormat="1" applyFont="1" applyFill="1" applyBorder="1" applyAlignment="1" applyProtection="1" quotePrefix="1">
      <alignment horizontal="center"/>
      <protection/>
    </xf>
    <xf numFmtId="168" fontId="29" fillId="52" borderId="48" xfId="67" applyNumberFormat="1" applyFont="1" applyFill="1" applyBorder="1" applyAlignment="1" applyProtection="1" quotePrefix="1">
      <alignment horizontal="center"/>
      <protection/>
    </xf>
    <xf numFmtId="168" fontId="13" fillId="0" borderId="48" xfId="67" applyNumberFormat="1" applyFont="1" applyFill="1" applyBorder="1" applyAlignment="1">
      <alignment horizontal="center"/>
      <protection/>
    </xf>
    <xf numFmtId="4" fontId="76" fillId="0" borderId="48" xfId="67" applyNumberFormat="1" applyFont="1" applyFill="1" applyBorder="1" applyAlignment="1">
      <alignment horizontal="right"/>
      <protection/>
    </xf>
    <xf numFmtId="164" fontId="13" fillId="0" borderId="0" xfId="67" applyNumberFormat="1" applyFont="1" applyBorder="1" applyAlignment="1" applyProtection="1">
      <alignment horizontal="center"/>
      <protection/>
    </xf>
    <xf numFmtId="1" fontId="13" fillId="0" borderId="0" xfId="67" applyNumberFormat="1" applyFont="1" applyBorder="1" applyAlignment="1" applyProtection="1" quotePrefix="1">
      <alignment horizontal="center"/>
      <protection/>
    </xf>
    <xf numFmtId="168" fontId="13" fillId="0" borderId="0" xfId="67" applyNumberFormat="1" applyFont="1" applyFill="1" applyBorder="1" applyAlignment="1" applyProtection="1">
      <alignment horizontal="center"/>
      <protection/>
    </xf>
    <xf numFmtId="22" fontId="13" fillId="0" borderId="0" xfId="67" applyNumberFormat="1" applyFont="1" applyFill="1" applyBorder="1" applyAlignment="1">
      <alignment horizontal="center"/>
      <protection/>
    </xf>
    <xf numFmtId="22" fontId="13" fillId="0" borderId="0" xfId="67" applyNumberFormat="1" applyFont="1" applyFill="1" applyBorder="1" applyAlignment="1" applyProtection="1">
      <alignment horizontal="center"/>
      <protection/>
    </xf>
    <xf numFmtId="4" fontId="13" fillId="0" borderId="0" xfId="67" applyNumberFormat="1" applyFont="1" applyFill="1" applyBorder="1" applyAlignment="1" applyProtection="1">
      <alignment horizontal="center"/>
      <protection/>
    </xf>
    <xf numFmtId="3" fontId="13" fillId="0" borderId="0" xfId="67" applyNumberFormat="1" applyFont="1" applyFill="1" applyBorder="1" applyAlignment="1" applyProtection="1">
      <alignment horizontal="center"/>
      <protection/>
    </xf>
    <xf numFmtId="168" fontId="13" fillId="0" borderId="0" xfId="67" applyNumberFormat="1" applyFont="1" applyBorder="1" applyAlignment="1" applyProtection="1" quotePrefix="1">
      <alignment horizontal="center"/>
      <protection/>
    </xf>
    <xf numFmtId="164" fontId="13" fillId="0" borderId="0" xfId="67" applyNumberFormat="1" applyFont="1" applyFill="1" applyBorder="1" applyAlignment="1" applyProtection="1">
      <alignment horizontal="center"/>
      <protection/>
    </xf>
    <xf numFmtId="2" fontId="59" fillId="0" borderId="0" xfId="67" applyNumberFormat="1" applyFont="1" applyFill="1" applyBorder="1" applyAlignment="1">
      <alignment horizontal="center"/>
      <protection/>
    </xf>
    <xf numFmtId="168" fontId="49" fillId="0" borderId="0" xfId="67" applyNumberFormat="1" applyFont="1" applyFill="1" applyBorder="1" applyAlignment="1" applyProtection="1" quotePrefix="1">
      <alignment horizontal="center"/>
      <protection/>
    </xf>
    <xf numFmtId="168" fontId="13" fillId="0" borderId="0" xfId="67" applyNumberFormat="1" applyFont="1" applyFill="1" applyBorder="1" applyAlignment="1">
      <alignment horizontal="center"/>
      <protection/>
    </xf>
    <xf numFmtId="4" fontId="76" fillId="0" borderId="20" xfId="67" applyNumberFormat="1" applyFont="1" applyFill="1" applyBorder="1" applyAlignment="1">
      <alignment horizontal="right"/>
      <protection/>
    </xf>
    <xf numFmtId="168" fontId="13" fillId="0" borderId="0" xfId="67" applyNumberFormat="1" applyFont="1" applyBorder="1" applyAlignment="1" applyProtection="1" quotePrefix="1">
      <alignment horizontal="centerContinuous"/>
      <protection/>
    </xf>
    <xf numFmtId="168" fontId="13" fillId="0" borderId="0" xfId="67" applyNumberFormat="1" applyFont="1" applyBorder="1" applyAlignment="1" applyProtection="1">
      <alignment horizontal="centerContinuous"/>
      <protection/>
    </xf>
    <xf numFmtId="4" fontId="76" fillId="0" borderId="0" xfId="67" applyNumberFormat="1" applyFont="1" applyFill="1" applyBorder="1" applyAlignment="1">
      <alignment horizontal="right"/>
      <protection/>
    </xf>
    <xf numFmtId="2" fontId="106" fillId="0" borderId="0" xfId="67" applyNumberFormat="1" applyFont="1" applyBorder="1" applyAlignment="1" applyProtection="1">
      <alignment horizontal="left"/>
      <protection/>
    </xf>
    <xf numFmtId="168" fontId="106" fillId="0" borderId="0" xfId="67" applyNumberFormat="1" applyFont="1" applyBorder="1" applyAlignment="1" applyProtection="1">
      <alignment horizontal="center"/>
      <protection/>
    </xf>
    <xf numFmtId="0" fontId="106" fillId="0" borderId="0" xfId="67" applyFont="1" applyBorder="1" applyAlignment="1" applyProtection="1">
      <alignment horizontal="center"/>
      <protection/>
    </xf>
    <xf numFmtId="165" fontId="106" fillId="0" borderId="0" xfId="67" applyNumberFormat="1" applyFont="1" applyBorder="1" applyAlignment="1" applyProtection="1">
      <alignment horizontal="center"/>
      <protection/>
    </xf>
    <xf numFmtId="0" fontId="107" fillId="0" borderId="0" xfId="67" applyFont="1">
      <alignment/>
      <protection/>
    </xf>
    <xf numFmtId="173" fontId="106" fillId="0" borderId="0" xfId="67" applyNumberFormat="1" applyFont="1" applyBorder="1" applyAlignment="1" applyProtection="1" quotePrefix="1">
      <alignment horizontal="center"/>
      <protection/>
    </xf>
    <xf numFmtId="0" fontId="106" fillId="0" borderId="0" xfId="67" applyFont="1">
      <alignment/>
      <protection/>
    </xf>
    <xf numFmtId="2" fontId="106" fillId="0" borderId="0" xfId="67" applyNumberFormat="1" applyFont="1" applyBorder="1" applyAlignment="1" applyProtection="1">
      <alignment horizontal="center"/>
      <protection/>
    </xf>
    <xf numFmtId="168" fontId="106" fillId="0" borderId="0" xfId="67" applyNumberFormat="1" applyFont="1" applyBorder="1" applyAlignment="1" applyProtection="1" quotePrefix="1">
      <alignment horizontal="center"/>
      <protection/>
    </xf>
    <xf numFmtId="4" fontId="21" fillId="0" borderId="14" xfId="67" applyNumberFormat="1" applyFont="1" applyFill="1" applyBorder="1" applyAlignment="1">
      <alignment horizontal="center"/>
      <protection/>
    </xf>
    <xf numFmtId="0" fontId="4" fillId="0" borderId="0" xfId="67" applyFont="1" applyBorder="1" applyAlignment="1">
      <alignment horizontal="center"/>
      <protection/>
    </xf>
    <xf numFmtId="2" fontId="108" fillId="0" borderId="0" xfId="67" applyNumberFormat="1" applyFont="1" applyBorder="1" applyAlignment="1" applyProtection="1">
      <alignment horizontal="left"/>
      <protection/>
    </xf>
    <xf numFmtId="0" fontId="21" fillId="0" borderId="0" xfId="67" applyFont="1" applyAlignment="1">
      <alignment horizontal="center"/>
      <protection/>
    </xf>
    <xf numFmtId="173" fontId="4" fillId="0" borderId="0" xfId="67" applyNumberFormat="1" applyFont="1" applyBorder="1" applyAlignment="1" applyProtection="1">
      <alignment horizontal="left"/>
      <protection/>
    </xf>
    <xf numFmtId="168" fontId="4" fillId="0" borderId="0" xfId="67" applyNumberFormat="1" applyFont="1" applyBorder="1" applyAlignment="1" applyProtection="1">
      <alignment horizontal="left"/>
      <protection/>
    </xf>
    <xf numFmtId="4" fontId="103" fillId="0" borderId="0" xfId="67" applyNumberFormat="1" applyFont="1" applyBorder="1" applyAlignment="1" applyProtection="1">
      <alignment horizontal="center"/>
      <protection/>
    </xf>
    <xf numFmtId="7" fontId="4" fillId="0" borderId="0" xfId="67" applyNumberFormat="1" applyFont="1" applyBorder="1" applyAlignment="1">
      <alignment horizontal="centerContinuous"/>
      <protection/>
    </xf>
    <xf numFmtId="1" fontId="21" fillId="0" borderId="0" xfId="67" applyNumberFormat="1" applyFont="1" applyBorder="1" applyAlignment="1" applyProtection="1">
      <alignment horizontal="center"/>
      <protection/>
    </xf>
    <xf numFmtId="183" fontId="21" fillId="0" borderId="0" xfId="67" applyNumberFormat="1" applyFont="1" applyBorder="1" applyAlignment="1" applyProtection="1">
      <alignment horizontal="centerContinuous"/>
      <protection/>
    </xf>
    <xf numFmtId="183" fontId="106" fillId="0" borderId="0" xfId="67" applyNumberFormat="1" applyFont="1" applyBorder="1" applyAlignment="1" applyProtection="1">
      <alignment horizontal="centerContinuous"/>
      <protection/>
    </xf>
    <xf numFmtId="168" fontId="106" fillId="0" borderId="0" xfId="67" applyNumberFormat="1" applyFont="1" applyBorder="1" applyAlignment="1" applyProtection="1" quotePrefix="1">
      <alignment horizontal="left"/>
      <protection/>
    </xf>
    <xf numFmtId="168" fontId="21" fillId="0" borderId="0" xfId="67" applyNumberFormat="1" applyFont="1" applyBorder="1">
      <alignment/>
      <protection/>
    </xf>
    <xf numFmtId="7" fontId="21" fillId="0" borderId="0" xfId="67" applyNumberFormat="1" applyFont="1" applyBorder="1" applyAlignment="1">
      <alignment horizontal="centerContinuous"/>
      <protection/>
    </xf>
    <xf numFmtId="0" fontId="21" fillId="0" borderId="0" xfId="67" applyFont="1" applyAlignment="1">
      <alignment horizontal="centerContinuous"/>
      <protection/>
    </xf>
    <xf numFmtId="168" fontId="21" fillId="0" borderId="0" xfId="67" applyNumberFormat="1" applyFont="1" applyBorder="1" applyAlignment="1" applyProtection="1">
      <alignment horizontal="centerContinuous"/>
      <protection/>
    </xf>
    <xf numFmtId="168" fontId="106" fillId="0" borderId="0" xfId="67" applyNumberFormat="1" applyFont="1" applyBorder="1" applyAlignment="1" applyProtection="1" quotePrefix="1">
      <alignment horizontal="right"/>
      <protection/>
    </xf>
    <xf numFmtId="168" fontId="103" fillId="0" borderId="0" xfId="67" applyNumberFormat="1" applyFont="1" applyBorder="1" applyAlignment="1" applyProtection="1" quotePrefix="1">
      <alignment horizontal="center"/>
      <protection/>
    </xf>
    <xf numFmtId="2" fontId="109" fillId="0" borderId="0" xfId="67" applyNumberFormat="1" applyFont="1" applyBorder="1" applyAlignment="1" applyProtection="1">
      <alignment horizontal="center"/>
      <protection/>
    </xf>
    <xf numFmtId="4" fontId="106" fillId="0" borderId="0" xfId="67" applyNumberFormat="1" applyFont="1" applyBorder="1" applyAlignment="1" applyProtection="1">
      <alignment horizontal="center"/>
      <protection/>
    </xf>
    <xf numFmtId="7" fontId="106" fillId="0" borderId="0" xfId="67" applyNumberFormat="1" applyFont="1" applyFill="1" applyBorder="1" applyAlignment="1">
      <alignment horizontal="center"/>
      <protection/>
    </xf>
    <xf numFmtId="7" fontId="106" fillId="0" borderId="56" xfId="67" applyNumberFormat="1" applyFont="1" applyFill="1" applyBorder="1" applyAlignment="1">
      <alignment horizontal="center"/>
      <protection/>
    </xf>
    <xf numFmtId="7" fontId="21" fillId="0" borderId="0" xfId="67" applyNumberFormat="1" applyFont="1" applyBorder="1" applyAlignment="1">
      <alignment horizontal="right"/>
      <protection/>
    </xf>
    <xf numFmtId="0" fontId="122" fillId="0" borderId="15" xfId="67" applyFont="1" applyBorder="1">
      <alignment/>
      <protection/>
    </xf>
    <xf numFmtId="168" fontId="22" fillId="0" borderId="0" xfId="67" applyNumberFormat="1" applyFont="1" applyBorder="1" applyAlignment="1" applyProtection="1">
      <alignment horizontal="left"/>
      <protection/>
    </xf>
    <xf numFmtId="10" fontId="21" fillId="0" borderId="0" xfId="67" applyNumberFormat="1" applyFont="1" applyBorder="1" applyAlignment="1" applyProtection="1">
      <alignment horizontal="center"/>
      <protection/>
    </xf>
    <xf numFmtId="7" fontId="21" fillId="0" borderId="0" xfId="67" applyNumberFormat="1" applyFont="1" applyAlignment="1">
      <alignment horizontal="right"/>
      <protection/>
    </xf>
    <xf numFmtId="0" fontId="21" fillId="0" borderId="0" xfId="67" applyFont="1" quotePrefix="1">
      <alignment/>
      <protection/>
    </xf>
    <xf numFmtId="168" fontId="21" fillId="0" borderId="0" xfId="67" applyNumberFormat="1" applyFont="1" applyBorder="1" applyAlignment="1" applyProtection="1" quotePrefix="1">
      <alignment horizontal="center"/>
      <protection/>
    </xf>
    <xf numFmtId="7" fontId="21" fillId="0" borderId="0" xfId="67" applyNumberFormat="1" applyFont="1" applyBorder="1" applyAlignment="1" applyProtection="1">
      <alignment horizontal="left"/>
      <protection/>
    </xf>
    <xf numFmtId="0" fontId="107" fillId="0" borderId="0" xfId="67" applyFont="1" quotePrefix="1">
      <alignment/>
      <protection/>
    </xf>
    <xf numFmtId="0" fontId="111" fillId="0" borderId="0" xfId="67" applyFont="1" applyAlignment="1">
      <alignment vertical="center"/>
      <protection/>
    </xf>
    <xf numFmtId="0" fontId="23" fillId="0" borderId="13" xfId="67" applyFont="1" applyBorder="1" applyAlignment="1">
      <alignment vertical="center"/>
      <protection/>
    </xf>
    <xf numFmtId="0" fontId="23" fillId="0" borderId="0" xfId="67" applyFont="1" applyBorder="1" applyAlignment="1">
      <alignment horizontal="center" vertical="center"/>
      <protection/>
    </xf>
    <xf numFmtId="168" fontId="23" fillId="0" borderId="0" xfId="67" applyNumberFormat="1" applyFont="1" applyBorder="1" applyAlignment="1" applyProtection="1">
      <alignment horizontal="left" vertical="center"/>
      <protection/>
    </xf>
    <xf numFmtId="0" fontId="111" fillId="0" borderId="0" xfId="67" applyFont="1" applyAlignment="1" quotePrefix="1">
      <alignment vertical="center"/>
      <protection/>
    </xf>
    <xf numFmtId="0" fontId="23" fillId="0" borderId="0" xfId="67" applyFont="1" applyBorder="1" applyAlignment="1" applyProtection="1">
      <alignment horizontal="center" vertical="center"/>
      <protection/>
    </xf>
    <xf numFmtId="165" fontId="23" fillId="0" borderId="0" xfId="67" applyNumberFormat="1" applyFont="1" applyBorder="1" applyAlignment="1" applyProtection="1">
      <alignment horizontal="center" vertical="center"/>
      <protection/>
    </xf>
    <xf numFmtId="4" fontId="10" fillId="0" borderId="15" xfId="67" applyNumberFormat="1" applyFont="1" applyBorder="1" applyAlignment="1" applyProtection="1">
      <alignment horizontal="center" vertical="center"/>
      <protection/>
    </xf>
    <xf numFmtId="7" fontId="112" fillId="0" borderId="16" xfId="67" applyNumberFormat="1" applyFont="1" applyFill="1" applyBorder="1" applyAlignment="1">
      <alignment horizontal="center" vertical="center"/>
      <protection/>
    </xf>
    <xf numFmtId="0" fontId="113" fillId="0" borderId="0" xfId="67" applyFont="1" applyBorder="1">
      <alignment/>
      <protection/>
    </xf>
    <xf numFmtId="168" fontId="23" fillId="0" borderId="0" xfId="67" applyNumberFormat="1" applyFont="1" applyBorder="1" applyAlignment="1" applyProtection="1">
      <alignment horizontal="center" vertical="center"/>
      <protection/>
    </xf>
    <xf numFmtId="2" fontId="115" fillId="0" borderId="0" xfId="67" applyNumberFormat="1" applyFont="1" applyBorder="1" applyAlignment="1" applyProtection="1">
      <alignment horizontal="center" vertical="center"/>
      <protection/>
    </xf>
    <xf numFmtId="168" fontId="116" fillId="0" borderId="0" xfId="67" applyNumberFormat="1" applyFont="1" applyBorder="1" applyAlignment="1" applyProtection="1" quotePrefix="1">
      <alignment horizontal="center" vertical="center"/>
      <protection/>
    </xf>
    <xf numFmtId="4" fontId="23" fillId="0" borderId="14" xfId="67" applyNumberFormat="1" applyFont="1" applyFill="1" applyBorder="1" applyAlignment="1">
      <alignment horizontal="center" vertical="center"/>
      <protection/>
    </xf>
    <xf numFmtId="4" fontId="10" fillId="0" borderId="0" xfId="67" applyNumberFormat="1" applyFont="1" applyBorder="1" applyAlignment="1" applyProtection="1">
      <alignment horizontal="center" vertical="center"/>
      <protection/>
    </xf>
    <xf numFmtId="7" fontId="112" fillId="0" borderId="0" xfId="67" applyNumberFormat="1" applyFont="1" applyFill="1" applyBorder="1" applyAlignment="1">
      <alignment horizontal="center" vertical="center"/>
      <protection/>
    </xf>
    <xf numFmtId="168" fontId="10" fillId="0" borderId="0" xfId="67" applyNumberFormat="1" applyFont="1" applyBorder="1" applyAlignment="1" applyProtection="1">
      <alignment horizontal="left" vertical="center"/>
      <protection/>
    </xf>
    <xf numFmtId="0" fontId="3" fillId="0" borderId="18" xfId="67" applyBorder="1">
      <alignment/>
      <protection/>
    </xf>
    <xf numFmtId="0" fontId="21" fillId="0" borderId="19" xfId="67" applyFont="1" applyFill="1" applyBorder="1">
      <alignment/>
      <protection/>
    </xf>
    <xf numFmtId="8" fontId="76" fillId="0" borderId="20" xfId="55" applyNumberFormat="1" applyFont="1" applyFill="1" applyBorder="1" applyAlignment="1">
      <alignment horizontal="right"/>
    </xf>
    <xf numFmtId="0" fontId="29" fillId="0" borderId="0" xfId="67" applyFont="1" applyFill="1" applyBorder="1" applyAlignment="1">
      <alignment horizontal="center"/>
      <protection/>
    </xf>
    <xf numFmtId="0" fontId="29" fillId="0" borderId="0" xfId="67" applyFont="1" applyBorder="1" applyAlignment="1" applyProtection="1">
      <alignment horizontal="center"/>
      <protection/>
    </xf>
    <xf numFmtId="168" fontId="29" fillId="52" borderId="0" xfId="67" applyNumberFormat="1" applyFont="1" applyFill="1" applyBorder="1" applyAlignment="1" applyProtection="1" quotePrefix="1">
      <alignment horizontal="center"/>
      <protection/>
    </xf>
    <xf numFmtId="0" fontId="60" fillId="37" borderId="16" xfId="67" applyFont="1" applyFill="1" applyBorder="1" applyAlignment="1" applyProtection="1">
      <alignment horizontal="center" vertical="center"/>
      <protection/>
    </xf>
    <xf numFmtId="0" fontId="13" fillId="0" borderId="33" xfId="67" applyFont="1" applyFill="1" applyBorder="1" applyAlignment="1">
      <alignment horizontal="center"/>
      <protection/>
    </xf>
    <xf numFmtId="0" fontId="73" fillId="0" borderId="63" xfId="67" applyFont="1" applyBorder="1" applyAlignment="1" applyProtection="1">
      <alignment horizontal="center"/>
      <protection locked="0"/>
    </xf>
    <xf numFmtId="22" fontId="13" fillId="0" borderId="35" xfId="67" applyNumberFormat="1" applyFont="1" applyBorder="1" applyAlignment="1" applyProtection="1">
      <alignment horizontal="center"/>
      <protection locked="0"/>
    </xf>
    <xf numFmtId="22" fontId="13" fillId="0" borderId="65" xfId="67" applyNumberFormat="1" applyFont="1" applyBorder="1" applyAlignment="1" applyProtection="1">
      <alignment horizontal="center"/>
      <protection locked="0"/>
    </xf>
    <xf numFmtId="2" fontId="13" fillId="0" borderId="34" xfId="67" applyNumberFormat="1" applyFont="1" applyFill="1" applyBorder="1" applyAlignment="1" applyProtection="1" quotePrefix="1">
      <alignment horizontal="center"/>
      <protection/>
    </xf>
    <xf numFmtId="173" fontId="13" fillId="0" borderId="48" xfId="67" applyNumberFormat="1" applyFont="1" applyBorder="1" applyAlignment="1" applyProtection="1" quotePrefix="1">
      <alignment horizontal="center"/>
      <protection/>
    </xf>
    <xf numFmtId="164" fontId="62" fillId="37" borderId="63" xfId="67" applyNumberFormat="1" applyFont="1" applyFill="1" applyBorder="1" applyAlignment="1" applyProtection="1">
      <alignment horizontal="center"/>
      <protection/>
    </xf>
    <xf numFmtId="2" fontId="90" fillId="39" borderId="34" xfId="67" applyNumberFormat="1" applyFont="1" applyFill="1" applyBorder="1" applyAlignment="1" applyProtection="1">
      <alignment horizontal="center"/>
      <protection/>
    </xf>
    <xf numFmtId="168" fontId="50" fillId="47" borderId="49" xfId="67" applyNumberFormat="1" applyFont="1" applyFill="1" applyBorder="1" applyAlignment="1" applyProtection="1" quotePrefix="1">
      <alignment horizontal="center"/>
      <protection/>
    </xf>
    <xf numFmtId="168" fontId="50" fillId="47" borderId="50" xfId="67" applyNumberFormat="1" applyFont="1" applyFill="1" applyBorder="1" applyAlignment="1" applyProtection="1" quotePrefix="1">
      <alignment horizontal="center"/>
      <protection/>
    </xf>
    <xf numFmtId="168" fontId="71" fillId="43" borderId="49" xfId="67" applyNumberFormat="1" applyFont="1" applyFill="1" applyBorder="1" applyAlignment="1" applyProtection="1" quotePrefix="1">
      <alignment horizontal="center"/>
      <protection/>
    </xf>
    <xf numFmtId="168" fontId="71" fillId="43" borderId="50" xfId="67" applyNumberFormat="1" applyFont="1" applyFill="1" applyBorder="1" applyAlignment="1" applyProtection="1" quotePrefix="1">
      <alignment horizontal="center"/>
      <protection/>
    </xf>
    <xf numFmtId="168" fontId="53" fillId="36" borderId="33" xfId="67" applyNumberFormat="1" applyFont="1" applyFill="1" applyBorder="1" applyAlignment="1" applyProtection="1" quotePrefix="1">
      <alignment horizontal="center"/>
      <protection/>
    </xf>
    <xf numFmtId="2" fontId="70" fillId="36" borderId="34" xfId="67" applyNumberFormat="1" applyFont="1" applyFill="1" applyBorder="1" applyAlignment="1" applyProtection="1">
      <alignment horizontal="center"/>
      <protection/>
    </xf>
    <xf numFmtId="4" fontId="76" fillId="0" borderId="34" xfId="67" applyNumberFormat="1" applyFont="1" applyFill="1" applyBorder="1" applyAlignment="1">
      <alignment horizontal="right"/>
      <protection/>
    </xf>
    <xf numFmtId="8" fontId="76" fillId="0" borderId="0" xfId="55" applyNumberFormat="1" applyFont="1" applyFill="1" applyBorder="1" applyAlignment="1">
      <alignment horizontal="right"/>
    </xf>
    <xf numFmtId="1" fontId="21" fillId="0" borderId="0" xfId="67" applyNumberFormat="1" applyFont="1" applyBorder="1" applyAlignment="1" applyProtection="1">
      <alignment horizontal="left"/>
      <protection/>
    </xf>
    <xf numFmtId="1" fontId="21" fillId="0" borderId="0" xfId="67" applyNumberFormat="1" applyFont="1" applyBorder="1" applyAlignment="1" applyProtection="1">
      <alignment horizontal="centerContinuous"/>
      <protection/>
    </xf>
    <xf numFmtId="0" fontId="122" fillId="0" borderId="15" xfId="67" applyFont="1" applyBorder="1" applyAlignment="1">
      <alignment horizontal="center"/>
      <protection/>
    </xf>
    <xf numFmtId="0" fontId="13" fillId="0" borderId="0" xfId="62" applyFont="1" applyFill="1">
      <alignment/>
      <protection/>
    </xf>
    <xf numFmtId="0" fontId="13" fillId="0" borderId="0" xfId="62" applyFont="1">
      <alignment/>
      <protection/>
    </xf>
    <xf numFmtId="0" fontId="3" fillId="0" borderId="0" xfId="62">
      <alignment/>
      <protection/>
    </xf>
    <xf numFmtId="0" fontId="11" fillId="0" borderId="0" xfId="62" applyFont="1" applyAlignment="1">
      <alignment horizontal="right" vertical="top"/>
      <protection/>
    </xf>
    <xf numFmtId="0" fontId="93" fillId="0" borderId="0" xfId="62" applyFont="1" applyFill="1">
      <alignment/>
      <protection/>
    </xf>
    <xf numFmtId="0" fontId="94" fillId="0" borderId="0" xfId="62" applyFont="1" applyAlignment="1">
      <alignment horizontal="centerContinuous"/>
      <protection/>
    </xf>
    <xf numFmtId="0" fontId="93" fillId="0" borderId="0" xfId="62" applyFont="1" applyAlignment="1">
      <alignment horizontal="centerContinuous"/>
      <protection/>
    </xf>
    <xf numFmtId="0" fontId="93" fillId="0" borderId="0" xfId="62" applyFont="1">
      <alignment/>
      <protection/>
    </xf>
    <xf numFmtId="0" fontId="6" fillId="0" borderId="0" xfId="62" applyFont="1" applyFill="1" applyBorder="1" applyAlignment="1" applyProtection="1">
      <alignment horizontal="center"/>
      <protection/>
    </xf>
    <xf numFmtId="0" fontId="6" fillId="0" borderId="0" xfId="62" applyFont="1" applyFill="1" applyBorder="1" applyAlignment="1" applyProtection="1">
      <alignment horizontal="left"/>
      <protection/>
    </xf>
    <xf numFmtId="0" fontId="14" fillId="0" borderId="0" xfId="62" applyFont="1">
      <alignment/>
      <protection/>
    </xf>
    <xf numFmtId="0" fontId="13" fillId="0" borderId="10" xfId="62" applyFont="1" applyBorder="1">
      <alignment/>
      <protection/>
    </xf>
    <xf numFmtId="0" fontId="13" fillId="0" borderId="11" xfId="62" applyFont="1" applyBorder="1">
      <alignment/>
      <protection/>
    </xf>
    <xf numFmtId="0" fontId="13" fillId="0" borderId="11" xfId="62" applyFont="1" applyBorder="1" applyAlignment="1" applyProtection="1">
      <alignment horizontal="left"/>
      <protection/>
    </xf>
    <xf numFmtId="0" fontId="3" fillId="0" borderId="11" xfId="62" applyBorder="1">
      <alignment/>
      <protection/>
    </xf>
    <xf numFmtId="0" fontId="13" fillId="0" borderId="12" xfId="62" applyFont="1" applyFill="1" applyBorder="1">
      <alignment/>
      <protection/>
    </xf>
    <xf numFmtId="0" fontId="13" fillId="0" borderId="13" xfId="62" applyFont="1" applyBorder="1">
      <alignment/>
      <protection/>
    </xf>
    <xf numFmtId="0" fontId="13" fillId="0" borderId="0" xfId="62" applyFont="1" applyBorder="1">
      <alignment/>
      <protection/>
    </xf>
    <xf numFmtId="0" fontId="20" fillId="0" borderId="0" xfId="62" applyFont="1" applyBorder="1" applyAlignment="1">
      <alignment horizontal="left"/>
      <protection/>
    </xf>
    <xf numFmtId="0" fontId="19" fillId="0" borderId="0" xfId="62" applyFont="1" applyBorder="1">
      <alignment/>
      <protection/>
    </xf>
    <xf numFmtId="0" fontId="13" fillId="0" borderId="14" xfId="62" applyFont="1" applyFill="1" applyBorder="1">
      <alignment/>
      <protection/>
    </xf>
    <xf numFmtId="0" fontId="23" fillId="0" borderId="0" xfId="62" applyFont="1">
      <alignment/>
      <protection/>
    </xf>
    <xf numFmtId="0" fontId="23" fillId="0" borderId="13" xfId="62" applyFont="1" applyBorder="1">
      <alignment/>
      <protection/>
    </xf>
    <xf numFmtId="0" fontId="23" fillId="0" borderId="0" xfId="62" applyFont="1" applyBorder="1">
      <alignment/>
      <protection/>
    </xf>
    <xf numFmtId="0" fontId="17" fillId="0" borderId="0" xfId="62" applyFont="1" applyBorder="1">
      <alignment/>
      <protection/>
    </xf>
    <xf numFmtId="0" fontId="23" fillId="0" borderId="14" xfId="62" applyFont="1" applyFill="1" applyBorder="1">
      <alignment/>
      <protection/>
    </xf>
    <xf numFmtId="0" fontId="13" fillId="0" borderId="0" xfId="62" applyFont="1" applyBorder="1" applyProtection="1">
      <alignment/>
      <protection/>
    </xf>
    <xf numFmtId="0" fontId="24" fillId="0" borderId="13" xfId="62" applyFont="1" applyBorder="1" applyAlignment="1">
      <alignment horizontal="centerContinuous"/>
      <protection/>
    </xf>
    <xf numFmtId="0" fontId="3" fillId="0" borderId="0" xfId="62" applyNumberFormat="1" applyAlignment="1">
      <alignment horizontal="centerContinuous"/>
      <protection/>
    </xf>
    <xf numFmtId="0" fontId="24" fillId="0" borderId="0" xfId="62" applyFont="1" applyBorder="1" applyAlignment="1">
      <alignment horizontal="centerContinuous"/>
      <protection/>
    </xf>
    <xf numFmtId="0" fontId="23" fillId="0" borderId="0" xfId="62" applyFont="1" applyBorder="1" applyAlignment="1">
      <alignment horizontal="centerContinuous"/>
      <protection/>
    </xf>
    <xf numFmtId="0" fontId="3" fillId="0" borderId="0" xfId="62" applyAlignment="1">
      <alignment horizontal="centerContinuous"/>
      <protection/>
    </xf>
    <xf numFmtId="0" fontId="23" fillId="0" borderId="0" xfId="62" applyFont="1" applyAlignment="1">
      <alignment horizontal="centerContinuous"/>
      <protection/>
    </xf>
    <xf numFmtId="0" fontId="23" fillId="0" borderId="0" xfId="62" applyFont="1" applyAlignment="1">
      <alignment/>
      <protection/>
    </xf>
    <xf numFmtId="0" fontId="23" fillId="0" borderId="14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center"/>
      <protection/>
    </xf>
    <xf numFmtId="0" fontId="95" fillId="0" borderId="0" xfId="62" applyFont="1" applyBorder="1" applyAlignment="1" quotePrefix="1">
      <alignment horizontal="left"/>
      <protection/>
    </xf>
    <xf numFmtId="168" fontId="48" fillId="0" borderId="0" xfId="62" applyNumberFormat="1" applyFont="1" applyBorder="1" applyAlignment="1" applyProtection="1">
      <alignment horizontal="left"/>
      <protection/>
    </xf>
    <xf numFmtId="0" fontId="3" fillId="0" borderId="0" xfId="62" applyBorder="1">
      <alignment/>
      <protection/>
    </xf>
    <xf numFmtId="0" fontId="10" fillId="0" borderId="0" xfId="62" applyFont="1" applyBorder="1" applyAlignment="1">
      <alignment horizontal="center"/>
      <protection/>
    </xf>
    <xf numFmtId="0" fontId="10" fillId="0" borderId="0" xfId="62" applyFont="1" applyBorder="1">
      <alignment/>
      <protection/>
    </xf>
    <xf numFmtId="0" fontId="21" fillId="0" borderId="0" xfId="62" applyFont="1">
      <alignment/>
      <protection/>
    </xf>
    <xf numFmtId="0" fontId="21" fillId="0" borderId="13" xfId="62" applyFont="1" applyBorder="1">
      <alignment/>
      <protection/>
    </xf>
    <xf numFmtId="0" fontId="21" fillId="0" borderId="0" xfId="62" applyFont="1" applyBorder="1">
      <alignment/>
      <protection/>
    </xf>
    <xf numFmtId="0" fontId="21" fillId="0" borderId="0" xfId="62" applyFont="1" applyBorder="1" applyAlignment="1">
      <alignment horizontal="right"/>
      <protection/>
    </xf>
    <xf numFmtId="7" fontId="21" fillId="0" borderId="0" xfId="62" applyNumberFormat="1" applyFont="1" applyBorder="1" applyAlignment="1">
      <alignment horizontal="center"/>
      <protection/>
    </xf>
    <xf numFmtId="0" fontId="21" fillId="0" borderId="0" xfId="62" applyFont="1" applyBorder="1" applyAlignment="1">
      <alignment horizontal="center"/>
      <protection/>
    </xf>
    <xf numFmtId="0" fontId="96" fillId="0" borderId="0" xfId="62" applyFont="1" applyBorder="1" applyAlignment="1" quotePrefix="1">
      <alignment horizontal="left"/>
      <protection/>
    </xf>
    <xf numFmtId="0" fontId="21" fillId="0" borderId="14" xfId="62" applyFont="1" applyFill="1" applyBorder="1">
      <alignment/>
      <protection/>
    </xf>
    <xf numFmtId="0" fontId="21" fillId="0" borderId="0" xfId="62" applyFont="1" applyBorder="1" applyAlignment="1" applyProtection="1">
      <alignment horizontal="left"/>
      <protection/>
    </xf>
    <xf numFmtId="174" fontId="21" fillId="0" borderId="0" xfId="62" applyNumberFormat="1" applyFont="1" applyBorder="1" applyAlignment="1">
      <alignment horizontal="center"/>
      <protection/>
    </xf>
    <xf numFmtId="168" fontId="21" fillId="0" borderId="0" xfId="62" applyNumberFormat="1" applyFont="1" applyBorder="1" applyAlignment="1" applyProtection="1">
      <alignment horizontal="left"/>
      <protection/>
    </xf>
    <xf numFmtId="0" fontId="21" fillId="0" borderId="0" xfId="62" applyFont="1" applyAlignment="1">
      <alignment horizontal="right"/>
      <protection/>
    </xf>
    <xf numFmtId="10" fontId="21" fillId="0" borderId="0" xfId="62" applyNumberFormat="1" applyFont="1" applyBorder="1" applyAlignment="1" applyProtection="1">
      <alignment horizontal="right"/>
      <protection/>
    </xf>
    <xf numFmtId="183" fontId="21" fillId="0" borderId="0" xfId="62" applyNumberFormat="1" applyFont="1" applyBorder="1">
      <alignment/>
      <protection/>
    </xf>
    <xf numFmtId="0" fontId="3" fillId="0" borderId="0" xfId="62" applyFont="1" applyBorder="1" applyAlignment="1" applyProtection="1">
      <alignment horizontal="center"/>
      <protection/>
    </xf>
    <xf numFmtId="174" fontId="3" fillId="0" borderId="0" xfId="62" applyNumberFormat="1" applyFont="1" applyBorder="1" applyAlignment="1">
      <alignment horizontal="centerContinuous"/>
      <protection/>
    </xf>
    <xf numFmtId="0" fontId="21" fillId="0" borderId="0" xfId="62" applyFont="1" applyBorder="1" applyAlignment="1" applyProtection="1">
      <alignment horizontal="center"/>
      <protection/>
    </xf>
    <xf numFmtId="0" fontId="22" fillId="0" borderId="0" xfId="62" applyFont="1" applyBorder="1">
      <alignment/>
      <protection/>
    </xf>
    <xf numFmtId="168" fontId="4" fillId="0" borderId="15" xfId="62" applyNumberFormat="1" applyFont="1" applyBorder="1" applyAlignment="1" applyProtection="1">
      <alignment horizontal="center"/>
      <protection/>
    </xf>
    <xf numFmtId="183" fontId="21" fillId="0" borderId="16" xfId="62" applyNumberFormat="1" applyFont="1" applyBorder="1" applyAlignment="1" applyProtection="1">
      <alignment horizontal="centerContinuous"/>
      <protection/>
    </xf>
    <xf numFmtId="0" fontId="13" fillId="0" borderId="0" xfId="62" applyFont="1" applyBorder="1" applyAlignment="1" applyProtection="1">
      <alignment horizontal="center"/>
      <protection/>
    </xf>
    <xf numFmtId="0" fontId="30" fillId="0" borderId="20" xfId="62" applyFont="1" applyBorder="1" applyAlignment="1">
      <alignment horizontal="center" vertical="center"/>
      <protection/>
    </xf>
    <xf numFmtId="164" fontId="30" fillId="0" borderId="16" xfId="62" applyNumberFormat="1" applyFont="1" applyBorder="1" applyAlignment="1" applyProtection="1">
      <alignment horizontal="center" vertical="center" wrapText="1"/>
      <protection/>
    </xf>
    <xf numFmtId="0" fontId="30" fillId="0" borderId="21" xfId="62" applyFont="1" applyBorder="1" applyAlignment="1" applyProtection="1">
      <alignment horizontal="center" vertical="center" wrapText="1"/>
      <protection/>
    </xf>
    <xf numFmtId="168" fontId="30" fillId="0" borderId="20" xfId="62" applyNumberFormat="1" applyFont="1" applyBorder="1" applyAlignment="1" applyProtection="1">
      <alignment horizontal="center" vertical="center"/>
      <protection/>
    </xf>
    <xf numFmtId="168" fontId="60" fillId="37" borderId="20" xfId="62" applyNumberFormat="1" applyFont="1" applyFill="1" applyBorder="1" applyAlignment="1" applyProtection="1">
      <alignment horizontal="center" vertical="center"/>
      <protection/>
    </xf>
    <xf numFmtId="0" fontId="61" fillId="34" borderId="20" xfId="62" applyFont="1" applyFill="1" applyBorder="1" applyAlignment="1" applyProtection="1">
      <alignment horizontal="center" vertical="center"/>
      <protection/>
    </xf>
    <xf numFmtId="0" fontId="30" fillId="0" borderId="20" xfId="62" applyFont="1" applyBorder="1" applyAlignment="1" applyProtection="1">
      <alignment horizontal="center" vertical="center"/>
      <protection/>
    </xf>
    <xf numFmtId="0" fontId="30" fillId="0" borderId="15" xfId="62" applyFont="1" applyBorder="1" applyAlignment="1" applyProtection="1">
      <alignment horizontal="center" vertical="center"/>
      <protection/>
    </xf>
    <xf numFmtId="0" fontId="30" fillId="0" borderId="15" xfId="62" applyFont="1" applyBorder="1" applyAlignment="1" applyProtection="1">
      <alignment horizontal="center" vertical="center" wrapText="1"/>
      <protection/>
    </xf>
    <xf numFmtId="0" fontId="30" fillId="0" borderId="20" xfId="62" applyFont="1" applyBorder="1" applyAlignment="1" applyProtection="1">
      <alignment horizontal="center" vertical="center" wrapText="1"/>
      <protection/>
    </xf>
    <xf numFmtId="0" fontId="61" fillId="42" borderId="20" xfId="62" applyFont="1" applyFill="1" applyBorder="1" applyAlignment="1">
      <alignment horizontal="center" vertical="center" wrapText="1"/>
      <protection/>
    </xf>
    <xf numFmtId="0" fontId="89" fillId="49" borderId="20" xfId="62" applyFont="1" applyFill="1" applyBorder="1" applyAlignment="1">
      <alignment horizontal="center" vertical="center" wrapText="1"/>
      <protection/>
    </xf>
    <xf numFmtId="0" fontId="97" fillId="35" borderId="15" xfId="62" applyFont="1" applyFill="1" applyBorder="1" applyAlignment="1" applyProtection="1">
      <alignment horizontal="centerContinuous" vertical="center" wrapText="1"/>
      <protection/>
    </xf>
    <xf numFmtId="0" fontId="98" fillId="35" borderId="21" xfId="62" applyFont="1" applyFill="1" applyBorder="1" applyAlignment="1">
      <alignment horizontal="centerContinuous"/>
      <protection/>
    </xf>
    <xf numFmtId="0" fontId="97" fillId="35" borderId="16" xfId="62" applyFont="1" applyFill="1" applyBorder="1" applyAlignment="1">
      <alignment horizontal="centerContinuous" vertical="center"/>
      <protection/>
    </xf>
    <xf numFmtId="0" fontId="61" fillId="50" borderId="15" xfId="62" applyFont="1" applyFill="1" applyBorder="1" applyAlignment="1">
      <alignment horizontal="centerContinuous" vertical="center" wrapText="1"/>
      <protection/>
    </xf>
    <xf numFmtId="0" fontId="99" fillId="50" borderId="21" xfId="62" applyFont="1" applyFill="1" applyBorder="1" applyAlignment="1">
      <alignment horizontal="centerContinuous"/>
      <protection/>
    </xf>
    <xf numFmtId="0" fontId="61" fillId="50" borderId="16" xfId="62" applyFont="1" applyFill="1" applyBorder="1" applyAlignment="1">
      <alignment horizontal="centerContinuous" vertical="center"/>
      <protection/>
    </xf>
    <xf numFmtId="0" fontId="61" fillId="39" borderId="20" xfId="62" applyFont="1" applyFill="1" applyBorder="1" applyAlignment="1">
      <alignment horizontal="centerContinuous" vertical="center" wrapText="1"/>
      <protection/>
    </xf>
    <xf numFmtId="0" fontId="61" fillId="51" borderId="20" xfId="62" applyFont="1" applyFill="1" applyBorder="1" applyAlignment="1">
      <alignment horizontal="centerContinuous" vertical="center" wrapText="1"/>
      <protection/>
    </xf>
    <xf numFmtId="0" fontId="30" fillId="0" borderId="16" xfId="62" applyFont="1" applyBorder="1" applyAlignment="1">
      <alignment horizontal="center" vertical="center" wrapText="1"/>
      <protection/>
    </xf>
    <xf numFmtId="0" fontId="30" fillId="0" borderId="20" xfId="62" applyFont="1" applyFill="1" applyBorder="1" applyAlignment="1">
      <alignment horizontal="center" vertical="center" wrapText="1"/>
      <protection/>
    </xf>
    <xf numFmtId="0" fontId="13" fillId="0" borderId="14" xfId="62" applyFont="1" applyFill="1" applyBorder="1" applyAlignment="1">
      <alignment horizontal="center"/>
      <protection/>
    </xf>
    <xf numFmtId="0" fontId="13" fillId="0" borderId="27" xfId="62" applyFont="1" applyBorder="1" applyAlignment="1">
      <alignment horizontal="center"/>
      <protection/>
    </xf>
    <xf numFmtId="0" fontId="21" fillId="0" borderId="27" xfId="62" applyFont="1" applyBorder="1">
      <alignment/>
      <protection/>
    </xf>
    <xf numFmtId="164" fontId="21" fillId="0" borderId="28" xfId="62" applyNumberFormat="1" applyFont="1" applyBorder="1" applyProtection="1">
      <alignment/>
      <protection/>
    </xf>
    <xf numFmtId="164" fontId="21" fillId="0" borderId="27" xfId="62" applyNumberFormat="1" applyFont="1" applyBorder="1" applyAlignment="1" applyProtection="1">
      <alignment horizontal="center"/>
      <protection/>
    </xf>
    <xf numFmtId="164" fontId="21" fillId="0" borderId="22" xfId="62" applyNumberFormat="1" applyFont="1" applyBorder="1" applyAlignment="1" applyProtection="1">
      <alignment horizontal="center"/>
      <protection/>
    </xf>
    <xf numFmtId="164" fontId="100" fillId="37" borderId="22" xfId="62" applyNumberFormat="1" applyFont="1" applyFill="1" applyBorder="1" applyAlignment="1" applyProtection="1">
      <alignment horizontal="center"/>
      <protection/>
    </xf>
    <xf numFmtId="0" fontId="101" fillId="34" borderId="22" xfId="62" applyFont="1" applyFill="1" applyBorder="1" applyAlignment="1">
      <alignment horizontal="center"/>
      <protection/>
    </xf>
    <xf numFmtId="0" fontId="21" fillId="0" borderId="22" xfId="62" applyFont="1" applyBorder="1" applyAlignment="1">
      <alignment horizontal="center"/>
      <protection/>
    </xf>
    <xf numFmtId="0" fontId="21" fillId="0" borderId="66" xfId="62" applyFont="1" applyBorder="1" applyAlignment="1">
      <alignment horizontal="center"/>
      <protection/>
    </xf>
    <xf numFmtId="0" fontId="13" fillId="0" borderId="28" xfId="62" applyFont="1" applyBorder="1" applyAlignment="1">
      <alignment horizontal="center"/>
      <protection/>
    </xf>
    <xf numFmtId="0" fontId="13" fillId="0" borderId="22" xfId="62" applyFont="1" applyBorder="1" applyAlignment="1">
      <alignment horizontal="center"/>
      <protection/>
    </xf>
    <xf numFmtId="0" fontId="63" fillId="42" borderId="22" xfId="62" applyFont="1" applyFill="1" applyBorder="1" applyAlignment="1">
      <alignment horizontal="center"/>
      <protection/>
    </xf>
    <xf numFmtId="0" fontId="90" fillId="49" borderId="22" xfId="62" applyFont="1" applyFill="1" applyBorder="1" applyAlignment="1">
      <alignment horizontal="center"/>
      <protection/>
    </xf>
    <xf numFmtId="168" fontId="102" fillId="35" borderId="23" xfId="62" applyNumberFormat="1" applyFont="1" applyFill="1" applyBorder="1" applyAlignment="1" applyProtection="1" quotePrefix="1">
      <alignment horizontal="center"/>
      <protection/>
    </xf>
    <xf numFmtId="168" fontId="102" fillId="35" borderId="73" xfId="62" applyNumberFormat="1" applyFont="1" applyFill="1" applyBorder="1" applyAlignment="1" applyProtection="1" quotePrefix="1">
      <alignment horizontal="center"/>
      <protection/>
    </xf>
    <xf numFmtId="4" fontId="102" fillId="35" borderId="67" xfId="62" applyNumberFormat="1" applyFont="1" applyFill="1" applyBorder="1" applyAlignment="1" applyProtection="1">
      <alignment horizontal="center"/>
      <protection/>
    </xf>
    <xf numFmtId="168" fontId="63" fillId="50" borderId="23" xfId="62" applyNumberFormat="1" applyFont="1" applyFill="1" applyBorder="1" applyAlignment="1" applyProtection="1" quotePrefix="1">
      <alignment horizontal="center"/>
      <protection/>
    </xf>
    <xf numFmtId="168" fontId="63" fillId="50" borderId="73" xfId="62" applyNumberFormat="1" applyFont="1" applyFill="1" applyBorder="1" applyAlignment="1" applyProtection="1" quotePrefix="1">
      <alignment horizontal="center"/>
      <protection/>
    </xf>
    <xf numFmtId="4" fontId="63" fillId="50" borderId="67" xfId="62" applyNumberFormat="1" applyFont="1" applyFill="1" applyBorder="1" applyAlignment="1" applyProtection="1">
      <alignment horizontal="center"/>
      <protection/>
    </xf>
    <xf numFmtId="4" fontId="63" fillId="39" borderId="22" xfId="62" applyNumberFormat="1" applyFont="1" applyFill="1" applyBorder="1" applyAlignment="1" applyProtection="1">
      <alignment horizontal="center"/>
      <protection/>
    </xf>
    <xf numFmtId="4" fontId="63" fillId="51" borderId="22" xfId="62" applyNumberFormat="1" applyFont="1" applyFill="1" applyBorder="1" applyAlignment="1" applyProtection="1">
      <alignment horizontal="center"/>
      <protection/>
    </xf>
    <xf numFmtId="0" fontId="13" fillId="0" borderId="67" xfId="62" applyFont="1" applyBorder="1" applyAlignment="1">
      <alignment horizontal="left"/>
      <protection/>
    </xf>
    <xf numFmtId="0" fontId="48" fillId="0" borderId="67" xfId="62" applyFont="1" applyBorder="1" applyAlignment="1">
      <alignment horizontal="center"/>
      <protection/>
    </xf>
    <xf numFmtId="164" fontId="13" fillId="0" borderId="28" xfId="62" applyNumberFormat="1" applyFont="1" applyBorder="1" applyAlignment="1" applyProtection="1">
      <alignment horizontal="center"/>
      <protection/>
    </xf>
    <xf numFmtId="165" fontId="13" fillId="0" borderId="27" xfId="62" applyNumberFormat="1" applyFont="1" applyBorder="1" applyAlignment="1" applyProtection="1">
      <alignment horizontal="center"/>
      <protection/>
    </xf>
    <xf numFmtId="164" fontId="13" fillId="0" borderId="27" xfId="62" applyNumberFormat="1" applyFont="1" applyBorder="1" applyAlignment="1" applyProtection="1">
      <alignment horizontal="center"/>
      <protection/>
    </xf>
    <xf numFmtId="0" fontId="100" fillId="37" borderId="27" xfId="62" applyFont="1" applyFill="1" applyBorder="1" applyAlignment="1" applyProtection="1">
      <alignment horizontal="center"/>
      <protection/>
    </xf>
    <xf numFmtId="168" fontId="101" fillId="34" borderId="27" xfId="62" applyNumberFormat="1" applyFont="1" applyFill="1" applyBorder="1" applyAlignment="1" applyProtection="1">
      <alignment horizontal="center"/>
      <protection/>
    </xf>
    <xf numFmtId="22" fontId="13" fillId="0" borderId="27" xfId="62" applyNumberFormat="1" applyFont="1" applyBorder="1" applyAlignment="1">
      <alignment horizontal="center"/>
      <protection/>
    </xf>
    <xf numFmtId="22" fontId="13" fillId="0" borderId="31" xfId="62" applyNumberFormat="1" applyFont="1" applyBorder="1" applyAlignment="1">
      <alignment horizontal="center"/>
      <protection/>
    </xf>
    <xf numFmtId="4" fontId="13" fillId="0" borderId="27" xfId="62" applyNumberFormat="1" applyFont="1" applyFill="1" applyBorder="1" applyAlignment="1" applyProtection="1" quotePrefix="1">
      <alignment horizontal="center"/>
      <protection/>
    </xf>
    <xf numFmtId="164" fontId="13" fillId="0" borderId="27" xfId="62" applyNumberFormat="1" applyFont="1" applyFill="1" applyBorder="1" applyAlignment="1" applyProtection="1" quotePrefix="1">
      <alignment horizontal="center"/>
      <protection/>
    </xf>
    <xf numFmtId="168" fontId="13" fillId="0" borderId="28" xfId="62" applyNumberFormat="1" applyFont="1" applyBorder="1" applyAlignment="1" applyProtection="1">
      <alignment horizontal="center"/>
      <protection/>
    </xf>
    <xf numFmtId="173" fontId="13" fillId="0" borderId="28" xfId="62" applyNumberFormat="1" applyFont="1" applyBorder="1" applyAlignment="1" applyProtection="1" quotePrefix="1">
      <alignment horizontal="center"/>
      <protection/>
    </xf>
    <xf numFmtId="168" fontId="13" fillId="0" borderId="27" xfId="62" applyNumberFormat="1" applyFont="1" applyBorder="1" applyAlignment="1" applyProtection="1">
      <alignment horizontal="center"/>
      <protection/>
    </xf>
    <xf numFmtId="2" fontId="63" fillId="42" borderId="27" xfId="62" applyNumberFormat="1" applyFont="1" applyFill="1" applyBorder="1" applyAlignment="1" applyProtection="1">
      <alignment horizontal="center"/>
      <protection/>
    </xf>
    <xf numFmtId="2" fontId="90" fillId="49" borderId="27" xfId="62" applyNumberFormat="1" applyFont="1" applyFill="1" applyBorder="1" applyAlignment="1" applyProtection="1">
      <alignment horizontal="center"/>
      <protection/>
    </xf>
    <xf numFmtId="168" fontId="102" fillId="35" borderId="29" xfId="62" applyNumberFormat="1" applyFont="1" applyFill="1" applyBorder="1" applyAlignment="1" applyProtection="1" quotePrefix="1">
      <alignment horizontal="center"/>
      <protection/>
    </xf>
    <xf numFmtId="168" fontId="102" fillId="35" borderId="30" xfId="62" applyNumberFormat="1" applyFont="1" applyFill="1" applyBorder="1" applyAlignment="1" applyProtection="1" quotePrefix="1">
      <alignment horizontal="center"/>
      <protection/>
    </xf>
    <xf numFmtId="4" fontId="102" fillId="35" borderId="28" xfId="62" applyNumberFormat="1" applyFont="1" applyFill="1" applyBorder="1" applyAlignment="1" applyProtection="1">
      <alignment horizontal="center"/>
      <protection/>
    </xf>
    <xf numFmtId="168" fontId="63" fillId="50" borderId="29" xfId="62" applyNumberFormat="1" applyFont="1" applyFill="1" applyBorder="1" applyAlignment="1" applyProtection="1" quotePrefix="1">
      <alignment horizontal="center"/>
      <protection/>
    </xf>
    <xf numFmtId="168" fontId="63" fillId="50" borderId="30" xfId="62" applyNumberFormat="1" applyFont="1" applyFill="1" applyBorder="1" applyAlignment="1" applyProtection="1" quotePrefix="1">
      <alignment horizontal="center"/>
      <protection/>
    </xf>
    <xf numFmtId="4" fontId="63" fillId="50" borderId="28" xfId="62" applyNumberFormat="1" applyFont="1" applyFill="1" applyBorder="1" applyAlignment="1" applyProtection="1">
      <alignment horizontal="center"/>
      <protection/>
    </xf>
    <xf numFmtId="4" fontId="63" fillId="39" borderId="27" xfId="62" applyNumberFormat="1" applyFont="1" applyFill="1" applyBorder="1" applyAlignment="1" applyProtection="1">
      <alignment horizontal="center"/>
      <protection/>
    </xf>
    <xf numFmtId="4" fontId="63" fillId="51" borderId="27" xfId="62" applyNumberFormat="1" applyFont="1" applyFill="1" applyBorder="1" applyAlignment="1" applyProtection="1">
      <alignment horizontal="center"/>
      <protection/>
    </xf>
    <xf numFmtId="4" fontId="13" fillId="0" borderId="28" xfId="62" applyNumberFormat="1" applyFont="1" applyBorder="1" applyAlignment="1" applyProtection="1">
      <alignment horizontal="center"/>
      <protection/>
    </xf>
    <xf numFmtId="4" fontId="48" fillId="0" borderId="28" xfId="62" applyNumberFormat="1" applyFont="1" applyFill="1" applyBorder="1" applyAlignment="1">
      <alignment horizontal="right"/>
      <protection/>
    </xf>
    <xf numFmtId="4" fontId="13" fillId="0" borderId="14" xfId="62" applyNumberFormat="1" applyFont="1" applyFill="1" applyBorder="1" applyAlignment="1">
      <alignment horizontal="center"/>
      <protection/>
    </xf>
    <xf numFmtId="0" fontId="13" fillId="0" borderId="34" xfId="62" applyFont="1" applyFill="1" applyBorder="1" applyAlignment="1">
      <alignment horizontal="center"/>
      <protection/>
    </xf>
    <xf numFmtId="0" fontId="21" fillId="0" borderId="34" xfId="62" applyFont="1" applyBorder="1" applyAlignment="1">
      <alignment horizontal="center"/>
      <protection/>
    </xf>
    <xf numFmtId="164" fontId="103" fillId="0" borderId="34" xfId="62" applyNumberFormat="1" applyFont="1" applyBorder="1" applyAlignment="1" applyProtection="1">
      <alignment horizontal="center"/>
      <protection/>
    </xf>
    <xf numFmtId="0" fontId="21" fillId="0" borderId="34" xfId="62" applyFont="1" applyBorder="1" applyAlignment="1" applyProtection="1">
      <alignment horizontal="center"/>
      <protection/>
    </xf>
    <xf numFmtId="165" fontId="21" fillId="0" borderId="34" xfId="62" applyNumberFormat="1" applyFont="1" applyBorder="1" applyAlignment="1" applyProtection="1">
      <alignment horizontal="center"/>
      <protection/>
    </xf>
    <xf numFmtId="165" fontId="100" fillId="37" borderId="34" xfId="62" applyNumberFormat="1" applyFont="1" applyFill="1" applyBorder="1" applyAlignment="1" applyProtection="1">
      <alignment horizontal="center"/>
      <protection/>
    </xf>
    <xf numFmtId="168" fontId="101" fillId="34" borderId="34" xfId="62" applyNumberFormat="1" applyFont="1" applyFill="1" applyBorder="1" applyAlignment="1" applyProtection="1">
      <alignment horizontal="center"/>
      <protection/>
    </xf>
    <xf numFmtId="168" fontId="21" fillId="0" borderId="34" xfId="62" applyNumberFormat="1" applyFont="1" applyBorder="1" applyAlignment="1" applyProtection="1">
      <alignment horizontal="center"/>
      <protection/>
    </xf>
    <xf numFmtId="168" fontId="13" fillId="0" borderId="34" xfId="62" applyNumberFormat="1" applyFont="1" applyBorder="1" applyAlignment="1" applyProtection="1">
      <alignment horizontal="center"/>
      <protection/>
    </xf>
    <xf numFmtId="173" fontId="13" fillId="0" borderId="34" xfId="62" applyNumberFormat="1" applyFont="1" applyBorder="1" applyAlignment="1" applyProtection="1" quotePrefix="1">
      <alignment horizontal="center"/>
      <protection/>
    </xf>
    <xf numFmtId="2" fontId="63" fillId="42" borderId="34" xfId="62" applyNumberFormat="1" applyFont="1" applyFill="1" applyBorder="1" applyAlignment="1" applyProtection="1">
      <alignment horizontal="center"/>
      <protection/>
    </xf>
    <xf numFmtId="2" fontId="90" fillId="49" borderId="34" xfId="62" applyNumberFormat="1" applyFont="1" applyFill="1" applyBorder="1" applyAlignment="1" applyProtection="1">
      <alignment horizontal="center"/>
      <protection/>
    </xf>
    <xf numFmtId="168" fontId="102" fillId="35" borderId="35" xfId="62" applyNumberFormat="1" applyFont="1" applyFill="1" applyBorder="1" applyAlignment="1" applyProtection="1" quotePrefix="1">
      <alignment horizontal="center"/>
      <protection/>
    </xf>
    <xf numFmtId="168" fontId="102" fillId="35" borderId="74" xfId="62" applyNumberFormat="1" applyFont="1" applyFill="1" applyBorder="1" applyAlignment="1" applyProtection="1" quotePrefix="1">
      <alignment horizontal="center"/>
      <protection/>
    </xf>
    <xf numFmtId="4" fontId="102" fillId="35" borderId="48" xfId="62" applyNumberFormat="1" applyFont="1" applyFill="1" applyBorder="1" applyAlignment="1" applyProtection="1">
      <alignment horizontal="center"/>
      <protection/>
    </xf>
    <xf numFmtId="168" fontId="63" fillId="50" borderId="35" xfId="62" applyNumberFormat="1" applyFont="1" applyFill="1" applyBorder="1" applyAlignment="1" applyProtection="1" quotePrefix="1">
      <alignment horizontal="center"/>
      <protection/>
    </xf>
    <xf numFmtId="168" fontId="63" fillId="50" borderId="74" xfId="62" applyNumberFormat="1" applyFont="1" applyFill="1" applyBorder="1" applyAlignment="1" applyProtection="1" quotePrefix="1">
      <alignment horizontal="center"/>
      <protection/>
    </xf>
    <xf numFmtId="4" fontId="63" fillId="50" borderId="48" xfId="62" applyNumberFormat="1" applyFont="1" applyFill="1" applyBorder="1" applyAlignment="1" applyProtection="1">
      <alignment horizontal="center"/>
      <protection/>
    </xf>
    <xf numFmtId="4" fontId="63" fillId="39" borderId="34" xfId="62" applyNumberFormat="1" applyFont="1" applyFill="1" applyBorder="1" applyAlignment="1" applyProtection="1">
      <alignment horizontal="center"/>
      <protection/>
    </xf>
    <xf numFmtId="4" fontId="63" fillId="51" borderId="34" xfId="62" applyNumberFormat="1" applyFont="1" applyFill="1" applyBorder="1" applyAlignment="1" applyProtection="1">
      <alignment horizontal="center"/>
      <protection/>
    </xf>
    <xf numFmtId="4" fontId="49" fillId="0" borderId="34" xfId="62" applyNumberFormat="1" applyFont="1" applyBorder="1" applyAlignment="1" applyProtection="1">
      <alignment horizontal="center"/>
      <protection/>
    </xf>
    <xf numFmtId="168" fontId="64" fillId="0" borderId="34" xfId="62" applyNumberFormat="1" applyFont="1" applyFill="1" applyBorder="1" applyAlignment="1">
      <alignment horizontal="center"/>
      <protection/>
    </xf>
    <xf numFmtId="164" fontId="103" fillId="0" borderId="0" xfId="62" applyNumberFormat="1" applyFont="1" applyBorder="1" applyAlignment="1" applyProtection="1">
      <alignment horizontal="center"/>
      <protection/>
    </xf>
    <xf numFmtId="165" fontId="21" fillId="0" borderId="0" xfId="62" applyNumberFormat="1" applyFont="1" applyBorder="1" applyAlignment="1" applyProtection="1">
      <alignment horizontal="center"/>
      <protection/>
    </xf>
    <xf numFmtId="168" fontId="21" fillId="0" borderId="0" xfId="62" applyNumberFormat="1" applyFont="1" applyBorder="1" applyAlignment="1" applyProtection="1">
      <alignment horizontal="center"/>
      <protection/>
    </xf>
    <xf numFmtId="173" fontId="21" fillId="0" borderId="0" xfId="62" applyNumberFormat="1" applyFont="1" applyBorder="1" applyAlignment="1" applyProtection="1" quotePrefix="1">
      <alignment horizontal="center"/>
      <protection/>
    </xf>
    <xf numFmtId="2" fontId="101" fillId="42" borderId="20" xfId="62" applyNumberFormat="1" applyFont="1" applyFill="1" applyBorder="1" applyAlignment="1" applyProtection="1">
      <alignment horizontal="center"/>
      <protection/>
    </xf>
    <xf numFmtId="2" fontId="75" fillId="49" borderId="20" xfId="62" applyNumberFormat="1" applyFont="1" applyFill="1" applyBorder="1" applyAlignment="1" applyProtection="1">
      <alignment horizontal="center"/>
      <protection/>
    </xf>
    <xf numFmtId="2" fontId="104" fillId="35" borderId="20" xfId="62" applyNumberFormat="1" applyFont="1" applyFill="1" applyBorder="1" applyAlignment="1" applyProtection="1">
      <alignment horizontal="center"/>
      <protection/>
    </xf>
    <xf numFmtId="2" fontId="101" fillId="50" borderId="20" xfId="62" applyNumberFormat="1" applyFont="1" applyFill="1" applyBorder="1" applyAlignment="1" applyProtection="1">
      <alignment horizontal="center"/>
      <protection/>
    </xf>
    <xf numFmtId="2" fontId="101" fillId="39" borderId="20" xfId="62" applyNumberFormat="1" applyFont="1" applyFill="1" applyBorder="1" applyAlignment="1" applyProtection="1">
      <alignment horizontal="center"/>
      <protection/>
    </xf>
    <xf numFmtId="2" fontId="101" fillId="51" borderId="20" xfId="62" applyNumberFormat="1" applyFont="1" applyFill="1" applyBorder="1" applyAlignment="1" applyProtection="1">
      <alignment horizontal="center"/>
      <protection/>
    </xf>
    <xf numFmtId="2" fontId="21" fillId="0" borderId="42" xfId="62" applyNumberFormat="1" applyFont="1" applyBorder="1" applyAlignment="1" applyProtection="1">
      <alignment horizontal="center"/>
      <protection/>
    </xf>
    <xf numFmtId="7" fontId="48" fillId="0" borderId="20" xfId="62" applyNumberFormat="1" applyFont="1" applyBorder="1" applyAlignment="1" applyProtection="1">
      <alignment horizontal="right"/>
      <protection/>
    </xf>
    <xf numFmtId="2" fontId="101" fillId="0" borderId="21" xfId="62" applyNumberFormat="1" applyFont="1" applyFill="1" applyBorder="1" applyAlignment="1" applyProtection="1">
      <alignment horizontal="center"/>
      <protection/>
    </xf>
    <xf numFmtId="2" fontId="75" fillId="0" borderId="21" xfId="62" applyNumberFormat="1" applyFont="1" applyFill="1" applyBorder="1" applyAlignment="1" applyProtection="1">
      <alignment horizontal="center"/>
      <protection/>
    </xf>
    <xf numFmtId="2" fontId="104" fillId="0" borderId="21" xfId="62" applyNumberFormat="1" applyFont="1" applyFill="1" applyBorder="1" applyAlignment="1" applyProtection="1">
      <alignment horizontal="center"/>
      <protection/>
    </xf>
    <xf numFmtId="2" fontId="21" fillId="0" borderId="0" xfId="62" applyNumberFormat="1" applyFont="1" applyBorder="1" applyAlignment="1" applyProtection="1">
      <alignment horizontal="center"/>
      <protection/>
    </xf>
    <xf numFmtId="7" fontId="21" fillId="0" borderId="0" xfId="62" applyNumberFormat="1" applyFont="1" applyBorder="1" applyAlignment="1" applyProtection="1">
      <alignment horizontal="center"/>
      <protection/>
    </xf>
    <xf numFmtId="0" fontId="13" fillId="0" borderId="13" xfId="62" applyFont="1" applyFill="1" applyBorder="1">
      <alignment/>
      <protection/>
    </xf>
    <xf numFmtId="0" fontId="30" fillId="0" borderId="20" xfId="62" applyFont="1" applyFill="1" applyBorder="1" applyAlignment="1">
      <alignment horizontal="center" vertical="center"/>
      <protection/>
    </xf>
    <xf numFmtId="0" fontId="30" fillId="0" borderId="20" xfId="62" applyFont="1" applyFill="1" applyBorder="1" applyAlignment="1" applyProtection="1">
      <alignment horizontal="center" vertical="center" wrapText="1"/>
      <protection/>
    </xf>
    <xf numFmtId="0" fontId="30" fillId="0" borderId="20" xfId="62" applyFont="1" applyFill="1" applyBorder="1" applyAlignment="1" applyProtection="1">
      <alignment horizontal="center" vertical="center"/>
      <protection/>
    </xf>
    <xf numFmtId="0" fontId="30" fillId="0" borderId="20" xfId="62" applyFont="1" applyFill="1" applyBorder="1" applyAlignment="1" applyProtection="1" quotePrefix="1">
      <alignment horizontal="center" vertical="center" wrapText="1"/>
      <protection/>
    </xf>
    <xf numFmtId="0" fontId="60" fillId="37" borderId="20" xfId="62" applyFont="1" applyFill="1" applyBorder="1" applyAlignment="1" applyProtection="1">
      <alignment horizontal="center" vertical="center"/>
      <protection/>
    </xf>
    <xf numFmtId="0" fontId="60" fillId="52" borderId="20" xfId="62" applyFont="1" applyFill="1" applyBorder="1" applyAlignment="1" applyProtection="1">
      <alignment horizontal="center" vertical="center"/>
      <protection/>
    </xf>
    <xf numFmtId="0" fontId="30" fillId="0" borderId="15" xfId="62" applyFont="1" applyFill="1" applyBorder="1" applyAlignment="1" applyProtection="1">
      <alignment horizontal="centerContinuous" vertical="center"/>
      <protection/>
    </xf>
    <xf numFmtId="0" fontId="30" fillId="0" borderId="21" xfId="62" applyFont="1" applyFill="1" applyBorder="1" applyAlignment="1" applyProtection="1">
      <alignment horizontal="centerContinuous" vertical="center"/>
      <protection/>
    </xf>
    <xf numFmtId="0" fontId="61" fillId="53" borderId="20" xfId="62" applyFont="1" applyFill="1" applyBorder="1" applyAlignment="1">
      <alignment horizontal="center" vertical="center" wrapText="1"/>
      <protection/>
    </xf>
    <xf numFmtId="0" fontId="61" fillId="48" borderId="15" xfId="62" applyFont="1" applyFill="1" applyBorder="1" applyAlignment="1" applyProtection="1">
      <alignment horizontal="centerContinuous" vertical="center" wrapText="1"/>
      <protection/>
    </xf>
    <xf numFmtId="0" fontId="61" fillId="48" borderId="16" xfId="62" applyFont="1" applyFill="1" applyBorder="1" applyAlignment="1">
      <alignment horizontal="centerContinuous" vertical="center"/>
      <protection/>
    </xf>
    <xf numFmtId="0" fontId="61" fillId="35" borderId="20" xfId="62" applyFont="1" applyFill="1" applyBorder="1" applyAlignment="1">
      <alignment horizontal="centerContinuous" vertical="center" wrapText="1"/>
      <protection/>
    </xf>
    <xf numFmtId="0" fontId="61" fillId="52" borderId="68" xfId="62" applyFont="1" applyFill="1" applyBorder="1" applyAlignment="1">
      <alignment vertical="center" wrapText="1"/>
      <protection/>
    </xf>
    <xf numFmtId="0" fontId="61" fillId="52" borderId="39" xfId="62" applyFont="1" applyFill="1" applyBorder="1" applyAlignment="1">
      <alignment vertical="center" wrapText="1"/>
      <protection/>
    </xf>
    <xf numFmtId="0" fontId="61" fillId="52" borderId="42" xfId="62" applyFont="1" applyFill="1" applyBorder="1" applyAlignment="1">
      <alignment vertical="center" wrapText="1"/>
      <protection/>
    </xf>
    <xf numFmtId="0" fontId="30" fillId="0" borderId="20" xfId="62" applyFont="1" applyBorder="1" applyAlignment="1">
      <alignment horizontal="center" vertical="center" wrapText="1"/>
      <protection/>
    </xf>
    <xf numFmtId="0" fontId="13" fillId="0" borderId="27" xfId="62" applyFont="1" applyFill="1" applyBorder="1" applyAlignment="1">
      <alignment horizontal="center"/>
      <protection/>
    </xf>
    <xf numFmtId="164" fontId="13" fillId="0" borderId="27" xfId="62" applyNumberFormat="1" applyFont="1" applyFill="1" applyBorder="1" applyAlignment="1" applyProtection="1">
      <alignment horizontal="center"/>
      <protection/>
    </xf>
    <xf numFmtId="0" fontId="105" fillId="37" borderId="27" xfId="62" applyFont="1" applyFill="1" applyBorder="1" applyAlignment="1">
      <alignment horizontal="center"/>
      <protection/>
    </xf>
    <xf numFmtId="0" fontId="105" fillId="52" borderId="27" xfId="62" applyFont="1" applyFill="1" applyBorder="1" applyAlignment="1">
      <alignment horizontal="center"/>
      <protection/>
    </xf>
    <xf numFmtId="0" fontId="13" fillId="0" borderId="28" xfId="62" applyFont="1" applyFill="1" applyBorder="1" applyAlignment="1">
      <alignment horizontal="center"/>
      <protection/>
    </xf>
    <xf numFmtId="0" fontId="13" fillId="0" borderId="67" xfId="62" applyFont="1" applyFill="1" applyBorder="1" applyAlignment="1">
      <alignment horizontal="center"/>
      <protection/>
    </xf>
    <xf numFmtId="0" fontId="62" fillId="37" borderId="22" xfId="62" applyFont="1" applyFill="1" applyBorder="1" applyAlignment="1">
      <alignment horizontal="center"/>
      <protection/>
    </xf>
    <xf numFmtId="0" fontId="29" fillId="53" borderId="22" xfId="62" applyFont="1" applyFill="1" applyBorder="1" applyAlignment="1">
      <alignment horizontal="center"/>
      <protection/>
    </xf>
    <xf numFmtId="0" fontId="29" fillId="48" borderId="23" xfId="62" applyFont="1" applyFill="1" applyBorder="1" applyAlignment="1">
      <alignment horizontal="center"/>
      <protection/>
    </xf>
    <xf numFmtId="0" fontId="29" fillId="48" borderId="25" xfId="62" applyFont="1" applyFill="1" applyBorder="1" applyAlignment="1">
      <alignment horizontal="left"/>
      <protection/>
    </xf>
    <xf numFmtId="0" fontId="29" fillId="35" borderId="22" xfId="62" applyFont="1" applyFill="1" applyBorder="1" applyAlignment="1">
      <alignment horizontal="left"/>
      <protection/>
    </xf>
    <xf numFmtId="0" fontId="29" fillId="52" borderId="60" xfId="62" applyFont="1" applyFill="1" applyBorder="1" applyAlignment="1">
      <alignment horizontal="left"/>
      <protection/>
    </xf>
    <xf numFmtId="0" fontId="29" fillId="52" borderId="0" xfId="62" applyFont="1" applyFill="1" applyBorder="1" applyAlignment="1">
      <alignment horizontal="left"/>
      <protection/>
    </xf>
    <xf numFmtId="0" fontId="29" fillId="52" borderId="55" xfId="62" applyFont="1" applyFill="1" applyBorder="1" applyAlignment="1">
      <alignment horizontal="left"/>
      <protection/>
    </xf>
    <xf numFmtId="0" fontId="48" fillId="0" borderId="28" xfId="62" applyFont="1" applyFill="1" applyBorder="1" applyAlignment="1">
      <alignment horizontal="center"/>
      <protection/>
    </xf>
    <xf numFmtId="0" fontId="13" fillId="0" borderId="26" xfId="62" applyFont="1" applyBorder="1" applyAlignment="1" applyProtection="1">
      <alignment horizontal="center"/>
      <protection/>
    </xf>
    <xf numFmtId="0" fontId="13" fillId="0" borderId="31" xfId="62" applyFont="1" applyBorder="1" applyAlignment="1" applyProtection="1">
      <alignment horizontal="center"/>
      <protection/>
    </xf>
    <xf numFmtId="164" fontId="13" fillId="0" borderId="26" xfId="62" applyNumberFormat="1" applyFont="1" applyBorder="1" applyAlignment="1" applyProtection="1">
      <alignment horizontal="center"/>
      <protection/>
    </xf>
    <xf numFmtId="1" fontId="13" fillId="0" borderId="47" xfId="62" applyNumberFormat="1" applyFont="1" applyBorder="1" applyAlignment="1" applyProtection="1">
      <alignment horizontal="center"/>
      <protection/>
    </xf>
    <xf numFmtId="168" fontId="105" fillId="37" borderId="27" xfId="62" applyNumberFormat="1" applyFont="1" applyFill="1" applyBorder="1" applyAlignment="1" applyProtection="1">
      <alignment horizontal="center"/>
      <protection/>
    </xf>
    <xf numFmtId="168" fontId="105" fillId="52" borderId="27" xfId="62" applyNumberFormat="1" applyFont="1" applyFill="1" applyBorder="1" applyAlignment="1" applyProtection="1">
      <alignment horizontal="center"/>
      <protection/>
    </xf>
    <xf numFmtId="22" fontId="13" fillId="0" borderId="27" xfId="62" applyNumberFormat="1" applyFont="1" applyFill="1" applyBorder="1" applyAlignment="1" applyProtection="1">
      <alignment horizontal="center"/>
      <protection/>
    </xf>
    <xf numFmtId="4" fontId="13" fillId="0" borderId="27" xfId="62" applyNumberFormat="1" applyFont="1" applyFill="1" applyBorder="1" applyAlignment="1" applyProtection="1">
      <alignment horizontal="center"/>
      <protection/>
    </xf>
    <xf numFmtId="3" fontId="13" fillId="0" borderId="27" xfId="62" applyNumberFormat="1" applyFont="1" applyFill="1" applyBorder="1" applyAlignment="1" applyProtection="1">
      <alignment horizontal="center"/>
      <protection/>
    </xf>
    <xf numFmtId="168" fontId="13" fillId="0" borderId="27" xfId="62" applyNumberFormat="1" applyFont="1" applyFill="1" applyBorder="1" applyAlignment="1" applyProtection="1">
      <alignment horizontal="center"/>
      <protection/>
    </xf>
    <xf numFmtId="168" fontId="13" fillId="0" borderId="27" xfId="62" applyNumberFormat="1" applyFont="1" applyBorder="1" applyAlignment="1" applyProtection="1" quotePrefix="1">
      <alignment horizontal="center"/>
      <protection/>
    </xf>
    <xf numFmtId="168" fontId="13" fillId="0" borderId="45" xfId="62" applyNumberFormat="1" applyFont="1" applyBorder="1" applyAlignment="1" applyProtection="1">
      <alignment horizontal="center"/>
      <protection/>
    </xf>
    <xf numFmtId="164" fontId="62" fillId="37" borderId="27" xfId="62" applyNumberFormat="1" applyFont="1" applyFill="1" applyBorder="1" applyAlignment="1" applyProtection="1">
      <alignment horizontal="center"/>
      <protection/>
    </xf>
    <xf numFmtId="2" fontId="63" fillId="53" borderId="27" xfId="62" applyNumberFormat="1" applyFont="1" applyFill="1" applyBorder="1" applyAlignment="1">
      <alignment horizontal="center"/>
      <protection/>
    </xf>
    <xf numFmtId="168" fontId="63" fillId="48" borderId="46" xfId="62" applyNumberFormat="1" applyFont="1" applyFill="1" applyBorder="1" applyAlignment="1" applyProtection="1" quotePrefix="1">
      <alignment horizontal="center"/>
      <protection/>
    </xf>
    <xf numFmtId="168" fontId="63" fillId="48" borderId="47" xfId="62" applyNumberFormat="1" applyFont="1" applyFill="1" applyBorder="1" applyAlignment="1" applyProtection="1" quotePrefix="1">
      <alignment horizontal="center"/>
      <protection/>
    </xf>
    <xf numFmtId="168" fontId="63" fillId="35" borderId="27" xfId="62" applyNumberFormat="1" applyFont="1" applyFill="1" applyBorder="1" applyAlignment="1" applyProtection="1" quotePrefix="1">
      <alignment horizontal="center"/>
      <protection/>
    </xf>
    <xf numFmtId="168" fontId="63" fillId="52" borderId="60" xfId="62" applyNumberFormat="1" applyFont="1" applyFill="1" applyBorder="1" applyAlignment="1" applyProtection="1" quotePrefix="1">
      <alignment horizontal="center"/>
      <protection/>
    </xf>
    <xf numFmtId="168" fontId="63" fillId="52" borderId="0" xfId="62" applyNumberFormat="1" applyFont="1" applyFill="1" applyBorder="1" applyAlignment="1" applyProtection="1" quotePrefix="1">
      <alignment horizontal="center"/>
      <protection/>
    </xf>
    <xf numFmtId="168" fontId="63" fillId="52" borderId="55" xfId="62" applyNumberFormat="1" applyFont="1" applyFill="1" applyBorder="1" applyAlignment="1" applyProtection="1" quotePrefix="1">
      <alignment horizontal="center"/>
      <protection/>
    </xf>
    <xf numFmtId="168" fontId="13" fillId="0" borderId="28" xfId="62" applyNumberFormat="1" applyFont="1" applyFill="1" applyBorder="1" applyAlignment="1">
      <alignment horizontal="center"/>
      <protection/>
    </xf>
    <xf numFmtId="4" fontId="76" fillId="0" borderId="28" xfId="62" applyNumberFormat="1" applyFont="1" applyFill="1" applyBorder="1" applyAlignment="1">
      <alignment horizontal="right"/>
      <protection/>
    </xf>
    <xf numFmtId="1" fontId="13" fillId="0" borderId="47" xfId="62" applyNumberFormat="1" applyFont="1" applyBorder="1" applyAlignment="1" applyProtection="1" quotePrefix="1">
      <alignment horizontal="center"/>
      <protection/>
    </xf>
    <xf numFmtId="0" fontId="13" fillId="0" borderId="33" xfId="62" applyFont="1" applyBorder="1" applyAlignment="1" applyProtection="1">
      <alignment horizontal="center"/>
      <protection/>
    </xf>
    <xf numFmtId="0" fontId="13" fillId="0" borderId="69" xfId="62" applyFont="1" applyBorder="1" applyAlignment="1" applyProtection="1">
      <alignment horizontal="center"/>
      <protection/>
    </xf>
    <xf numFmtId="164" fontId="13" fillId="0" borderId="33" xfId="62" applyNumberFormat="1" applyFont="1" applyBorder="1" applyAlignment="1" applyProtection="1">
      <alignment horizontal="center"/>
      <protection/>
    </xf>
    <xf numFmtId="1" fontId="13" fillId="0" borderId="50" xfId="62" applyNumberFormat="1" applyFont="1" applyBorder="1" applyAlignment="1" applyProtection="1" quotePrefix="1">
      <alignment horizontal="center"/>
      <protection/>
    </xf>
    <xf numFmtId="168" fontId="105" fillId="37" borderId="34" xfId="62" applyNumberFormat="1" applyFont="1" applyFill="1" applyBorder="1" applyAlignment="1" applyProtection="1">
      <alignment horizontal="center"/>
      <protection/>
    </xf>
    <xf numFmtId="168" fontId="105" fillId="52" borderId="34" xfId="62" applyNumberFormat="1" applyFont="1" applyFill="1" applyBorder="1" applyAlignment="1" applyProtection="1">
      <alignment horizontal="center"/>
      <protection/>
    </xf>
    <xf numFmtId="22" fontId="13" fillId="0" borderId="34" xfId="62" applyNumberFormat="1" applyFont="1" applyFill="1" applyBorder="1" applyAlignment="1">
      <alignment horizontal="center"/>
      <protection/>
    </xf>
    <xf numFmtId="22" fontId="13" fillId="0" borderId="34" xfId="62" applyNumberFormat="1" applyFont="1" applyFill="1" applyBorder="1" applyAlignment="1" applyProtection="1">
      <alignment horizontal="center"/>
      <protection/>
    </xf>
    <xf numFmtId="4" fontId="13" fillId="0" borderId="34" xfId="62" applyNumberFormat="1" applyFont="1" applyFill="1" applyBorder="1" applyAlignment="1" applyProtection="1">
      <alignment horizontal="center"/>
      <protection/>
    </xf>
    <xf numFmtId="3" fontId="13" fillId="0" borderId="34" xfId="62" applyNumberFormat="1" applyFont="1" applyFill="1" applyBorder="1" applyAlignment="1" applyProtection="1">
      <alignment horizontal="center"/>
      <protection/>
    </xf>
    <xf numFmtId="168" fontId="13" fillId="0" borderId="34" xfId="62" applyNumberFormat="1" applyFont="1" applyFill="1" applyBorder="1" applyAlignment="1" applyProtection="1">
      <alignment horizontal="center"/>
      <protection/>
    </xf>
    <xf numFmtId="164" fontId="62" fillId="37" borderId="34" xfId="62" applyNumberFormat="1" applyFont="1" applyFill="1" applyBorder="1" applyAlignment="1" applyProtection="1">
      <alignment horizontal="center"/>
      <protection/>
    </xf>
    <xf numFmtId="2" fontId="29" fillId="53" borderId="34" xfId="62" applyNumberFormat="1" applyFont="1" applyFill="1" applyBorder="1" applyAlignment="1">
      <alignment horizontal="center"/>
      <protection/>
    </xf>
    <xf numFmtId="168" fontId="29" fillId="48" borderId="49" xfId="62" applyNumberFormat="1" applyFont="1" applyFill="1" applyBorder="1" applyAlignment="1" applyProtection="1" quotePrefix="1">
      <alignment horizontal="center"/>
      <protection/>
    </xf>
    <xf numFmtId="168" fontId="29" fillId="48" borderId="50" xfId="62" applyNumberFormat="1" applyFont="1" applyFill="1" applyBorder="1" applyAlignment="1" applyProtection="1" quotePrefix="1">
      <alignment horizontal="center"/>
      <protection/>
    </xf>
    <xf numFmtId="168" fontId="29" fillId="35" borderId="34" xfId="62" applyNumberFormat="1" applyFont="1" applyFill="1" applyBorder="1" applyAlignment="1" applyProtection="1" quotePrefix="1">
      <alignment horizontal="center"/>
      <protection/>
    </xf>
    <xf numFmtId="168" fontId="29" fillId="52" borderId="65" xfId="62" applyNumberFormat="1" applyFont="1" applyFill="1" applyBorder="1" applyAlignment="1" applyProtection="1" quotePrefix="1">
      <alignment horizontal="center"/>
      <protection/>
    </xf>
    <xf numFmtId="168" fontId="29" fillId="52" borderId="63" xfId="62" applyNumberFormat="1" applyFont="1" applyFill="1" applyBorder="1" applyAlignment="1" applyProtection="1" quotePrefix="1">
      <alignment horizontal="center"/>
      <protection/>
    </xf>
    <xf numFmtId="168" fontId="29" fillId="52" borderId="48" xfId="62" applyNumberFormat="1" applyFont="1" applyFill="1" applyBorder="1" applyAlignment="1" applyProtection="1" quotePrefix="1">
      <alignment horizontal="center"/>
      <protection/>
    </xf>
    <xf numFmtId="168" fontId="13" fillId="0" borderId="48" xfId="62" applyNumberFormat="1" applyFont="1" applyFill="1" applyBorder="1" applyAlignment="1">
      <alignment horizontal="center"/>
      <protection/>
    </xf>
    <xf numFmtId="4" fontId="76" fillId="0" borderId="48" xfId="62" applyNumberFormat="1" applyFont="1" applyFill="1" applyBorder="1" applyAlignment="1">
      <alignment horizontal="right"/>
      <protection/>
    </xf>
    <xf numFmtId="0" fontId="13" fillId="0" borderId="0" xfId="62" applyFont="1" applyFill="1" applyBorder="1" applyAlignment="1">
      <alignment horizontal="center"/>
      <protection/>
    </xf>
    <xf numFmtId="164" fontId="13" fillId="0" borderId="0" xfId="62" applyNumberFormat="1" applyFont="1" applyBorder="1" applyAlignment="1" applyProtection="1">
      <alignment horizontal="center"/>
      <protection/>
    </xf>
    <xf numFmtId="1" fontId="13" fillId="0" borderId="0" xfId="62" applyNumberFormat="1" applyFont="1" applyBorder="1" applyAlignment="1" applyProtection="1" quotePrefix="1">
      <alignment horizontal="center"/>
      <protection/>
    </xf>
    <xf numFmtId="168" fontId="13" fillId="0" borderId="0" xfId="62" applyNumberFormat="1" applyFont="1" applyFill="1" applyBorder="1" applyAlignment="1" applyProtection="1">
      <alignment horizontal="center"/>
      <protection/>
    </xf>
    <xf numFmtId="22" fontId="13" fillId="0" borderId="0" xfId="62" applyNumberFormat="1" applyFont="1" applyFill="1" applyBorder="1" applyAlignment="1">
      <alignment horizontal="center"/>
      <protection/>
    </xf>
    <xf numFmtId="22" fontId="13" fillId="0" borderId="0" xfId="62" applyNumberFormat="1" applyFont="1" applyFill="1" applyBorder="1" applyAlignment="1" applyProtection="1">
      <alignment horizontal="center"/>
      <protection/>
    </xf>
    <xf numFmtId="4" fontId="13" fillId="0" borderId="0" xfId="62" applyNumberFormat="1" applyFont="1" applyFill="1" applyBorder="1" applyAlignment="1" applyProtection="1">
      <alignment horizontal="center"/>
      <protection/>
    </xf>
    <xf numFmtId="3" fontId="13" fillId="0" borderId="0" xfId="62" applyNumberFormat="1" applyFont="1" applyFill="1" applyBorder="1" applyAlignment="1" applyProtection="1">
      <alignment horizontal="center"/>
      <protection/>
    </xf>
    <xf numFmtId="168" fontId="13" fillId="0" borderId="0" xfId="62" applyNumberFormat="1" applyFont="1" applyBorder="1" applyAlignment="1" applyProtection="1" quotePrefix="1">
      <alignment horizontal="center"/>
      <protection/>
    </xf>
    <xf numFmtId="168" fontId="13" fillId="0" borderId="0" xfId="62" applyNumberFormat="1" applyFont="1" applyBorder="1" applyAlignment="1" applyProtection="1">
      <alignment horizontal="center"/>
      <protection/>
    </xf>
    <xf numFmtId="164" fontId="13" fillId="0" borderId="39" xfId="62" applyNumberFormat="1" applyFont="1" applyFill="1" applyBorder="1" applyAlignment="1" applyProtection="1">
      <alignment horizontal="center"/>
      <protection/>
    </xf>
    <xf numFmtId="2" fontId="59" fillId="0" borderId="39" xfId="62" applyNumberFormat="1" applyFont="1" applyFill="1" applyBorder="1" applyAlignment="1">
      <alignment horizontal="center"/>
      <protection/>
    </xf>
    <xf numFmtId="168" fontId="49" fillId="0" borderId="39" xfId="62" applyNumberFormat="1" applyFont="1" applyFill="1" applyBorder="1" applyAlignment="1" applyProtection="1" quotePrefix="1">
      <alignment horizontal="center"/>
      <protection/>
    </xf>
    <xf numFmtId="168" fontId="13" fillId="0" borderId="39" xfId="62" applyNumberFormat="1" applyFont="1" applyFill="1" applyBorder="1" applyAlignment="1">
      <alignment horizontal="center"/>
      <protection/>
    </xf>
    <xf numFmtId="8" fontId="76" fillId="0" borderId="20" xfId="53" applyNumberFormat="1" applyFont="1" applyFill="1" applyBorder="1" applyAlignment="1">
      <alignment horizontal="right"/>
    </xf>
    <xf numFmtId="0" fontId="30" fillId="0" borderId="15" xfId="62" applyFont="1" applyFill="1" applyBorder="1" applyAlignment="1" applyProtection="1" quotePrefix="1">
      <alignment horizontal="center" vertical="center" wrapText="1"/>
      <protection/>
    </xf>
    <xf numFmtId="0" fontId="67" fillId="43" borderId="20" xfId="62" applyFont="1" applyFill="1" applyBorder="1" applyAlignment="1">
      <alignment horizontal="center" vertical="center" wrapText="1"/>
      <protection/>
    </xf>
    <xf numFmtId="0" fontId="35" fillId="36" borderId="15" xfId="62" applyFont="1" applyFill="1" applyBorder="1" applyAlignment="1" applyProtection="1">
      <alignment horizontal="centerContinuous" vertical="center" wrapText="1"/>
      <protection/>
    </xf>
    <xf numFmtId="0" fontId="35" fillId="36" borderId="16" xfId="62" applyFont="1" applyFill="1" applyBorder="1" applyAlignment="1">
      <alignment horizontal="centerContinuous" vertical="center"/>
      <protection/>
    </xf>
    <xf numFmtId="0" fontId="61" fillId="35" borderId="20" xfId="62" applyFont="1" applyFill="1" applyBorder="1" applyAlignment="1">
      <alignment horizontal="center" vertical="center" wrapText="1"/>
      <protection/>
    </xf>
    <xf numFmtId="164" fontId="29" fillId="34" borderId="27" xfId="62" applyNumberFormat="1" applyFont="1" applyFill="1" applyBorder="1" applyAlignment="1" applyProtection="1">
      <alignment horizontal="center"/>
      <protection/>
    </xf>
    <xf numFmtId="0" fontId="71" fillId="43" borderId="22" xfId="62" applyFont="1" applyFill="1" applyBorder="1" applyAlignment="1" applyProtection="1">
      <alignment horizontal="center"/>
      <protection/>
    </xf>
    <xf numFmtId="168" fontId="51" fillId="36" borderId="23" xfId="62" applyNumberFormat="1" applyFont="1" applyFill="1" applyBorder="1" applyAlignment="1" applyProtection="1" quotePrefix="1">
      <alignment horizontal="center"/>
      <protection/>
    </xf>
    <xf numFmtId="168" fontId="51" fillId="36" borderId="25" xfId="62" applyNumberFormat="1" applyFont="1" applyFill="1" applyBorder="1" applyAlignment="1" applyProtection="1" quotePrefix="1">
      <alignment horizontal="center"/>
      <protection/>
    </xf>
    <xf numFmtId="168" fontId="63" fillId="35" borderId="22" xfId="62" applyNumberFormat="1" applyFont="1" applyFill="1" applyBorder="1" applyAlignment="1" applyProtection="1" quotePrefix="1">
      <alignment horizontal="center"/>
      <protection/>
    </xf>
    <xf numFmtId="164" fontId="13" fillId="0" borderId="45" xfId="62" applyNumberFormat="1" applyFont="1" applyBorder="1" applyAlignment="1" applyProtection="1">
      <alignment horizontal="center"/>
      <protection/>
    </xf>
    <xf numFmtId="22" fontId="13" fillId="0" borderId="29" xfId="62" applyNumberFormat="1" applyFont="1" applyBorder="1" applyAlignment="1" applyProtection="1">
      <alignment horizontal="center"/>
      <protection locked="0"/>
    </xf>
    <xf numFmtId="22" fontId="13" fillId="0" borderId="32" xfId="62" applyNumberFormat="1" applyFont="1" applyBorder="1" applyAlignment="1" applyProtection="1">
      <alignment horizontal="center"/>
      <protection locked="0"/>
    </xf>
    <xf numFmtId="2" fontId="71" fillId="43" borderId="27" xfId="62" applyNumberFormat="1" applyFont="1" applyFill="1" applyBorder="1" applyAlignment="1" applyProtection="1">
      <alignment horizontal="center"/>
      <protection/>
    </xf>
    <xf numFmtId="168" fontId="51" fillId="36" borderId="29" xfId="62" applyNumberFormat="1" applyFont="1" applyFill="1" applyBorder="1" applyAlignment="1" applyProtection="1" quotePrefix="1">
      <alignment horizontal="center"/>
      <protection/>
    </xf>
    <xf numFmtId="168" fontId="51" fillId="36" borderId="54" xfId="62" applyNumberFormat="1" applyFont="1" applyFill="1" applyBorder="1" applyAlignment="1" applyProtection="1" quotePrefix="1">
      <alignment horizontal="center"/>
      <protection/>
    </xf>
    <xf numFmtId="4" fontId="76" fillId="0" borderId="27" xfId="62" applyNumberFormat="1" applyFont="1" applyFill="1" applyBorder="1" applyAlignment="1">
      <alignment horizontal="right"/>
      <protection/>
    </xf>
    <xf numFmtId="164" fontId="13" fillId="0" borderId="70" xfId="62" applyNumberFormat="1" applyFont="1" applyBorder="1" applyAlignment="1" applyProtection="1">
      <alignment horizontal="center"/>
      <protection/>
    </xf>
    <xf numFmtId="164" fontId="13" fillId="0" borderId="0" xfId="62" applyNumberFormat="1" applyFont="1" applyFill="1" applyBorder="1" applyAlignment="1" applyProtection="1">
      <alignment horizontal="center"/>
      <protection/>
    </xf>
    <xf numFmtId="2" fontId="59" fillId="0" borderId="0" xfId="62" applyNumberFormat="1" applyFont="1" applyFill="1" applyBorder="1" applyAlignment="1">
      <alignment horizontal="center"/>
      <protection/>
    </xf>
    <xf numFmtId="168" fontId="49" fillId="0" borderId="0" xfId="62" applyNumberFormat="1" applyFont="1" applyFill="1" applyBorder="1" applyAlignment="1" applyProtection="1" quotePrefix="1">
      <alignment horizontal="center"/>
      <protection/>
    </xf>
    <xf numFmtId="168" fontId="13" fillId="0" borderId="0" xfId="62" applyNumberFormat="1" applyFont="1" applyFill="1" applyBorder="1" applyAlignment="1">
      <alignment horizontal="center"/>
      <protection/>
    </xf>
    <xf numFmtId="8" fontId="76" fillId="0" borderId="21" xfId="53" applyNumberFormat="1" applyFont="1" applyFill="1" applyBorder="1" applyAlignment="1">
      <alignment horizontal="right"/>
    </xf>
    <xf numFmtId="168" fontId="29" fillId="52" borderId="0" xfId="62" applyNumberFormat="1" applyFont="1" applyFill="1" applyBorder="1" applyAlignment="1" applyProtection="1" quotePrefix="1">
      <alignment horizontal="center"/>
      <protection/>
    </xf>
    <xf numFmtId="0" fontId="60" fillId="37" borderId="16" xfId="62" applyFont="1" applyFill="1" applyBorder="1" applyAlignment="1" applyProtection="1">
      <alignment horizontal="center" vertical="center"/>
      <protection/>
    </xf>
    <xf numFmtId="0" fontId="89" fillId="39" borderId="20" xfId="62" applyFont="1" applyFill="1" applyBorder="1" applyAlignment="1">
      <alignment horizontal="center" vertical="center" wrapText="1"/>
      <protection/>
    </xf>
    <xf numFmtId="0" fontId="34" fillId="47" borderId="15" xfId="62" applyFont="1" applyFill="1" applyBorder="1" applyAlignment="1" applyProtection="1">
      <alignment horizontal="centerContinuous" vertical="center" wrapText="1"/>
      <protection/>
    </xf>
    <xf numFmtId="0" fontId="34" fillId="47" borderId="16" xfId="62" applyFont="1" applyFill="1" applyBorder="1" applyAlignment="1">
      <alignment horizontal="centerContinuous" vertical="center"/>
      <protection/>
    </xf>
    <xf numFmtId="0" fontId="67" fillId="43" borderId="15" xfId="62" applyFont="1" applyFill="1" applyBorder="1" applyAlignment="1" applyProtection="1">
      <alignment horizontal="centerContinuous" vertical="center" wrapText="1"/>
      <protection/>
    </xf>
    <xf numFmtId="0" fontId="67" fillId="43" borderId="16" xfId="62" applyFont="1" applyFill="1" applyBorder="1" applyAlignment="1">
      <alignment horizontal="centerContinuous" vertical="center"/>
      <protection/>
    </xf>
    <xf numFmtId="0" fontId="37" fillId="36" borderId="20" xfId="62" applyFont="1" applyFill="1" applyBorder="1" applyAlignment="1">
      <alignment horizontal="center" vertical="center" wrapText="1"/>
      <protection/>
    </xf>
    <xf numFmtId="0" fontId="66" fillId="36" borderId="20" xfId="62" applyFont="1" applyFill="1" applyBorder="1" applyAlignment="1">
      <alignment horizontal="center" vertical="center" wrapText="1"/>
      <protection/>
    </xf>
    <xf numFmtId="0" fontId="89" fillId="0" borderId="20" xfId="62" applyFont="1" applyFill="1" applyBorder="1" applyAlignment="1">
      <alignment horizontal="center" vertical="center" wrapText="1"/>
      <protection/>
    </xf>
    <xf numFmtId="4" fontId="21" fillId="0" borderId="14" xfId="62" applyNumberFormat="1" applyFont="1" applyFill="1" applyBorder="1" applyAlignment="1">
      <alignment horizontal="center"/>
      <protection/>
    </xf>
    <xf numFmtId="0" fontId="13" fillId="0" borderId="41" xfId="62" applyFont="1" applyFill="1" applyBorder="1" applyAlignment="1">
      <alignment horizontal="center"/>
      <protection/>
    </xf>
    <xf numFmtId="0" fontId="13" fillId="0" borderId="55" xfId="62" applyFont="1" applyBorder="1" applyAlignment="1">
      <alignment horizontal="center"/>
      <protection/>
    </xf>
    <xf numFmtId="0" fontId="62" fillId="37" borderId="59" xfId="62" applyFont="1" applyFill="1" applyBorder="1" applyAlignment="1">
      <alignment horizontal="center"/>
      <protection/>
    </xf>
    <xf numFmtId="0" fontId="13" fillId="0" borderId="60" xfId="62" applyFont="1" applyBorder="1" applyAlignment="1">
      <alignment horizontal="center"/>
      <protection/>
    </xf>
    <xf numFmtId="0" fontId="13" fillId="0" borderId="59" xfId="62" applyFont="1" applyBorder="1" applyAlignment="1">
      <alignment horizontal="center"/>
      <protection/>
    </xf>
    <xf numFmtId="0" fontId="13" fillId="0" borderId="27" xfId="62" applyFont="1" applyBorder="1">
      <alignment/>
      <protection/>
    </xf>
    <xf numFmtId="0" fontId="62" fillId="37" borderId="0" xfId="62" applyFont="1" applyFill="1" applyBorder="1" applyAlignment="1">
      <alignment horizontal="center"/>
      <protection/>
    </xf>
    <xf numFmtId="0" fontId="90" fillId="39" borderId="41" xfId="62" applyFont="1" applyFill="1" applyBorder="1" applyAlignment="1">
      <alignment horizontal="center"/>
      <protection/>
    </xf>
    <xf numFmtId="0" fontId="50" fillId="47" borderId="23" xfId="62" applyFont="1" applyFill="1" applyBorder="1" applyAlignment="1">
      <alignment horizontal="center"/>
      <protection/>
    </xf>
    <xf numFmtId="0" fontId="50" fillId="47" borderId="25" xfId="62" applyFont="1" applyFill="1" applyBorder="1" applyAlignment="1">
      <alignment horizontal="center"/>
      <protection/>
    </xf>
    <xf numFmtId="0" fontId="71" fillId="43" borderId="43" xfId="62" applyFont="1" applyFill="1" applyBorder="1" applyAlignment="1">
      <alignment horizontal="center"/>
      <protection/>
    </xf>
    <xf numFmtId="0" fontId="71" fillId="43" borderId="44" xfId="62" applyFont="1" applyFill="1" applyBorder="1" applyAlignment="1">
      <alignment horizontal="center"/>
      <protection/>
    </xf>
    <xf numFmtId="0" fontId="53" fillId="36" borderId="41" xfId="62" applyFont="1" applyFill="1" applyBorder="1" applyAlignment="1">
      <alignment horizontal="center"/>
      <protection/>
    </xf>
    <xf numFmtId="0" fontId="13" fillId="0" borderId="41" xfId="62" applyFont="1" applyBorder="1" applyAlignment="1">
      <alignment horizontal="center"/>
      <protection/>
    </xf>
    <xf numFmtId="7" fontId="76" fillId="0" borderId="41" xfId="62" applyNumberFormat="1" applyFont="1" applyFill="1" applyBorder="1" applyAlignment="1">
      <alignment horizontal="center"/>
      <protection/>
    </xf>
    <xf numFmtId="0" fontId="73" fillId="0" borderId="31" xfId="62" applyFont="1" applyBorder="1" applyAlignment="1" applyProtection="1">
      <alignment horizontal="center"/>
      <protection/>
    </xf>
    <xf numFmtId="0" fontId="73" fillId="0" borderId="61" xfId="62" applyFont="1" applyBorder="1" applyAlignment="1" applyProtection="1">
      <alignment horizontal="center"/>
      <protection/>
    </xf>
    <xf numFmtId="168" fontId="62" fillId="37" borderId="26" xfId="62" applyNumberFormat="1" applyFont="1" applyFill="1" applyBorder="1" applyAlignment="1" applyProtection="1">
      <alignment horizontal="center"/>
      <protection/>
    </xf>
    <xf numFmtId="22" fontId="13" fillId="0" borderId="46" xfId="62" applyNumberFormat="1" applyFont="1" applyBorder="1" applyAlignment="1">
      <alignment horizontal="center"/>
      <protection/>
    </xf>
    <xf numFmtId="22" fontId="13" fillId="0" borderId="61" xfId="62" applyNumberFormat="1" applyFont="1" applyBorder="1" applyAlignment="1" applyProtection="1">
      <alignment horizontal="center"/>
      <protection/>
    </xf>
    <xf numFmtId="2" fontId="13" fillId="0" borderId="26" xfId="62" applyNumberFormat="1" applyFont="1" applyFill="1" applyBorder="1" applyAlignment="1" applyProtection="1" quotePrefix="1">
      <alignment horizontal="center"/>
      <protection/>
    </xf>
    <xf numFmtId="164" fontId="13" fillId="0" borderId="26" xfId="62" applyNumberFormat="1" applyFont="1" applyFill="1" applyBorder="1" applyAlignment="1" applyProtection="1" quotePrefix="1">
      <alignment horizontal="center"/>
      <protection/>
    </xf>
    <xf numFmtId="0" fontId="13" fillId="0" borderId="28" xfId="62" applyFont="1" applyBorder="1">
      <alignment/>
      <protection/>
    </xf>
    <xf numFmtId="164" fontId="62" fillId="37" borderId="31" xfId="62" applyNumberFormat="1" applyFont="1" applyFill="1" applyBorder="1" applyAlignment="1" applyProtection="1">
      <alignment horizontal="center"/>
      <protection/>
    </xf>
    <xf numFmtId="2" fontId="90" fillId="39" borderId="26" xfId="62" applyNumberFormat="1" applyFont="1" applyFill="1" applyBorder="1" applyAlignment="1">
      <alignment horizontal="center"/>
      <protection/>
    </xf>
    <xf numFmtId="168" fontId="50" fillId="47" borderId="46" xfId="62" applyNumberFormat="1" applyFont="1" applyFill="1" applyBorder="1" applyAlignment="1" applyProtection="1" quotePrefix="1">
      <alignment horizontal="center"/>
      <protection/>
    </xf>
    <xf numFmtId="168" fontId="50" fillId="47" borderId="47" xfId="62" applyNumberFormat="1" applyFont="1" applyFill="1" applyBorder="1" applyAlignment="1" applyProtection="1" quotePrefix="1">
      <alignment horizontal="center"/>
      <protection/>
    </xf>
    <xf numFmtId="0" fontId="71" fillId="43" borderId="46" xfId="62" applyFont="1" applyFill="1" applyBorder="1" applyAlignment="1">
      <alignment horizontal="center"/>
      <protection/>
    </xf>
    <xf numFmtId="0" fontId="71" fillId="43" borderId="47" xfId="62" applyFont="1" applyFill="1" applyBorder="1" applyAlignment="1">
      <alignment horizontal="center"/>
      <protection/>
    </xf>
    <xf numFmtId="168" fontId="53" fillId="36" borderId="26" xfId="62" applyNumberFormat="1" applyFont="1" applyFill="1" applyBorder="1" applyAlignment="1" applyProtection="1" quotePrefix="1">
      <alignment horizontal="center"/>
      <protection/>
    </xf>
    <xf numFmtId="168" fontId="13" fillId="0" borderId="26" xfId="62" applyNumberFormat="1" applyFont="1" applyBorder="1" applyAlignment="1" applyProtection="1">
      <alignment horizontal="center"/>
      <protection/>
    </xf>
    <xf numFmtId="168" fontId="76" fillId="0" borderId="26" xfId="62" applyNumberFormat="1" applyFont="1" applyFill="1" applyBorder="1" applyAlignment="1">
      <alignment horizontal="center"/>
      <protection/>
    </xf>
    <xf numFmtId="0" fontId="73" fillId="0" borderId="56" xfId="62" applyFont="1" applyBorder="1" applyAlignment="1" applyProtection="1">
      <alignment horizontal="center"/>
      <protection locked="0"/>
    </xf>
    <xf numFmtId="0" fontId="73" fillId="0" borderId="32" xfId="62" applyFont="1" applyBorder="1" applyAlignment="1" applyProtection="1">
      <alignment horizontal="center"/>
      <protection locked="0"/>
    </xf>
    <xf numFmtId="174" fontId="62" fillId="37" borderId="27" xfId="62" applyNumberFormat="1" applyFont="1" applyFill="1" applyBorder="1" applyAlignment="1" applyProtection="1">
      <alignment horizontal="center"/>
      <protection/>
    </xf>
    <xf numFmtId="2" fontId="13" fillId="0" borderId="27" xfId="62" applyNumberFormat="1" applyFont="1" applyFill="1" applyBorder="1" applyAlignment="1" applyProtection="1" quotePrefix="1">
      <alignment horizontal="center"/>
      <protection/>
    </xf>
    <xf numFmtId="168" fontId="13" fillId="0" borderId="28" xfId="62" applyNumberFormat="1" applyFont="1" applyBorder="1" applyAlignment="1" applyProtection="1">
      <alignment horizontal="center"/>
      <protection locked="0"/>
    </xf>
    <xf numFmtId="164" fontId="62" fillId="37" borderId="56" xfId="62" applyNumberFormat="1" applyFont="1" applyFill="1" applyBorder="1" applyAlignment="1" applyProtection="1">
      <alignment horizontal="center"/>
      <protection/>
    </xf>
    <xf numFmtId="2" fontId="90" fillId="39" borderId="27" xfId="62" applyNumberFormat="1" applyFont="1" applyFill="1" applyBorder="1" applyAlignment="1" applyProtection="1">
      <alignment horizontal="center"/>
      <protection/>
    </xf>
    <xf numFmtId="168" fontId="71" fillId="43" borderId="46" xfId="62" applyNumberFormat="1" applyFont="1" applyFill="1" applyBorder="1" applyAlignment="1" applyProtection="1" quotePrefix="1">
      <alignment horizontal="center"/>
      <protection/>
    </xf>
    <xf numFmtId="168" fontId="71" fillId="43" borderId="47" xfId="62" applyNumberFormat="1" applyFont="1" applyFill="1" applyBorder="1" applyAlignment="1" applyProtection="1" quotePrefix="1">
      <alignment horizontal="center"/>
      <protection/>
    </xf>
    <xf numFmtId="2" fontId="70" fillId="36" borderId="27" xfId="62" applyNumberFormat="1" applyFont="1" applyFill="1" applyBorder="1" applyAlignment="1" applyProtection="1">
      <alignment horizontal="center"/>
      <protection/>
    </xf>
    <xf numFmtId="0" fontId="13" fillId="0" borderId="33" xfId="62" applyFont="1" applyFill="1" applyBorder="1" applyAlignment="1">
      <alignment horizontal="center"/>
      <protection/>
    </xf>
    <xf numFmtId="0" fontId="73" fillId="0" borderId="63" xfId="62" applyFont="1" applyBorder="1" applyAlignment="1" applyProtection="1">
      <alignment horizontal="center"/>
      <protection locked="0"/>
    </xf>
    <xf numFmtId="0" fontId="73" fillId="0" borderId="65" xfId="62" applyFont="1" applyBorder="1" applyAlignment="1" applyProtection="1">
      <alignment horizontal="center"/>
      <protection locked="0"/>
    </xf>
    <xf numFmtId="22" fontId="13" fillId="0" borderId="35" xfId="62" applyNumberFormat="1" applyFont="1" applyBorder="1" applyAlignment="1" applyProtection="1">
      <alignment horizontal="center"/>
      <protection locked="0"/>
    </xf>
    <xf numFmtId="22" fontId="13" fillId="0" borderId="65" xfId="62" applyNumberFormat="1" applyFont="1" applyBorder="1" applyAlignment="1" applyProtection="1">
      <alignment horizontal="center"/>
      <protection locked="0"/>
    </xf>
    <xf numFmtId="2" fontId="13" fillId="0" borderId="34" xfId="62" applyNumberFormat="1" applyFont="1" applyFill="1" applyBorder="1" applyAlignment="1" applyProtection="1" quotePrefix="1">
      <alignment horizontal="center"/>
      <protection/>
    </xf>
    <xf numFmtId="164" fontId="13" fillId="0" borderId="34" xfId="62" applyNumberFormat="1" applyFont="1" applyFill="1" applyBorder="1" applyAlignment="1" applyProtection="1" quotePrefix="1">
      <alignment horizontal="center"/>
      <protection/>
    </xf>
    <xf numFmtId="168" fontId="13" fillId="0" borderId="48" xfId="62" applyNumberFormat="1" applyFont="1" applyBorder="1" applyAlignment="1" applyProtection="1">
      <alignment horizontal="center"/>
      <protection locked="0"/>
    </xf>
    <xf numFmtId="173" fontId="13" fillId="0" borderId="48" xfId="62" applyNumberFormat="1" applyFont="1" applyBorder="1" applyAlignment="1" applyProtection="1" quotePrefix="1">
      <alignment horizontal="center"/>
      <protection/>
    </xf>
    <xf numFmtId="164" fontId="62" fillId="37" borderId="63" xfId="62" applyNumberFormat="1" applyFont="1" applyFill="1" applyBorder="1" applyAlignment="1" applyProtection="1">
      <alignment horizontal="center"/>
      <protection/>
    </xf>
    <xf numFmtId="2" fontId="90" fillId="39" borderId="34" xfId="62" applyNumberFormat="1" applyFont="1" applyFill="1" applyBorder="1" applyAlignment="1" applyProtection="1">
      <alignment horizontal="center"/>
      <protection/>
    </xf>
    <xf numFmtId="168" fontId="50" fillId="47" borderId="49" xfId="62" applyNumberFormat="1" applyFont="1" applyFill="1" applyBorder="1" applyAlignment="1" applyProtection="1" quotePrefix="1">
      <alignment horizontal="center"/>
      <protection/>
    </xf>
    <xf numFmtId="168" fontId="50" fillId="47" borderId="50" xfId="62" applyNumberFormat="1" applyFont="1" applyFill="1" applyBorder="1" applyAlignment="1" applyProtection="1" quotePrefix="1">
      <alignment horizontal="center"/>
      <protection/>
    </xf>
    <xf numFmtId="168" fontId="71" fillId="43" borderId="49" xfId="62" applyNumberFormat="1" applyFont="1" applyFill="1" applyBorder="1" applyAlignment="1" applyProtection="1" quotePrefix="1">
      <alignment horizontal="center"/>
      <protection/>
    </xf>
    <xf numFmtId="168" fontId="71" fillId="43" borderId="50" xfId="62" applyNumberFormat="1" applyFont="1" applyFill="1" applyBorder="1" applyAlignment="1" applyProtection="1" quotePrefix="1">
      <alignment horizontal="center"/>
      <protection/>
    </xf>
    <xf numFmtId="168" fontId="53" fillId="36" borderId="33" xfId="62" applyNumberFormat="1" applyFont="1" applyFill="1" applyBorder="1" applyAlignment="1" applyProtection="1" quotePrefix="1">
      <alignment horizontal="center"/>
      <protection/>
    </xf>
    <xf numFmtId="2" fontId="70" fillId="36" borderId="34" xfId="62" applyNumberFormat="1" applyFont="1" applyFill="1" applyBorder="1" applyAlignment="1" applyProtection="1">
      <alignment horizontal="center"/>
      <protection/>
    </xf>
    <xf numFmtId="4" fontId="76" fillId="0" borderId="34" xfId="62" applyNumberFormat="1" applyFont="1" applyFill="1" applyBorder="1" applyAlignment="1">
      <alignment horizontal="right"/>
      <protection/>
    </xf>
    <xf numFmtId="8" fontId="76" fillId="0" borderId="0" xfId="53" applyNumberFormat="1" applyFont="1" applyFill="1" applyBorder="1" applyAlignment="1">
      <alignment horizontal="right"/>
    </xf>
    <xf numFmtId="168" fontId="13" fillId="0" borderId="0" xfId="62" applyNumberFormat="1" applyFont="1" applyBorder="1" applyAlignment="1" applyProtection="1" quotePrefix="1">
      <alignment horizontal="centerContinuous"/>
      <protection/>
    </xf>
    <xf numFmtId="168" fontId="13" fillId="0" borderId="0" xfId="62" applyNumberFormat="1" applyFont="1" applyBorder="1" applyAlignment="1" applyProtection="1">
      <alignment horizontal="centerContinuous"/>
      <protection/>
    </xf>
    <xf numFmtId="4" fontId="76" fillId="0" borderId="0" xfId="62" applyNumberFormat="1" applyFont="1" applyFill="1" applyBorder="1" applyAlignment="1">
      <alignment horizontal="right"/>
      <protection/>
    </xf>
    <xf numFmtId="2" fontId="106" fillId="0" borderId="0" xfId="62" applyNumberFormat="1" applyFont="1" applyBorder="1" applyAlignment="1" applyProtection="1">
      <alignment horizontal="left"/>
      <protection/>
    </xf>
    <xf numFmtId="168" fontId="106" fillId="0" borderId="0" xfId="62" applyNumberFormat="1" applyFont="1" applyBorder="1" applyAlignment="1" applyProtection="1">
      <alignment horizontal="center"/>
      <protection/>
    </xf>
    <xf numFmtId="0" fontId="106" fillId="0" borderId="0" xfId="62" applyFont="1" applyBorder="1" applyAlignment="1" applyProtection="1">
      <alignment horizontal="center"/>
      <protection/>
    </xf>
    <xf numFmtId="165" fontId="106" fillId="0" borderId="0" xfId="62" applyNumberFormat="1" applyFont="1" applyBorder="1" applyAlignment="1" applyProtection="1">
      <alignment horizontal="center"/>
      <protection/>
    </xf>
    <xf numFmtId="0" fontId="107" fillId="0" borderId="0" xfId="62" applyFont="1">
      <alignment/>
      <protection/>
    </xf>
    <xf numFmtId="173" fontId="106" fillId="0" borderId="0" xfId="62" applyNumberFormat="1" applyFont="1" applyBorder="1" applyAlignment="1" applyProtection="1" quotePrefix="1">
      <alignment horizontal="center"/>
      <protection/>
    </xf>
    <xf numFmtId="0" fontId="106" fillId="0" borderId="0" xfId="62" applyFont="1">
      <alignment/>
      <protection/>
    </xf>
    <xf numFmtId="2" fontId="106" fillId="0" borderId="0" xfId="62" applyNumberFormat="1" applyFont="1" applyBorder="1" applyAlignment="1" applyProtection="1">
      <alignment horizontal="center"/>
      <protection/>
    </xf>
    <xf numFmtId="168" fontId="106" fillId="0" borderId="0" xfId="62" applyNumberFormat="1" applyFont="1" applyBorder="1" applyAlignment="1" applyProtection="1" quotePrefix="1">
      <alignment horizontal="center"/>
      <protection/>
    </xf>
    <xf numFmtId="0" fontId="4" fillId="0" borderId="0" xfId="62" applyFont="1" applyBorder="1" applyAlignment="1">
      <alignment horizontal="center"/>
      <protection/>
    </xf>
    <xf numFmtId="2" fontId="108" fillId="0" borderId="0" xfId="62" applyNumberFormat="1" applyFont="1" applyBorder="1" applyAlignment="1" applyProtection="1">
      <alignment horizontal="left"/>
      <protection/>
    </xf>
    <xf numFmtId="0" fontId="21" fillId="0" borderId="0" xfId="62" applyFont="1" applyAlignment="1">
      <alignment horizontal="center"/>
      <protection/>
    </xf>
    <xf numFmtId="173" fontId="4" fillId="0" borderId="0" xfId="62" applyNumberFormat="1" applyFont="1" applyBorder="1" applyAlignment="1" applyProtection="1">
      <alignment horizontal="left"/>
      <protection/>
    </xf>
    <xf numFmtId="168" fontId="4" fillId="0" borderId="0" xfId="62" applyNumberFormat="1" applyFont="1" applyBorder="1" applyAlignment="1" applyProtection="1">
      <alignment horizontal="left"/>
      <protection/>
    </xf>
    <xf numFmtId="4" fontId="103" fillId="0" borderId="0" xfId="62" applyNumberFormat="1" applyFont="1" applyBorder="1" applyAlignment="1" applyProtection="1">
      <alignment horizontal="center"/>
      <protection/>
    </xf>
    <xf numFmtId="7" fontId="4" fillId="0" borderId="0" xfId="62" applyNumberFormat="1" applyFont="1" applyBorder="1" applyAlignment="1">
      <alignment horizontal="centerContinuous"/>
      <protection/>
    </xf>
    <xf numFmtId="1" fontId="21" fillId="0" borderId="0" xfId="62" applyNumberFormat="1" applyFont="1" applyBorder="1" applyAlignment="1" applyProtection="1">
      <alignment horizontal="center"/>
      <protection/>
    </xf>
    <xf numFmtId="183" fontId="21" fillId="0" borderId="0" xfId="62" applyNumberFormat="1" applyFont="1" applyBorder="1" applyAlignment="1" applyProtection="1">
      <alignment horizontal="centerContinuous"/>
      <protection/>
    </xf>
    <xf numFmtId="183" fontId="106" fillId="0" borderId="0" xfId="62" applyNumberFormat="1" applyFont="1" applyBorder="1" applyAlignment="1" applyProtection="1">
      <alignment horizontal="centerContinuous"/>
      <protection/>
    </xf>
    <xf numFmtId="168" fontId="106" fillId="0" borderId="0" xfId="62" applyNumberFormat="1" applyFont="1" applyBorder="1" applyAlignment="1" applyProtection="1" quotePrefix="1">
      <alignment horizontal="left"/>
      <protection/>
    </xf>
    <xf numFmtId="168" fontId="21" fillId="0" borderId="0" xfId="62" applyNumberFormat="1" applyFont="1" applyBorder="1">
      <alignment/>
      <protection/>
    </xf>
    <xf numFmtId="7" fontId="21" fillId="0" borderId="0" xfId="62" applyNumberFormat="1" applyFont="1" applyBorder="1" applyAlignment="1">
      <alignment horizontal="centerContinuous"/>
      <protection/>
    </xf>
    <xf numFmtId="0" fontId="21" fillId="0" borderId="0" xfId="62" applyFont="1" applyAlignment="1">
      <alignment horizontal="centerContinuous"/>
      <protection/>
    </xf>
    <xf numFmtId="168" fontId="21" fillId="0" borderId="0" xfId="62" applyNumberFormat="1" applyFont="1" applyBorder="1" applyAlignment="1" applyProtection="1">
      <alignment horizontal="centerContinuous"/>
      <protection/>
    </xf>
    <xf numFmtId="168" fontId="106" fillId="0" borderId="0" xfId="62" applyNumberFormat="1" applyFont="1" applyBorder="1" applyAlignment="1" applyProtection="1" quotePrefix="1">
      <alignment horizontal="right"/>
      <protection/>
    </xf>
    <xf numFmtId="168" fontId="103" fillId="0" borderId="0" xfId="62" applyNumberFormat="1" applyFont="1" applyBorder="1" applyAlignment="1" applyProtection="1" quotePrefix="1">
      <alignment horizontal="center"/>
      <protection/>
    </xf>
    <xf numFmtId="2" fontId="109" fillId="0" borderId="0" xfId="62" applyNumberFormat="1" applyFont="1" applyBorder="1" applyAlignment="1" applyProtection="1">
      <alignment horizontal="center"/>
      <protection/>
    </xf>
    <xf numFmtId="4" fontId="106" fillId="0" borderId="0" xfId="62" applyNumberFormat="1" applyFont="1" applyBorder="1" applyAlignment="1" applyProtection="1">
      <alignment horizontal="center"/>
      <protection/>
    </xf>
    <xf numFmtId="7" fontId="106" fillId="0" borderId="0" xfId="62" applyNumberFormat="1" applyFont="1" applyFill="1" applyBorder="1" applyAlignment="1">
      <alignment horizontal="center"/>
      <protection/>
    </xf>
    <xf numFmtId="1" fontId="21" fillId="0" borderId="0" xfId="62" applyNumberFormat="1" applyFont="1" applyBorder="1" applyAlignment="1" applyProtection="1">
      <alignment horizontal="left"/>
      <protection/>
    </xf>
    <xf numFmtId="1" fontId="21" fillId="0" borderId="0" xfId="62" applyNumberFormat="1" applyFont="1" applyBorder="1" applyAlignment="1" applyProtection="1">
      <alignment horizontal="centerContinuous"/>
      <protection/>
    </xf>
    <xf numFmtId="7" fontId="106" fillId="0" borderId="56" xfId="62" applyNumberFormat="1" applyFont="1" applyFill="1" applyBorder="1" applyAlignment="1">
      <alignment horizontal="center"/>
      <protection/>
    </xf>
    <xf numFmtId="7" fontId="21" fillId="0" borderId="0" xfId="62" applyNumberFormat="1" applyFont="1" applyBorder="1" applyAlignment="1">
      <alignment horizontal="right"/>
      <protection/>
    </xf>
    <xf numFmtId="168" fontId="22" fillId="0" borderId="0" xfId="62" applyNumberFormat="1" applyFont="1" applyBorder="1" applyAlignment="1" applyProtection="1">
      <alignment horizontal="left"/>
      <protection/>
    </xf>
    <xf numFmtId="10" fontId="21" fillId="0" borderId="0" xfId="62" applyNumberFormat="1" applyFont="1" applyBorder="1" applyAlignment="1" applyProtection="1">
      <alignment horizontal="center"/>
      <protection/>
    </xf>
    <xf numFmtId="7" fontId="21" fillId="0" borderId="0" xfId="62" applyNumberFormat="1" applyFont="1" applyAlignment="1">
      <alignment horizontal="right"/>
      <protection/>
    </xf>
    <xf numFmtId="0" fontId="21" fillId="0" borderId="0" xfId="62" applyFont="1" quotePrefix="1">
      <alignment/>
      <protection/>
    </xf>
    <xf numFmtId="168" fontId="21" fillId="0" borderId="0" xfId="62" applyNumberFormat="1" applyFont="1" applyBorder="1" applyAlignment="1" applyProtection="1" quotePrefix="1">
      <alignment horizontal="center"/>
      <protection/>
    </xf>
    <xf numFmtId="7" fontId="21" fillId="0" borderId="0" xfId="62" applyNumberFormat="1" applyFont="1" applyBorder="1" applyAlignment="1" applyProtection="1">
      <alignment horizontal="left"/>
      <protection/>
    </xf>
    <xf numFmtId="0" fontId="107" fillId="0" borderId="0" xfId="62" applyFont="1" quotePrefix="1">
      <alignment/>
      <protection/>
    </xf>
    <xf numFmtId="0" fontId="111" fillId="0" borderId="0" xfId="62" applyFont="1" applyAlignment="1">
      <alignment vertical="center"/>
      <protection/>
    </xf>
    <xf numFmtId="0" fontId="23" fillId="0" borderId="13" xfId="62" applyFont="1" applyBorder="1" applyAlignment="1">
      <alignment vertical="center"/>
      <protection/>
    </xf>
    <xf numFmtId="0" fontId="23" fillId="0" borderId="0" xfId="62" applyFont="1" applyBorder="1" applyAlignment="1">
      <alignment horizontal="center" vertical="center"/>
      <protection/>
    </xf>
    <xf numFmtId="168" fontId="23" fillId="0" borderId="0" xfId="62" applyNumberFormat="1" applyFont="1" applyBorder="1" applyAlignment="1" applyProtection="1">
      <alignment horizontal="left" vertical="center"/>
      <protection/>
    </xf>
    <xf numFmtId="0" fontId="111" fillId="0" borderId="0" xfId="62" applyFont="1" applyAlignment="1" quotePrefix="1">
      <alignment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165" fontId="23" fillId="0" borderId="0" xfId="62" applyNumberFormat="1" applyFont="1" applyBorder="1" applyAlignment="1" applyProtection="1">
      <alignment horizontal="center" vertical="center"/>
      <protection/>
    </xf>
    <xf numFmtId="4" fontId="10" fillId="0" borderId="15" xfId="62" applyNumberFormat="1" applyFont="1" applyBorder="1" applyAlignment="1" applyProtection="1">
      <alignment horizontal="center" vertical="center"/>
      <protection/>
    </xf>
    <xf numFmtId="7" fontId="112" fillId="0" borderId="16" xfId="62" applyNumberFormat="1" applyFont="1" applyFill="1" applyBorder="1" applyAlignment="1">
      <alignment horizontal="center" vertical="center"/>
      <protection/>
    </xf>
    <xf numFmtId="168" fontId="23" fillId="0" borderId="0" xfId="62" applyNumberFormat="1" applyFont="1" applyBorder="1" applyAlignment="1" applyProtection="1">
      <alignment horizontal="center" vertical="center"/>
      <protection/>
    </xf>
    <xf numFmtId="168" fontId="10" fillId="0" borderId="0" xfId="62" applyNumberFormat="1" applyFont="1" applyBorder="1" applyAlignment="1" applyProtection="1">
      <alignment horizontal="left" vertical="center"/>
      <protection/>
    </xf>
    <xf numFmtId="173" fontId="23" fillId="0" borderId="0" xfId="62" applyNumberFormat="1" applyFont="1" applyBorder="1" applyAlignment="1" applyProtection="1" quotePrefix="1">
      <alignment horizontal="center" vertical="center"/>
      <protection/>
    </xf>
    <xf numFmtId="2" fontId="115" fillId="0" borderId="0" xfId="62" applyNumberFormat="1" applyFont="1" applyBorder="1" applyAlignment="1" applyProtection="1">
      <alignment horizontal="center" vertical="center"/>
      <protection/>
    </xf>
    <xf numFmtId="168" fontId="116" fillId="0" borderId="0" xfId="62" applyNumberFormat="1" applyFont="1" applyBorder="1" applyAlignment="1" applyProtection="1" quotePrefix="1">
      <alignment horizontal="center" vertical="center"/>
      <protection/>
    </xf>
    <xf numFmtId="4" fontId="23" fillId="0" borderId="14" xfId="62" applyNumberFormat="1" applyFont="1" applyFill="1" applyBorder="1" applyAlignment="1">
      <alignment horizontal="center" vertical="center"/>
      <protection/>
    </xf>
    <xf numFmtId="0" fontId="21" fillId="0" borderId="17" xfId="62" applyFont="1" applyBorder="1">
      <alignment/>
      <protection/>
    </xf>
    <xf numFmtId="0" fontId="21" fillId="0" borderId="18" xfId="62" applyFont="1" applyBorder="1">
      <alignment/>
      <protection/>
    </xf>
    <xf numFmtId="0" fontId="3" fillId="0" borderId="18" xfId="62" applyBorder="1">
      <alignment/>
      <protection/>
    </xf>
    <xf numFmtId="0" fontId="21" fillId="0" borderId="19" xfId="62" applyFont="1" applyFill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34" xfId="67" applyFont="1" applyBorder="1" applyAlignment="1" applyProtection="1">
      <alignment horizontal="center"/>
      <protection/>
    </xf>
    <xf numFmtId="0" fontId="13" fillId="0" borderId="63" xfId="67" applyFont="1" applyBorder="1" applyAlignment="1" applyProtection="1">
      <alignment horizontal="center"/>
      <protection/>
    </xf>
    <xf numFmtId="164" fontId="13" fillId="0" borderId="34" xfId="67" applyNumberFormat="1" applyFont="1" applyBorder="1" applyAlignment="1" applyProtection="1">
      <alignment horizontal="center"/>
      <protection/>
    </xf>
    <xf numFmtId="1" fontId="13" fillId="0" borderId="37" xfId="67" applyNumberFormat="1" applyFont="1" applyBorder="1" applyAlignment="1" applyProtection="1" quotePrefix="1">
      <alignment horizontal="center"/>
      <protection/>
    </xf>
    <xf numFmtId="168" fontId="29" fillId="48" borderId="35" xfId="67" applyNumberFormat="1" applyFont="1" applyFill="1" applyBorder="1" applyAlignment="1" applyProtection="1" quotePrefix="1">
      <alignment horizontal="center"/>
      <protection/>
    </xf>
    <xf numFmtId="168" fontId="29" fillId="48" borderId="37" xfId="67" applyNumberFormat="1" applyFont="1" applyFill="1" applyBorder="1" applyAlignment="1" applyProtection="1" quotePrefix="1">
      <alignment horizontal="center"/>
      <protection/>
    </xf>
    <xf numFmtId="168" fontId="63" fillId="52" borderId="32" xfId="67" applyNumberFormat="1" applyFont="1" applyFill="1" applyBorder="1" applyAlignment="1" applyProtection="1" quotePrefix="1">
      <alignment horizontal="center"/>
      <protection/>
    </xf>
    <xf numFmtId="168" fontId="63" fillId="52" borderId="56" xfId="67" applyNumberFormat="1" applyFont="1" applyFill="1" applyBorder="1" applyAlignment="1" applyProtection="1" quotePrefix="1">
      <alignment horizontal="center"/>
      <protection/>
    </xf>
    <xf numFmtId="168" fontId="63" fillId="52" borderId="28" xfId="67" applyNumberFormat="1" applyFont="1" applyFill="1" applyBorder="1" applyAlignment="1" applyProtection="1" quotePrefix="1">
      <alignment horizontal="center"/>
      <protection/>
    </xf>
    <xf numFmtId="0" fontId="27" fillId="0" borderId="0" xfId="65" applyNumberFormat="1" applyFont="1" applyBorder="1" applyAlignment="1">
      <alignment horizontal="left"/>
      <protection/>
    </xf>
    <xf numFmtId="0" fontId="27" fillId="0" borderId="0" xfId="0" applyNumberFormat="1" applyFont="1" applyBorder="1" applyAlignment="1">
      <alignment horizontal="left"/>
    </xf>
    <xf numFmtId="168" fontId="13" fillId="0" borderId="85" xfId="59" applyNumberFormat="1" applyFont="1" applyBorder="1" applyAlignment="1" applyProtection="1">
      <alignment horizontal="center"/>
      <protection/>
    </xf>
    <xf numFmtId="168" fontId="13" fillId="0" borderId="69" xfId="59" applyNumberFormat="1" applyFont="1" applyBorder="1" applyAlignment="1" applyProtection="1">
      <alignment horizontal="center"/>
      <protection/>
    </xf>
    <xf numFmtId="168" fontId="13" fillId="0" borderId="70" xfId="59" applyNumberFormat="1" applyFont="1" applyBorder="1" applyAlignment="1" applyProtection="1">
      <alignment horizontal="center"/>
      <protection/>
    </xf>
    <xf numFmtId="168" fontId="13" fillId="0" borderId="61" xfId="59" applyNumberFormat="1" applyFont="1" applyBorder="1" applyAlignment="1" applyProtection="1" quotePrefix="1">
      <alignment horizontal="center"/>
      <protection/>
    </xf>
    <xf numFmtId="168" fontId="13" fillId="0" borderId="31" xfId="59" applyNumberFormat="1" applyFont="1" applyBorder="1" applyAlignment="1" applyProtection="1" quotePrefix="1">
      <alignment horizontal="center"/>
      <protection/>
    </xf>
    <xf numFmtId="168" fontId="13" fillId="0" borderId="45" xfId="59" applyNumberFormat="1" applyFont="1" applyBorder="1" applyAlignment="1" applyProtection="1" quotePrefix="1">
      <alignment horizontal="center"/>
      <protection/>
    </xf>
    <xf numFmtId="164" fontId="13" fillId="0" borderId="61" xfId="59" applyNumberFormat="1" applyFont="1" applyBorder="1" applyAlignment="1" applyProtection="1">
      <alignment horizontal="center"/>
      <protection/>
    </xf>
    <xf numFmtId="164" fontId="13" fillId="0" borderId="45" xfId="59" applyNumberFormat="1" applyFont="1" applyBorder="1" applyAlignment="1" applyProtection="1">
      <alignment horizontal="center"/>
      <protection/>
    </xf>
    <xf numFmtId="0" fontId="30" fillId="0" borderId="15" xfId="59" applyFont="1" applyBorder="1" applyAlignment="1" applyProtection="1">
      <alignment horizontal="center" vertical="center"/>
      <protection/>
    </xf>
    <xf numFmtId="0" fontId="30" fillId="0" borderId="16" xfId="59" applyFont="1" applyBorder="1" applyAlignment="1" applyProtection="1">
      <alignment horizontal="center" vertical="center"/>
      <protection/>
    </xf>
    <xf numFmtId="0" fontId="13" fillId="0" borderId="68" xfId="59" applyFont="1" applyBorder="1" applyAlignment="1">
      <alignment horizontal="center"/>
      <protection/>
    </xf>
    <xf numFmtId="0" fontId="13" fillId="0" borderId="42" xfId="59" applyFont="1" applyBorder="1" applyAlignment="1">
      <alignment horizontal="center"/>
      <protection/>
    </xf>
    <xf numFmtId="168" fontId="13" fillId="0" borderId="61" xfId="59" applyNumberFormat="1" applyFont="1" applyBorder="1" applyAlignment="1" applyProtection="1">
      <alignment horizontal="center"/>
      <protection/>
    </xf>
    <xf numFmtId="168" fontId="13" fillId="0" borderId="45" xfId="59" applyNumberFormat="1" applyFont="1" applyBorder="1" applyAlignment="1" applyProtection="1">
      <alignment horizontal="center"/>
      <protection/>
    </xf>
    <xf numFmtId="168" fontId="114" fillId="0" borderId="0" xfId="59" applyNumberFormat="1" applyFont="1" applyBorder="1" applyAlignment="1" applyProtection="1">
      <alignment horizontal="left" vertical="center"/>
      <protection/>
    </xf>
    <xf numFmtId="0" fontId="13" fillId="0" borderId="85" xfId="59" applyFont="1" applyBorder="1" applyAlignment="1" applyProtection="1">
      <alignment horizontal="center"/>
      <protection locked="0"/>
    </xf>
    <xf numFmtId="0" fontId="13" fillId="0" borderId="70" xfId="59" applyFont="1" applyBorder="1" applyAlignment="1" applyProtection="1">
      <alignment horizontal="center"/>
      <protection locked="0"/>
    </xf>
    <xf numFmtId="1" fontId="21" fillId="0" borderId="0" xfId="63" applyNumberFormat="1" applyFont="1" applyBorder="1" applyAlignment="1" applyProtection="1">
      <alignment horizontal="center"/>
      <protection/>
    </xf>
    <xf numFmtId="0" fontId="30" fillId="0" borderId="15" xfId="59" applyFont="1" applyFill="1" applyBorder="1" applyAlignment="1" applyProtection="1" quotePrefix="1">
      <alignment horizontal="center" vertical="center" wrapText="1"/>
      <protection/>
    </xf>
    <xf numFmtId="0" fontId="30" fillId="0" borderId="16" xfId="59" applyFont="1" applyFill="1" applyBorder="1" applyAlignment="1" applyProtection="1" quotePrefix="1">
      <alignment horizontal="center" vertical="center" wrapText="1"/>
      <protection/>
    </xf>
    <xf numFmtId="0" fontId="30" fillId="0" borderId="15" xfId="59" applyFont="1" applyFill="1" applyBorder="1" applyAlignment="1" applyProtection="1">
      <alignment horizontal="center" vertical="center"/>
      <protection/>
    </xf>
    <xf numFmtId="0" fontId="30" fillId="0" borderId="21" xfId="59" applyFont="1" applyFill="1" applyBorder="1" applyAlignment="1" applyProtection="1">
      <alignment horizontal="center" vertical="center"/>
      <protection/>
    </xf>
    <xf numFmtId="0" fontId="30" fillId="0" borderId="16" xfId="59" applyFont="1" applyFill="1" applyBorder="1" applyAlignment="1" applyProtection="1">
      <alignment horizontal="center" vertical="center"/>
      <protection/>
    </xf>
    <xf numFmtId="0" fontId="13" fillId="0" borderId="66" xfId="59" applyFont="1" applyFill="1" applyBorder="1" applyAlignment="1">
      <alignment horizontal="center"/>
      <protection/>
    </xf>
    <xf numFmtId="0" fontId="13" fillId="0" borderId="67" xfId="59" applyFont="1" applyFill="1" applyBorder="1" applyAlignment="1">
      <alignment horizontal="center"/>
      <protection/>
    </xf>
    <xf numFmtId="0" fontId="13" fillId="0" borderId="75" xfId="59" applyFont="1" applyFill="1" applyBorder="1" applyAlignment="1">
      <alignment horizontal="center"/>
      <protection/>
    </xf>
    <xf numFmtId="0" fontId="13" fillId="0" borderId="61" xfId="59" applyFont="1" applyBorder="1" applyAlignment="1" applyProtection="1">
      <alignment horizontal="center"/>
      <protection locked="0"/>
    </xf>
    <xf numFmtId="0" fontId="13" fillId="0" borderId="45" xfId="59" applyFont="1" applyBorder="1" applyAlignment="1" applyProtection="1">
      <alignment horizontal="center"/>
      <protection locked="0"/>
    </xf>
    <xf numFmtId="0" fontId="21" fillId="0" borderId="0" xfId="59" applyFont="1" applyBorder="1" applyAlignment="1" applyProtection="1">
      <alignment horizontal="center"/>
      <protection/>
    </xf>
    <xf numFmtId="0" fontId="30" fillId="0" borderId="15" xfId="59" applyFont="1" applyBorder="1" applyAlignment="1" applyProtection="1" quotePrefix="1">
      <alignment horizontal="center" vertical="center" wrapText="1"/>
      <protection/>
    </xf>
    <xf numFmtId="0" fontId="30" fillId="0" borderId="16" xfId="59" applyFont="1" applyBorder="1" applyAlignment="1" applyProtection="1" quotePrefix="1">
      <alignment horizontal="center" vertical="center" wrapText="1"/>
      <protection/>
    </xf>
    <xf numFmtId="164" fontId="13" fillId="0" borderId="85" xfId="59" applyNumberFormat="1" applyFont="1" applyBorder="1" applyAlignment="1" applyProtection="1">
      <alignment horizontal="center"/>
      <protection/>
    </xf>
    <xf numFmtId="164" fontId="13" fillId="0" borderId="70" xfId="59" applyNumberFormat="1" applyFont="1" applyBorder="1" applyAlignment="1" applyProtection="1">
      <alignment horizontal="center"/>
      <protection/>
    </xf>
    <xf numFmtId="168" fontId="114" fillId="0" borderId="0" xfId="67" applyNumberFormat="1" applyFont="1" applyBorder="1" applyAlignment="1" applyProtection="1">
      <alignment horizontal="left" vertical="center"/>
      <protection/>
    </xf>
    <xf numFmtId="183" fontId="21" fillId="0" borderId="0" xfId="67" applyNumberFormat="1" applyFont="1" applyBorder="1" applyAlignment="1" applyProtection="1">
      <alignment horizontal="center"/>
      <protection/>
    </xf>
    <xf numFmtId="0" fontId="3" fillId="0" borderId="0" xfId="67" applyAlignment="1">
      <alignment horizontal="center"/>
      <protection/>
    </xf>
    <xf numFmtId="0" fontId="3" fillId="0" borderId="0" xfId="67" applyAlignment="1">
      <alignment/>
      <protection/>
    </xf>
    <xf numFmtId="164" fontId="13" fillId="0" borderId="85" xfId="67" applyNumberFormat="1" applyFont="1" applyBorder="1" applyAlignment="1" applyProtection="1">
      <alignment horizontal="center"/>
      <protection/>
    </xf>
    <xf numFmtId="164" fontId="13" fillId="0" borderId="70" xfId="67" applyNumberFormat="1" applyFont="1" applyBorder="1" applyAlignment="1" applyProtection="1">
      <alignment horizontal="center"/>
      <protection/>
    </xf>
    <xf numFmtId="0" fontId="30" fillId="0" borderId="15" xfId="67" applyFont="1" applyFill="1" applyBorder="1" applyAlignment="1" applyProtection="1">
      <alignment horizontal="center" vertical="center"/>
      <protection/>
    </xf>
    <xf numFmtId="0" fontId="30" fillId="0" borderId="21" xfId="67" applyFont="1" applyFill="1" applyBorder="1" applyAlignment="1" applyProtection="1">
      <alignment horizontal="center" vertical="center"/>
      <protection/>
    </xf>
    <xf numFmtId="0" fontId="30" fillId="0" borderId="16" xfId="67" applyFont="1" applyFill="1" applyBorder="1" applyAlignment="1" applyProtection="1">
      <alignment horizontal="center" vertical="center"/>
      <protection/>
    </xf>
    <xf numFmtId="0" fontId="13" fillId="0" borderId="66" xfId="67" applyFont="1" applyFill="1" applyBorder="1" applyAlignment="1">
      <alignment horizontal="center"/>
      <protection/>
    </xf>
    <xf numFmtId="0" fontId="13" fillId="0" borderId="75" xfId="67" applyFont="1" applyFill="1" applyBorder="1" applyAlignment="1">
      <alignment horizontal="center"/>
      <protection/>
    </xf>
    <xf numFmtId="0" fontId="13" fillId="0" borderId="67" xfId="67" applyFont="1" applyFill="1" applyBorder="1" applyAlignment="1">
      <alignment horizontal="center"/>
      <protection/>
    </xf>
    <xf numFmtId="0" fontId="30" fillId="0" borderId="15" xfId="67" applyFont="1" applyFill="1" applyBorder="1" applyAlignment="1" applyProtection="1" quotePrefix="1">
      <alignment horizontal="center" vertical="center" wrapText="1"/>
      <protection/>
    </xf>
    <xf numFmtId="0" fontId="30" fillId="0" borderId="16" xfId="67" applyFont="1" applyFill="1" applyBorder="1" applyAlignment="1" applyProtection="1" quotePrefix="1">
      <alignment horizontal="center" vertical="center" wrapText="1"/>
      <protection/>
    </xf>
    <xf numFmtId="164" fontId="13" fillId="0" borderId="61" xfId="67" applyNumberFormat="1" applyFont="1" applyBorder="1" applyAlignment="1" applyProtection="1" quotePrefix="1">
      <alignment horizontal="center"/>
      <protection locked="0"/>
    </xf>
    <xf numFmtId="0" fontId="0" fillId="0" borderId="45" xfId="0" applyBorder="1" applyAlignment="1">
      <alignment horizontal="center"/>
    </xf>
    <xf numFmtId="0" fontId="73" fillId="0" borderId="61" xfId="67" applyFont="1" applyBorder="1" applyAlignment="1" applyProtection="1">
      <alignment horizontal="center"/>
      <protection locked="0"/>
    </xf>
    <xf numFmtId="0" fontId="73" fillId="0" borderId="45" xfId="67" applyFont="1" applyBorder="1" applyAlignment="1" applyProtection="1">
      <alignment horizontal="center"/>
      <protection locked="0"/>
    </xf>
    <xf numFmtId="168" fontId="13" fillId="0" borderId="61" xfId="67" applyNumberFormat="1" applyFont="1" applyBorder="1" applyAlignment="1" applyProtection="1">
      <alignment horizontal="center"/>
      <protection/>
    </xf>
    <xf numFmtId="168" fontId="13" fillId="0" borderId="45" xfId="67" applyNumberFormat="1" applyFont="1" applyBorder="1" applyAlignment="1" applyProtection="1">
      <alignment horizontal="center"/>
      <protection/>
    </xf>
    <xf numFmtId="168" fontId="13" fillId="0" borderId="85" xfId="67" applyNumberFormat="1" applyFont="1" applyBorder="1" applyAlignment="1" applyProtection="1">
      <alignment horizontal="center"/>
      <protection/>
    </xf>
    <xf numFmtId="168" fontId="13" fillId="0" borderId="70" xfId="67" applyNumberFormat="1" applyFont="1" applyBorder="1" applyAlignment="1" applyProtection="1">
      <alignment horizontal="center"/>
      <protection/>
    </xf>
    <xf numFmtId="168" fontId="13" fillId="0" borderId="69" xfId="67" applyNumberFormat="1" applyFont="1" applyBorder="1" applyAlignment="1" applyProtection="1">
      <alignment horizontal="center"/>
      <protection/>
    </xf>
    <xf numFmtId="168" fontId="13" fillId="0" borderId="61" xfId="67" applyNumberFormat="1" applyFont="1" applyBorder="1" applyAlignment="1" applyProtection="1" quotePrefix="1">
      <alignment horizontal="center"/>
      <protection/>
    </xf>
    <xf numFmtId="168" fontId="13" fillId="0" borderId="31" xfId="67" applyNumberFormat="1" applyFont="1" applyBorder="1" applyAlignment="1" applyProtection="1" quotePrefix="1">
      <alignment horizontal="center"/>
      <protection/>
    </xf>
    <xf numFmtId="168" fontId="13" fillId="0" borderId="45" xfId="67" applyNumberFormat="1" applyFont="1" applyBorder="1" applyAlignment="1" applyProtection="1" quotePrefix="1">
      <alignment horizontal="center"/>
      <protection/>
    </xf>
    <xf numFmtId="0" fontId="73" fillId="0" borderId="85" xfId="67" applyFont="1" applyBorder="1" applyAlignment="1" applyProtection="1">
      <alignment horizontal="center"/>
      <protection locked="0"/>
    </xf>
    <xf numFmtId="0" fontId="73" fillId="0" borderId="70" xfId="67" applyFont="1" applyBorder="1" applyAlignment="1" applyProtection="1">
      <alignment horizontal="center"/>
      <protection locked="0"/>
    </xf>
    <xf numFmtId="0" fontId="30" fillId="0" borderId="15" xfId="67" applyFont="1" applyBorder="1" applyAlignment="1" applyProtection="1">
      <alignment horizontal="center" vertical="center"/>
      <protection/>
    </xf>
    <xf numFmtId="0" fontId="30" fillId="0" borderId="16" xfId="67" applyFont="1" applyBorder="1" applyAlignment="1" applyProtection="1">
      <alignment horizontal="center" vertical="center"/>
      <protection/>
    </xf>
    <xf numFmtId="0" fontId="13" fillId="0" borderId="66" xfId="67" applyFont="1" applyBorder="1" applyAlignment="1">
      <alignment horizontal="center"/>
      <protection/>
    </xf>
    <xf numFmtId="0" fontId="13" fillId="0" borderId="67" xfId="67" applyFont="1" applyBorder="1" applyAlignment="1">
      <alignment horizontal="center"/>
      <protection/>
    </xf>
    <xf numFmtId="0" fontId="30" fillId="0" borderId="15" xfId="67" applyFont="1" applyBorder="1" applyAlignment="1" applyProtection="1" quotePrefix="1">
      <alignment horizontal="center" vertical="center" wrapText="1"/>
      <protection/>
    </xf>
    <xf numFmtId="0" fontId="30" fillId="0" borderId="16" xfId="67" applyFont="1" applyBorder="1" applyAlignment="1" applyProtection="1" quotePrefix="1">
      <alignment horizontal="center" vertical="center" wrapText="1"/>
      <protection/>
    </xf>
    <xf numFmtId="0" fontId="73" fillId="0" borderId="61" xfId="67" applyFont="1" applyBorder="1" applyAlignment="1" applyProtection="1">
      <alignment horizontal="center"/>
      <protection/>
    </xf>
    <xf numFmtId="0" fontId="73" fillId="0" borderId="45" xfId="67" applyFont="1" applyBorder="1" applyAlignment="1" applyProtection="1">
      <alignment horizontal="center"/>
      <protection/>
    </xf>
    <xf numFmtId="0" fontId="30" fillId="0" borderId="15" xfId="62" applyFont="1" applyFill="1" applyBorder="1" applyAlignment="1" applyProtection="1">
      <alignment horizontal="center" vertical="center"/>
      <protection/>
    </xf>
    <xf numFmtId="0" fontId="3" fillId="0" borderId="16" xfId="62" applyBorder="1" applyAlignment="1">
      <alignment horizontal="center" vertical="center"/>
      <protection/>
    </xf>
    <xf numFmtId="0" fontId="13" fillId="0" borderId="66" xfId="62" applyFont="1" applyFill="1" applyBorder="1" applyAlignment="1">
      <alignment horizontal="center"/>
      <protection/>
    </xf>
    <xf numFmtId="0" fontId="3" fillId="0" borderId="67" xfId="62" applyBorder="1" applyAlignment="1">
      <alignment horizontal="center"/>
      <protection/>
    </xf>
    <xf numFmtId="0" fontId="13" fillId="0" borderId="61" xfId="62" applyFont="1" applyBorder="1" applyAlignment="1" applyProtection="1">
      <alignment horizontal="center"/>
      <protection/>
    </xf>
    <xf numFmtId="0" fontId="3" fillId="0" borderId="45" xfId="62" applyBorder="1" applyAlignment="1">
      <alignment horizontal="center"/>
      <protection/>
    </xf>
    <xf numFmtId="168" fontId="13" fillId="0" borderId="61" xfId="62" applyNumberFormat="1" applyFont="1" applyBorder="1" applyAlignment="1" applyProtection="1">
      <alignment horizontal="center"/>
      <protection/>
    </xf>
    <xf numFmtId="168" fontId="13" fillId="0" borderId="45" xfId="62" applyNumberFormat="1" applyFont="1" applyBorder="1" applyAlignment="1" applyProtection="1">
      <alignment horizontal="center"/>
      <protection/>
    </xf>
    <xf numFmtId="168" fontId="13" fillId="0" borderId="85" xfId="62" applyNumberFormat="1" applyFont="1" applyBorder="1" applyAlignment="1" applyProtection="1">
      <alignment horizontal="center"/>
      <protection/>
    </xf>
    <xf numFmtId="168" fontId="13" fillId="0" borderId="69" xfId="62" applyNumberFormat="1" applyFont="1" applyBorder="1" applyAlignment="1" applyProtection="1">
      <alignment horizontal="center"/>
      <protection/>
    </xf>
    <xf numFmtId="168" fontId="13" fillId="0" borderId="70" xfId="62" applyNumberFormat="1" applyFont="1" applyBorder="1" applyAlignment="1" applyProtection="1">
      <alignment horizontal="center"/>
      <protection/>
    </xf>
    <xf numFmtId="0" fontId="13" fillId="0" borderId="67" xfId="62" applyFont="1" applyFill="1" applyBorder="1" applyAlignment="1">
      <alignment horizontal="center"/>
      <protection/>
    </xf>
    <xf numFmtId="168" fontId="13" fillId="0" borderId="61" xfId="62" applyNumberFormat="1" applyFont="1" applyBorder="1" applyAlignment="1" applyProtection="1" quotePrefix="1">
      <alignment horizontal="center"/>
      <protection/>
    </xf>
    <xf numFmtId="168" fontId="13" fillId="0" borderId="31" xfId="62" applyNumberFormat="1" applyFont="1" applyBorder="1" applyAlignment="1" applyProtection="1" quotePrefix="1">
      <alignment horizontal="center"/>
      <protection/>
    </xf>
    <xf numFmtId="168" fontId="13" fillId="0" borderId="45" xfId="62" applyNumberFormat="1" applyFont="1" applyBorder="1" applyAlignment="1" applyProtection="1" quotePrefix="1">
      <alignment horizontal="center"/>
      <protection/>
    </xf>
    <xf numFmtId="0" fontId="30" fillId="0" borderId="21" xfId="62" applyFont="1" applyFill="1" applyBorder="1" applyAlignment="1" applyProtection="1">
      <alignment horizontal="center" vertical="center"/>
      <protection/>
    </xf>
    <xf numFmtId="0" fontId="30" fillId="0" borderId="16" xfId="62" applyFont="1" applyFill="1" applyBorder="1" applyAlignment="1" applyProtection="1">
      <alignment horizontal="center" vertical="center"/>
      <protection/>
    </xf>
    <xf numFmtId="0" fontId="13" fillId="0" borderId="75" xfId="62" applyFont="1" applyFill="1" applyBorder="1" applyAlignment="1">
      <alignment horizontal="center"/>
      <protection/>
    </xf>
    <xf numFmtId="0" fontId="30" fillId="0" borderId="15" xfId="62" applyFont="1" applyBorder="1" applyAlignment="1" applyProtection="1" quotePrefix="1">
      <alignment horizontal="center" vertical="center" wrapText="1"/>
      <protection/>
    </xf>
    <xf numFmtId="0" fontId="30" fillId="0" borderId="16" xfId="62" applyFont="1" applyBorder="1" applyAlignment="1" applyProtection="1" quotePrefix="1">
      <alignment horizontal="center" vertical="center" wrapText="1"/>
      <protection/>
    </xf>
    <xf numFmtId="0" fontId="30" fillId="0" borderId="15" xfId="62" applyFont="1" applyBorder="1" applyAlignment="1" applyProtection="1">
      <alignment horizontal="center" vertical="center"/>
      <protection/>
    </xf>
    <xf numFmtId="0" fontId="30" fillId="0" borderId="16" xfId="62" applyFont="1" applyBorder="1" applyAlignment="1" applyProtection="1">
      <alignment horizontal="center" vertical="center"/>
      <protection/>
    </xf>
    <xf numFmtId="0" fontId="13" fillId="0" borderId="66" xfId="62" applyFont="1" applyBorder="1" applyAlignment="1">
      <alignment horizontal="center"/>
      <protection/>
    </xf>
    <xf numFmtId="0" fontId="13" fillId="0" borderId="67" xfId="62" applyFont="1" applyBorder="1" applyAlignment="1">
      <alignment horizontal="center"/>
      <protection/>
    </xf>
    <xf numFmtId="0" fontId="13" fillId="0" borderId="85" xfId="62" applyFont="1" applyBorder="1" applyAlignment="1" applyProtection="1">
      <alignment horizontal="center"/>
      <protection/>
    </xf>
    <xf numFmtId="0" fontId="3" fillId="0" borderId="70" xfId="62" applyBorder="1" applyAlignment="1">
      <alignment horizontal="center"/>
      <protection/>
    </xf>
    <xf numFmtId="0" fontId="73" fillId="0" borderId="61" xfId="62" applyFont="1" applyBorder="1" applyAlignment="1" applyProtection="1">
      <alignment horizontal="center"/>
      <protection/>
    </xf>
    <xf numFmtId="0" fontId="73" fillId="0" borderId="45" xfId="62" applyFont="1" applyBorder="1" applyAlignment="1" applyProtection="1">
      <alignment horizontal="center"/>
      <protection/>
    </xf>
    <xf numFmtId="0" fontId="73" fillId="0" borderId="61" xfId="62" applyFont="1" applyBorder="1" applyAlignment="1" applyProtection="1">
      <alignment horizontal="center"/>
      <protection locked="0"/>
    </xf>
    <xf numFmtId="0" fontId="73" fillId="0" borderId="45" xfId="62" applyFont="1" applyBorder="1" applyAlignment="1" applyProtection="1">
      <alignment horizontal="center"/>
      <protection locked="0"/>
    </xf>
    <xf numFmtId="0" fontId="73" fillId="0" borderId="85" xfId="62" applyFont="1" applyBorder="1" applyAlignment="1" applyProtection="1">
      <alignment horizontal="center"/>
      <protection locked="0"/>
    </xf>
    <xf numFmtId="0" fontId="73" fillId="0" borderId="70" xfId="62" applyFont="1" applyBorder="1" applyAlignment="1" applyProtection="1">
      <alignment horizontal="center"/>
      <protection locked="0"/>
    </xf>
    <xf numFmtId="168" fontId="13" fillId="0" borderId="61" xfId="63" applyNumberFormat="1" applyFont="1" applyBorder="1" applyAlignment="1" applyProtection="1">
      <alignment horizontal="center"/>
      <protection/>
    </xf>
    <xf numFmtId="168" fontId="13" fillId="0" borderId="45" xfId="63" applyNumberFormat="1" applyFont="1" applyBorder="1" applyAlignment="1" applyProtection="1">
      <alignment horizontal="center"/>
      <protection/>
    </xf>
    <xf numFmtId="0" fontId="21" fillId="0" borderId="0" xfId="63" applyFont="1" applyBorder="1" applyAlignment="1" applyProtection="1">
      <alignment horizontal="center"/>
      <protection/>
    </xf>
    <xf numFmtId="7" fontId="48" fillId="0" borderId="56" xfId="63" applyNumberFormat="1" applyFont="1" applyFill="1" applyBorder="1" applyAlignment="1">
      <alignment horizontal="center"/>
      <protection/>
    </xf>
    <xf numFmtId="7" fontId="48" fillId="0" borderId="0" xfId="63" applyNumberFormat="1" applyFont="1" applyFill="1" applyBorder="1" applyAlignment="1">
      <alignment horizontal="center"/>
      <protection/>
    </xf>
    <xf numFmtId="0" fontId="30" fillId="0" borderId="15" xfId="63" applyFont="1" applyBorder="1" applyAlignment="1" applyProtection="1">
      <alignment horizontal="center" vertical="center"/>
      <protection/>
    </xf>
    <xf numFmtId="0" fontId="30" fillId="0" borderId="16" xfId="63" applyFont="1" applyBorder="1" applyAlignment="1" applyProtection="1">
      <alignment horizontal="center" vertical="center"/>
      <protection/>
    </xf>
    <xf numFmtId="0" fontId="30" fillId="0" borderId="21" xfId="63" applyFont="1" applyBorder="1" applyAlignment="1" applyProtection="1">
      <alignment horizontal="center" vertical="center"/>
      <protection/>
    </xf>
    <xf numFmtId="0" fontId="73" fillId="0" borderId="61" xfId="63" applyFont="1" applyBorder="1" applyAlignment="1" applyProtection="1">
      <alignment horizontal="center"/>
      <protection/>
    </xf>
    <xf numFmtId="0" fontId="73" fillId="0" borderId="45" xfId="63" applyFont="1" applyBorder="1" applyAlignment="1" applyProtection="1">
      <alignment horizontal="center"/>
      <protection/>
    </xf>
    <xf numFmtId="0" fontId="13" fillId="0" borderId="61" xfId="63" applyFont="1" applyBorder="1" applyAlignment="1" applyProtection="1">
      <alignment horizontal="center"/>
      <protection/>
    </xf>
    <xf numFmtId="0" fontId="13" fillId="0" borderId="45" xfId="63" applyFont="1" applyBorder="1" applyAlignment="1" applyProtection="1">
      <alignment horizontal="center"/>
      <protection/>
    </xf>
    <xf numFmtId="0" fontId="73" fillId="0" borderId="66" xfId="63" applyFont="1" applyBorder="1" applyAlignment="1" applyProtection="1">
      <alignment horizontal="center"/>
      <protection/>
    </xf>
    <xf numFmtId="0" fontId="73" fillId="0" borderId="67" xfId="63" applyFont="1" applyBorder="1" applyAlignment="1" applyProtection="1">
      <alignment horizontal="center"/>
      <protection/>
    </xf>
    <xf numFmtId="168" fontId="13" fillId="0" borderId="85" xfId="63" applyNumberFormat="1" applyFont="1" applyBorder="1" applyAlignment="1" applyProtection="1">
      <alignment horizontal="center"/>
      <protection/>
    </xf>
    <xf numFmtId="168" fontId="13" fillId="0" borderId="70" xfId="63" applyNumberFormat="1" applyFont="1" applyBorder="1" applyAlignment="1" applyProtection="1">
      <alignment horizontal="center"/>
      <protection/>
    </xf>
    <xf numFmtId="0" fontId="73" fillId="0" borderId="85" xfId="63" applyFont="1" applyBorder="1" applyAlignment="1" applyProtection="1">
      <alignment horizontal="center"/>
      <protection/>
    </xf>
    <xf numFmtId="0" fontId="73" fillId="0" borderId="70" xfId="63" applyFont="1" applyBorder="1" applyAlignment="1" applyProtection="1">
      <alignment horizontal="center"/>
      <protection/>
    </xf>
    <xf numFmtId="0" fontId="13" fillId="0" borderId="61" xfId="63" applyFont="1" applyBorder="1" applyAlignment="1" applyProtection="1">
      <alignment horizontal="center"/>
      <protection locked="0"/>
    </xf>
    <xf numFmtId="0" fontId="13" fillId="0" borderId="45" xfId="63" applyFont="1" applyBorder="1" applyAlignment="1" applyProtection="1">
      <alignment horizontal="center"/>
      <protection locked="0"/>
    </xf>
    <xf numFmtId="0" fontId="30" fillId="0" borderId="15" xfId="63" applyFont="1" applyFill="1" applyBorder="1" applyAlignment="1" applyProtection="1" quotePrefix="1">
      <alignment horizontal="center" vertical="center" wrapText="1"/>
      <protection/>
    </xf>
    <xf numFmtId="0" fontId="30" fillId="0" borderId="16" xfId="63" applyFont="1" applyFill="1" applyBorder="1" applyAlignment="1" applyProtection="1" quotePrefix="1">
      <alignment horizontal="center" vertical="center" wrapText="1"/>
      <protection/>
    </xf>
    <xf numFmtId="0" fontId="13" fillId="0" borderId="66" xfId="63" applyFont="1" applyFill="1" applyBorder="1" applyAlignment="1">
      <alignment horizontal="center"/>
      <protection/>
    </xf>
    <xf numFmtId="0" fontId="13" fillId="0" borderId="67" xfId="63" applyFont="1" applyFill="1" applyBorder="1" applyAlignment="1">
      <alignment horizontal="center"/>
      <protection/>
    </xf>
    <xf numFmtId="164" fontId="13" fillId="0" borderId="61" xfId="63" applyNumberFormat="1" applyFont="1" applyBorder="1" applyAlignment="1" applyProtection="1">
      <alignment horizontal="center"/>
      <protection/>
    </xf>
    <xf numFmtId="164" fontId="13" fillId="0" borderId="45" xfId="63" applyNumberFormat="1" applyFont="1" applyBorder="1" applyAlignment="1" applyProtection="1">
      <alignment horizontal="center"/>
      <protection/>
    </xf>
    <xf numFmtId="164" fontId="13" fillId="0" borderId="85" xfId="63" applyNumberFormat="1" applyFont="1" applyBorder="1" applyAlignment="1" applyProtection="1">
      <alignment horizontal="center"/>
      <protection/>
    </xf>
    <xf numFmtId="164" fontId="13" fillId="0" borderId="70" xfId="63" applyNumberFormat="1" applyFont="1" applyBorder="1" applyAlignment="1" applyProtection="1">
      <alignment horizontal="center"/>
      <protection/>
    </xf>
    <xf numFmtId="165" fontId="13" fillId="0" borderId="61" xfId="63" applyNumberFormat="1" applyFont="1" applyBorder="1" applyAlignment="1" applyProtection="1">
      <alignment horizontal="center"/>
      <protection/>
    </xf>
    <xf numFmtId="165" fontId="13" fillId="0" borderId="45" xfId="63" applyNumberFormat="1" applyFont="1" applyBorder="1" applyAlignment="1" applyProtection="1">
      <alignment horizontal="center"/>
      <protection/>
    </xf>
    <xf numFmtId="0" fontId="30" fillId="0" borderId="15" xfId="63" applyFont="1" applyFill="1" applyBorder="1" applyAlignment="1" applyProtection="1">
      <alignment horizontal="center" vertical="center"/>
      <protection/>
    </xf>
    <xf numFmtId="0" fontId="30" fillId="0" borderId="16" xfId="63" applyFont="1" applyFill="1" applyBorder="1" applyAlignment="1" applyProtection="1">
      <alignment horizontal="center" vertical="center"/>
      <protection/>
    </xf>
    <xf numFmtId="0" fontId="30" fillId="0" borderId="15" xfId="63" applyFont="1" applyBorder="1" applyAlignment="1" applyProtection="1" quotePrefix="1">
      <alignment horizontal="center" vertical="center" wrapText="1"/>
      <protection/>
    </xf>
    <xf numFmtId="0" fontId="30" fillId="0" borderId="16" xfId="63" applyFont="1" applyBorder="1" applyAlignment="1" applyProtection="1" quotePrefix="1">
      <alignment horizontal="center" vertic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0511NER Anexo VI" xfId="52"/>
    <cellStyle name="Moneda_F0711NER" xfId="53"/>
    <cellStyle name="Moneda_F0911NER" xfId="54"/>
    <cellStyle name="Moneda_Transener_V8" xfId="55"/>
    <cellStyle name="Neutral" xfId="56"/>
    <cellStyle name="Normal_A0101 ANEXO I NEA" xfId="57"/>
    <cellStyle name="Normal_A0411NER Anexo V" xfId="58"/>
    <cellStyle name="Normal_A0511NER Anexo VI" xfId="59"/>
    <cellStyle name="Normal_Comahue" xfId="60"/>
    <cellStyle name="Normal_EDENOR9604" xfId="61"/>
    <cellStyle name="Normal_F0711NER" xfId="62"/>
    <cellStyle name="Normal_F0911NER" xfId="63"/>
    <cellStyle name="Normal_líneas" xfId="64"/>
    <cellStyle name="Normal_PAFTT Anexo 28" xfId="65"/>
    <cellStyle name="Normal_TRANS" xfId="66"/>
    <cellStyle name="Normal_Transener_V8" xfId="67"/>
    <cellStyle name="Normal_Transener_V8_1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0</xdr:rowOff>
    </xdr:from>
    <xdr:to>
      <xdr:col>3</xdr:col>
      <xdr:colOff>352425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23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323850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334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3</xdr:col>
      <xdr:colOff>209550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314325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23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334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295275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990600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47625</xdr:colOff>
      <xdr:row>19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89572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990600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47625</xdr:colOff>
      <xdr:row>19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389572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0</xdr:col>
      <xdr:colOff>1323975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342900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334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123825</xdr:rowOff>
    </xdr:from>
    <xdr:to>
      <xdr:col>0</xdr:col>
      <xdr:colOff>1314450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0</xdr:col>
      <xdr:colOff>1171575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3267075"/>
          <a:ext cx="2952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0</xdr:row>
      <xdr:rowOff>9525</xdr:rowOff>
    </xdr:from>
    <xdr:to>
      <xdr:col>1</xdr:col>
      <xdr:colOff>323850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0</xdr:rowOff>
    </xdr:from>
    <xdr:to>
      <xdr:col>0</xdr:col>
      <xdr:colOff>1381125</xdr:colOff>
      <xdr:row>1</xdr:row>
      <xdr:rowOff>266700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28575</xdr:rowOff>
    </xdr:from>
    <xdr:to>
      <xdr:col>3</xdr:col>
      <xdr:colOff>304800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5048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28575</xdr:rowOff>
    </xdr:from>
    <xdr:to>
      <xdr:col>3</xdr:col>
      <xdr:colOff>304800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5048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342900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5245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342900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238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276225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314325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49530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323850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04825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EXCEL\Transener_V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oyola\CONFIG~1\temp\notes74EFA8\F0112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411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oyola\CONFIG~1\temp\notes74EFA8\F0212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A0411NER%20Anexo%20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LITS2"/>
      <sheetName val="MODELO L LINSA"/>
      <sheetName val="MODELO L IV"/>
      <sheetName val="MODELO L INTESAR"/>
      <sheetName val="MODELO L INTESA2"/>
      <sheetName val="MODELO L INTESA3"/>
      <sheetName val="MODELO L INTESA4"/>
      <sheetName val="MODELO L CUYANA"/>
      <sheetName val="MODELO L LIMSA"/>
      <sheetName val="MODELO L RIOJA"/>
      <sheetName val="MODELO T"/>
      <sheetName val="MODELO T LITSA"/>
      <sheetName val="MODELO T LITS2"/>
      <sheetName val="MODELO T LINSA"/>
      <sheetName val="MODELO T TIBA"/>
      <sheetName val="MODELO T ENECOR"/>
      <sheetName val="MODELO T INTESAR"/>
      <sheetName val="MODELO T INTESA3"/>
      <sheetName val="MODELO T INTESA4"/>
      <sheetName val="MODELO T LIMSA"/>
      <sheetName val="MODELO T CUYANA"/>
      <sheetName val="MODELO T COBRA"/>
      <sheetName val="MODELO S"/>
      <sheetName val="MODELO S TIBA"/>
      <sheetName val="MODELO S ENECOR"/>
      <sheetName val="MODELO S INTESA3"/>
      <sheetName val="MODELO S INTESA4"/>
      <sheetName val="MODELO S TESA"/>
      <sheetName val="MODELO S CTM"/>
      <sheetName val="MODELO S LIMSA"/>
      <sheetName val="MODELO S LITSA"/>
      <sheetName val="MODELO S LITS2"/>
      <sheetName val="MODELO S LINSA"/>
      <sheetName val="MODELO R"/>
      <sheetName val="RE-Res.01_03"/>
      <sheetName val="MODELO R YACYLEC"/>
      <sheetName val="MODELO R INTESAR"/>
      <sheetName val="MODELO R INTESA2"/>
      <sheetName val="MODELO R INTESA4"/>
      <sheetName val="MODELO R LITSA"/>
      <sheetName val="MODELO R LITS2"/>
      <sheetName val="MODELO R LINSA"/>
      <sheetName val="MODELO R IV"/>
      <sheetName val="MODELO R LIMSA"/>
      <sheetName val="MODELO VST"/>
      <sheetName val="SUP-YACYLEC"/>
      <sheetName val="SUP-LITSA"/>
      <sheetName val="SUP-LITS2"/>
      <sheetName val="SUP-LINSA"/>
      <sheetName val="SUP-TIBA"/>
      <sheetName val="SUP-ENECOR"/>
      <sheetName val="SUP-TESA"/>
      <sheetName val="SUP-CTM"/>
      <sheetName val="SUP-INTESAR"/>
      <sheetName val="SUP-INTESA2"/>
      <sheetName val="SUP-INTESA3"/>
      <sheetName val="SUP-INTESA4"/>
      <sheetName val="SUP-CUYANA"/>
      <sheetName val="SUP-LIMSA"/>
      <sheetName val="SUP-RIOJA"/>
      <sheetName val="SUP-COBRA"/>
      <sheetName val="DAG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112"/>
      <sheetName val="LI-01 (1)"/>
      <sheetName val="LI-IV-01 (1)"/>
      <sheetName val="LI-INTESAR-01 (1)"/>
      <sheetName val="LI-INTESA3-01 (1)"/>
      <sheetName val="TR-01 (1)"/>
      <sheetName val="TR-TIBA-01 (1)"/>
      <sheetName val="TR-INTESA3-01 (1)"/>
      <sheetName val="SA-01 (1)"/>
      <sheetName val="SA-01 (2)"/>
      <sheetName val="SA-TIBA-01 (1)"/>
      <sheetName val="SA-ENECOR (1)"/>
      <sheetName val="SA-LIMSA-01 (1)"/>
      <sheetName val="SA-TRANSPORTEL-01 (1)"/>
      <sheetName val="RE-01 (1)"/>
      <sheetName val="SUP-TIBA-01 (1)"/>
      <sheetName val="SUP-ENECOR-01 (1)"/>
      <sheetName val="SUP-INTESAR"/>
      <sheetName val="SUP-INTESA3"/>
      <sheetName val="SUP-LIMSA"/>
      <sheetName val="SUP-TRANSPORTEL"/>
      <sheetName val="TASA FALLA"/>
      <sheetName val="DATO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411"/>
      <sheetName val="LI-04 (1)"/>
      <sheetName val="LI-04 (2)"/>
      <sheetName val="LI-LINSA-04 (1)"/>
      <sheetName val="LI-INTESAR 2-04 (1)"/>
      <sheetName val="TR-04 (1)"/>
      <sheetName val="TR-TIBA-04 (1)"/>
      <sheetName val="TR-INTESAR 4-04 (1)"/>
      <sheetName val="TR-LINSA-04 (1)"/>
      <sheetName val="SA-04 (1)"/>
      <sheetName val="SA-04 (2)"/>
      <sheetName val="SA-TIBA-04 (1)"/>
      <sheetName val="SA-ENECOR-04 (1)"/>
      <sheetName val="SA-LINSA-04 (1)"/>
      <sheetName val="SA-INTESAR 4-04 (1)"/>
      <sheetName val="RE-04 (1)"/>
      <sheetName val="RE-LINSA-04 (1)"/>
      <sheetName val="CAUSAS-VST-04 (1)"/>
      <sheetName val="SUP-LINSA"/>
      <sheetName val="SUP-TIBA"/>
      <sheetName val="SUP-ENECOR"/>
      <sheetName val="SUP-INTESAR 2 (1)"/>
      <sheetName val="SUP-INTESAR 4 (1)"/>
      <sheetName val="TASA FALLA"/>
      <sheetName val="DATO"/>
    </sheetNames>
    <definedNames>
      <definedName name="Actualizar_Referencia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212"/>
      <sheetName val="LI-02 (1)"/>
      <sheetName val="TR-02 (1)"/>
      <sheetName val="SA-02 (1)"/>
      <sheetName val="SA-02 (2)"/>
      <sheetName val="TR-TIBA-02 (1)"/>
      <sheetName val="SA-TIBA-02 (1)"/>
      <sheetName val="LI-INTESA5-02 (1)"/>
      <sheetName val="RE-INTESA5-02 (1)"/>
      <sheetName val="LI-LINSA-02 (1)"/>
      <sheetName val="RE-LINSA-09 (1)"/>
      <sheetName val="LI-INTESA4-02 (1)"/>
      <sheetName val="SA-TESA-02 (1)"/>
      <sheetName val="RE-02 (1)"/>
      <sheetName val="RE-YACYLEC-02 (1)"/>
      <sheetName val="R IV-02 (01)"/>
      <sheetName val="DAG"/>
      <sheetName val="VST-02 (1)"/>
      <sheetName val="SUP-YACYLEC"/>
      <sheetName val="SUP-LINSA"/>
      <sheetName val="SUP-TIBA"/>
      <sheetName val="SUP-TESA"/>
      <sheetName val="SUP-INTESAR 5"/>
      <sheetName val="SUP-INTESAR 4"/>
      <sheetName val="TASA FALLA"/>
      <sheetName val="DATO"/>
    </sheetNames>
    <definedNames>
      <definedName name="Actualizar_Referencias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-0411"/>
      <sheetName val="LI-04 (1)"/>
      <sheetName val="LI-04 (2)"/>
      <sheetName val="LI-LINSA-04 (1)"/>
      <sheetName val="LI-INTESAR 2-04 (1)"/>
      <sheetName val="TR-04 (1)"/>
      <sheetName val="TR-TIBA-04 (1)"/>
      <sheetName val="TR-INTESAR 4-04 (1)"/>
      <sheetName val="TR-LINSA-04 (1)"/>
      <sheetName val="SA-04 (1)"/>
      <sheetName val="SA-04 (2)"/>
      <sheetName val="SA-TIBA-04 (1)"/>
      <sheetName val="SA-ENECOR-04 (1)"/>
      <sheetName val="SA-LINSA-04 (1)"/>
      <sheetName val="SA-INTESAR 4-04 (1)"/>
      <sheetName val="RE-04 (1)"/>
      <sheetName val="RE-LINSA-04 (1)"/>
      <sheetName val="SUP-LINSA"/>
      <sheetName val="SUP-TIBA"/>
      <sheetName val="SUP-ENECOR"/>
      <sheetName val="SUP-INTESAR 2 (1)"/>
      <sheetName val="SUP-INTESAR 4 (1)"/>
      <sheetName val="TASA FALLA"/>
      <sheetName val="DATO"/>
    </sheetNames>
    <definedNames>
      <definedName name="Actualizar_Referencias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HI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HQ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HP23">
            <v>2</v>
          </cell>
          <cell r="HR23">
            <v>4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HQ25">
            <v>2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HP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HL29">
            <v>1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HJ39">
            <v>1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HJ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HJ42">
            <v>1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HL44">
            <v>1</v>
          </cell>
          <cell r="HO44">
            <v>1</v>
          </cell>
          <cell r="HP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HM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HG46" t="str">
            <v>XXXX</v>
          </cell>
          <cell r="HH46" t="str">
            <v>XXXX</v>
          </cell>
          <cell r="HI46" t="str">
            <v>XXXX</v>
          </cell>
          <cell r="HJ46" t="str">
            <v>XXXX</v>
          </cell>
          <cell r="HK46" t="str">
            <v>XXXX</v>
          </cell>
          <cell r="HL46" t="str">
            <v>XXXX</v>
          </cell>
          <cell r="HM46" t="str">
            <v>XXXX</v>
          </cell>
          <cell r="HN46" t="str">
            <v>XXXX</v>
          </cell>
          <cell r="HO46" t="str">
            <v>XXXX</v>
          </cell>
          <cell r="HP46" t="str">
            <v>XXXX</v>
          </cell>
          <cell r="HQ46" t="str">
            <v>XXXX</v>
          </cell>
          <cell r="HR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HH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HK51">
            <v>1</v>
          </cell>
          <cell r="HM51">
            <v>1</v>
          </cell>
          <cell r="HP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HM53">
            <v>1</v>
          </cell>
          <cell r="HR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HG54" t="str">
            <v>XXXX</v>
          </cell>
          <cell r="HH54" t="str">
            <v>XXXX</v>
          </cell>
          <cell r="HI54" t="str">
            <v>XXXX</v>
          </cell>
          <cell r="HJ54" t="str">
            <v>XXXX</v>
          </cell>
          <cell r="HK54" t="str">
            <v>XXXX</v>
          </cell>
          <cell r="HL54" t="str">
            <v>XXXX</v>
          </cell>
          <cell r="HM54" t="str">
            <v>XXXX</v>
          </cell>
          <cell r="HN54" t="str">
            <v>XXXX</v>
          </cell>
          <cell r="HO54" t="str">
            <v>XXXX</v>
          </cell>
          <cell r="HP54" t="str">
            <v>XXXX</v>
          </cell>
          <cell r="HQ54" t="str">
            <v>XXXX</v>
          </cell>
          <cell r="HR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HG57" t="str">
            <v>XXXX</v>
          </cell>
          <cell r="HH57" t="str">
            <v>XXXX</v>
          </cell>
          <cell r="HI57" t="str">
            <v>XXXX</v>
          </cell>
          <cell r="HJ57" t="str">
            <v>XXXX</v>
          </cell>
          <cell r="HK57" t="str">
            <v>XXXX</v>
          </cell>
          <cell r="HL57" t="str">
            <v>XXXX</v>
          </cell>
          <cell r="HM57" t="str">
            <v>XXXX</v>
          </cell>
          <cell r="HN57" t="str">
            <v>XXXX</v>
          </cell>
          <cell r="HO57" t="str">
            <v>XXXX</v>
          </cell>
          <cell r="HP57" t="str">
            <v>XXXX</v>
          </cell>
          <cell r="HQ57" t="str">
            <v>XXXX</v>
          </cell>
          <cell r="HR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HO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HJ60">
            <v>1</v>
          </cell>
          <cell r="HN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HG61" t="str">
            <v>XXXX</v>
          </cell>
          <cell r="HH61" t="str">
            <v>XXXX</v>
          </cell>
          <cell r="HI61" t="str">
            <v>XXXX</v>
          </cell>
          <cell r="HJ61" t="str">
            <v>XXXX</v>
          </cell>
          <cell r="HK61" t="str">
            <v>XXXX</v>
          </cell>
          <cell r="HL61" t="str">
            <v>XXXX</v>
          </cell>
          <cell r="HM61" t="str">
            <v>XXXX</v>
          </cell>
          <cell r="HN61" t="str">
            <v>XXXX</v>
          </cell>
          <cell r="HO61" t="str">
            <v>XXXX</v>
          </cell>
          <cell r="HP61" t="str">
            <v>XXXX</v>
          </cell>
          <cell r="HQ61" t="str">
            <v>XXXX</v>
          </cell>
          <cell r="HR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  <cell r="HK62">
            <v>1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HO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HK64">
            <v>1</v>
          </cell>
          <cell r="HM64">
            <v>1</v>
          </cell>
          <cell r="HO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HK67">
            <v>1</v>
          </cell>
          <cell r="HQ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HR71">
            <v>1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  <cell r="HI74">
            <v>1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HK76">
            <v>1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HG78">
            <v>1</v>
          </cell>
          <cell r="HJ78">
            <v>1</v>
          </cell>
          <cell r="HK78">
            <v>1</v>
          </cell>
          <cell r="HP78">
            <v>1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HG89" t="str">
            <v>XXXX</v>
          </cell>
          <cell r="HH89" t="str">
            <v>XXXX</v>
          </cell>
          <cell r="HI89" t="str">
            <v>XXXX</v>
          </cell>
          <cell r="HJ89" t="str">
            <v>XXXX</v>
          </cell>
          <cell r="HK89" t="str">
            <v>XXXX</v>
          </cell>
          <cell r="HL89" t="str">
            <v>XXXX</v>
          </cell>
          <cell r="HM89" t="str">
            <v>XXXX</v>
          </cell>
          <cell r="HN89" t="str">
            <v>XXXX</v>
          </cell>
          <cell r="HO89" t="str">
            <v>XXXX</v>
          </cell>
          <cell r="HP89" t="str">
            <v>XXXX</v>
          </cell>
          <cell r="HQ89" t="str">
            <v>XXXX</v>
          </cell>
          <cell r="HR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4">
          <cell r="HG104">
            <v>0.24</v>
          </cell>
          <cell r="HH104">
            <v>0.22</v>
          </cell>
          <cell r="HI104">
            <v>0.22</v>
          </cell>
          <cell r="HJ104">
            <v>0.24</v>
          </cell>
          <cell r="HK104">
            <v>0.28</v>
          </cell>
          <cell r="HL104">
            <v>0.34</v>
          </cell>
          <cell r="HM104">
            <v>0.29</v>
          </cell>
          <cell r="HN104">
            <v>0.33</v>
          </cell>
          <cell r="HO104">
            <v>0.32</v>
          </cell>
          <cell r="HP104">
            <v>0.32</v>
          </cell>
          <cell r="HQ104">
            <v>0.34</v>
          </cell>
          <cell r="HR104">
            <v>0.38</v>
          </cell>
          <cell r="HS104">
            <v>0.42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8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8.0039062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22.7109375" style="8" customWidth="1"/>
    <col min="8" max="8" width="27.140625" style="8" customWidth="1"/>
    <col min="9" max="9" width="24.57421875" style="8" customWidth="1"/>
    <col min="10" max="10" width="14.140625" style="8" customWidth="1"/>
    <col min="11" max="11" width="15.7109375" style="8" customWidth="1"/>
    <col min="12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537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527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526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'LI-03 (1)'!AE46</f>
        <v>82089.12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>
        <v>12</v>
      </c>
      <c r="E18" s="51" t="s">
        <v>10</v>
      </c>
      <c r="F18" s="47"/>
      <c r="G18" s="47"/>
      <c r="H18" s="47"/>
      <c r="I18" s="50">
        <f>'LI-INTESA4-03 (1)'!AE41</f>
        <v>8417.73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>
        <v>13</v>
      </c>
      <c r="E19" s="51" t="s">
        <v>298</v>
      </c>
      <c r="F19" s="47"/>
      <c r="G19" s="47"/>
      <c r="H19" s="47"/>
      <c r="I19" s="50">
        <f>'LI-INTESA5-03 (1)'!AE42</f>
        <v>5052.64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34" customFormat="1" ht="19.5">
      <c r="B20" s="43"/>
      <c r="C20" s="49"/>
      <c r="D20" s="45">
        <v>14</v>
      </c>
      <c r="E20" s="51" t="s">
        <v>9</v>
      </c>
      <c r="F20" s="47"/>
      <c r="G20" s="47"/>
      <c r="H20" s="47"/>
      <c r="I20" s="50">
        <f>'LI-INTESA3-03 (1)'!AE42</f>
        <v>3413.54</v>
      </c>
      <c r="J20" s="48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.75" customHeight="1">
      <c r="A21" s="34"/>
      <c r="B21" s="55"/>
      <c r="C21" s="56"/>
      <c r="D21" s="45"/>
      <c r="E21" s="57"/>
      <c r="F21" s="58"/>
      <c r="G21" s="58"/>
      <c r="H21" s="58"/>
      <c r="I21" s="59"/>
      <c r="J21" s="60"/>
      <c r="K21" s="42"/>
      <c r="L21" s="11"/>
      <c r="M21" s="11"/>
      <c r="N21" s="11"/>
      <c r="O21" s="11"/>
      <c r="P21" s="11"/>
      <c r="Q21" s="11"/>
      <c r="R21" s="11"/>
      <c r="S21" s="11"/>
    </row>
    <row r="22" spans="2:19" s="34" customFormat="1" ht="19.5">
      <c r="B22" s="43"/>
      <c r="C22" s="49" t="s">
        <v>12</v>
      </c>
      <c r="D22" s="61" t="s">
        <v>13</v>
      </c>
      <c r="E22" s="62"/>
      <c r="F22" s="53"/>
      <c r="G22" s="53"/>
      <c r="H22" s="53"/>
      <c r="I22" s="54"/>
      <c r="J22" s="48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34" customFormat="1" ht="19.5">
      <c r="B23" s="43"/>
      <c r="C23" s="49"/>
      <c r="D23" s="45">
        <v>21</v>
      </c>
      <c r="E23" s="52" t="s">
        <v>14</v>
      </c>
      <c r="F23" s="53"/>
      <c r="G23" s="53"/>
      <c r="H23" s="53"/>
      <c r="I23" s="54"/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>
      <c r="B24" s="43"/>
      <c r="C24" s="49"/>
      <c r="D24" s="45"/>
      <c r="E24" s="63">
        <v>211</v>
      </c>
      <c r="F24" s="64" t="s">
        <v>6</v>
      </c>
      <c r="G24" s="53"/>
      <c r="H24" s="53"/>
      <c r="I24" s="54">
        <f>'TR-03 (1)'!AC45</f>
        <v>44455.85</v>
      </c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4" customFormat="1" ht="19.5">
      <c r="B25" s="43"/>
      <c r="C25" s="49"/>
      <c r="D25" s="45"/>
      <c r="E25" s="63" t="s">
        <v>301</v>
      </c>
      <c r="F25" s="64" t="s">
        <v>11</v>
      </c>
      <c r="G25" s="53"/>
      <c r="H25" s="53"/>
      <c r="I25" s="54">
        <f>'TR-LIMSA-03 (1)'!AD42</f>
        <v>92.7</v>
      </c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49"/>
      <c r="D26" s="45">
        <v>22</v>
      </c>
      <c r="E26" s="51" t="s">
        <v>16</v>
      </c>
      <c r="F26" s="47"/>
      <c r="G26" s="47"/>
      <c r="H26" s="47"/>
      <c r="I26" s="50"/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49"/>
      <c r="D27" s="45"/>
      <c r="E27" s="65">
        <v>221</v>
      </c>
      <c r="F27" s="4" t="s">
        <v>6</v>
      </c>
      <c r="G27" s="47"/>
      <c r="H27" s="47"/>
      <c r="I27" s="50">
        <f>'SA-03 (2)'!V45</f>
        <v>1223150.23</v>
      </c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/>
      <c r="E28" s="65">
        <v>222</v>
      </c>
      <c r="F28" s="4" t="s">
        <v>18</v>
      </c>
      <c r="G28" s="47"/>
      <c r="H28" s="47"/>
      <c r="I28" s="50">
        <f>' SA- LITSA-03 (1)'!V45</f>
        <v>541.94</v>
      </c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49"/>
      <c r="D29" s="45"/>
      <c r="E29" s="65">
        <v>223</v>
      </c>
      <c r="F29" s="4" t="s">
        <v>17</v>
      </c>
      <c r="G29" s="47"/>
      <c r="H29" s="47"/>
      <c r="I29" s="50">
        <f>'SA-LIMSA-03 (1)'!V45</f>
        <v>403.93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49"/>
      <c r="D30" s="45"/>
      <c r="E30" s="65">
        <v>224</v>
      </c>
      <c r="F30" s="4" t="s">
        <v>15</v>
      </c>
      <c r="G30" s="47"/>
      <c r="H30" s="47"/>
      <c r="I30" s="50">
        <f>'SA-TIBA-03 (1)'!V44</f>
        <v>14634.32</v>
      </c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8.75">
      <c r="B31" s="43"/>
      <c r="C31" s="49"/>
      <c r="D31" s="45"/>
      <c r="J31" s="48"/>
      <c r="K31" s="42"/>
      <c r="L31" s="42"/>
      <c r="M31" s="42"/>
      <c r="N31" s="911"/>
      <c r="O31" s="42"/>
      <c r="P31" s="42"/>
      <c r="Q31" s="42"/>
      <c r="R31" s="42"/>
      <c r="S31" s="42"/>
    </row>
    <row r="32" spans="1:19" ht="12.75" customHeight="1">
      <c r="A32" s="34"/>
      <c r="B32" s="55"/>
      <c r="C32" s="56"/>
      <c r="D32" s="45"/>
      <c r="E32" s="66"/>
      <c r="F32" s="67"/>
      <c r="G32" s="67"/>
      <c r="H32" s="67"/>
      <c r="I32" s="68"/>
      <c r="J32" s="60"/>
      <c r="K32" s="42"/>
      <c r="L32" s="11"/>
      <c r="M32" s="11"/>
      <c r="N32" s="11"/>
      <c r="O32" s="11"/>
      <c r="P32" s="11"/>
      <c r="Q32" s="11"/>
      <c r="R32" s="11"/>
      <c r="S32" s="11"/>
    </row>
    <row r="33" spans="2:19" s="34" customFormat="1" ht="19.5">
      <c r="B33" s="43"/>
      <c r="C33" s="49" t="s">
        <v>19</v>
      </c>
      <c r="D33" s="61" t="s">
        <v>20</v>
      </c>
      <c r="E33" s="46"/>
      <c r="F33" s="47"/>
      <c r="G33" s="47"/>
      <c r="H33" s="47"/>
      <c r="I33" s="50"/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34" customFormat="1" ht="19.5">
      <c r="B34" s="43"/>
      <c r="C34" s="49"/>
      <c r="D34" s="45">
        <v>31</v>
      </c>
      <c r="E34" s="51" t="s">
        <v>6</v>
      </c>
      <c r="F34" s="47"/>
      <c r="G34" s="47"/>
      <c r="H34" s="47"/>
      <c r="I34" s="50">
        <f>'RE-03 (1)'!Z46</f>
        <v>122810.4</v>
      </c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34" customFormat="1" ht="19.5">
      <c r="B35" s="43"/>
      <c r="C35" s="49"/>
      <c r="D35" s="45">
        <v>32</v>
      </c>
      <c r="E35" s="64" t="s">
        <v>298</v>
      </c>
      <c r="G35" s="53"/>
      <c r="H35" s="53"/>
      <c r="I35" s="54">
        <f>'RE-INTESA5-03 (1)'!X44</f>
        <v>114949.01</v>
      </c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34" customFormat="1" ht="19.5">
      <c r="B36" s="43"/>
      <c r="C36" s="49"/>
      <c r="D36" s="45">
        <v>33</v>
      </c>
      <c r="E36" s="51" t="s">
        <v>8</v>
      </c>
      <c r="F36" s="47"/>
      <c r="G36" s="47"/>
      <c r="H36" s="47"/>
      <c r="I36" s="50">
        <f>'R IV-03 (01)'!X43</f>
        <v>0</v>
      </c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34" customFormat="1" ht="19.5">
      <c r="B37" s="43"/>
      <c r="C37" s="49"/>
      <c r="D37" s="45">
        <v>34</v>
      </c>
      <c r="E37" s="51" t="s">
        <v>7</v>
      </c>
      <c r="F37" s="47"/>
      <c r="G37" s="47"/>
      <c r="H37" s="47"/>
      <c r="I37" s="50">
        <f>'RE-YACYLEC-03 (1)'!Z43</f>
        <v>1970.65</v>
      </c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2.75" customHeight="1">
      <c r="B38" s="43"/>
      <c r="C38" s="49"/>
      <c r="D38" s="45"/>
      <c r="E38" s="51"/>
      <c r="F38" s="47"/>
      <c r="G38" s="47"/>
      <c r="H38" s="47"/>
      <c r="I38" s="50"/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49" t="s">
        <v>21</v>
      </c>
      <c r="D39" s="61" t="s">
        <v>22</v>
      </c>
      <c r="E39" s="46"/>
      <c r="F39" s="47"/>
      <c r="G39" s="47"/>
      <c r="H39" s="47"/>
      <c r="I39" s="50"/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9.5">
      <c r="B40" s="43"/>
      <c r="C40" s="49"/>
      <c r="D40" s="45">
        <v>41</v>
      </c>
      <c r="E40" s="51" t="s">
        <v>24</v>
      </c>
      <c r="F40" s="47"/>
      <c r="G40" s="47"/>
      <c r="H40" s="69"/>
      <c r="I40" s="50">
        <f>'SUP-INTESAR 4'!K88</f>
        <v>4024.3488416780615</v>
      </c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9.5">
      <c r="B41" s="43"/>
      <c r="C41" s="49"/>
      <c r="D41" s="45">
        <v>42</v>
      </c>
      <c r="E41" s="51" t="s">
        <v>299</v>
      </c>
      <c r="F41" s="47"/>
      <c r="G41" s="47"/>
      <c r="H41" s="69"/>
      <c r="I41" s="50">
        <f>'SUP-INTESAR 5'!K84</f>
        <v>59812.985569935656</v>
      </c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>
      <c r="B42" s="43"/>
      <c r="C42" s="49"/>
      <c r="D42" s="45">
        <v>43</v>
      </c>
      <c r="E42" s="51" t="s">
        <v>23</v>
      </c>
      <c r="F42" s="47"/>
      <c r="G42" s="47"/>
      <c r="H42" s="69"/>
      <c r="I42" s="50">
        <f>'SUP-INTESA3'!K63</f>
        <v>1374.5729333639524</v>
      </c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9.5">
      <c r="B43" s="43"/>
      <c r="C43" s="49"/>
      <c r="D43" s="45" t="s">
        <v>302</v>
      </c>
      <c r="E43" s="51" t="s">
        <v>25</v>
      </c>
      <c r="F43" s="47"/>
      <c r="G43" s="47"/>
      <c r="H43" s="47"/>
      <c r="I43" s="50">
        <f>'SUP-LIMSA'!K80</f>
        <v>378.3797697059812</v>
      </c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9.5">
      <c r="B44" s="43"/>
      <c r="C44" s="49"/>
      <c r="D44" s="45">
        <v>45</v>
      </c>
      <c r="E44" s="51" t="s">
        <v>300</v>
      </c>
      <c r="F44" s="47"/>
      <c r="G44" s="47"/>
      <c r="H44" s="47"/>
      <c r="I44" s="50">
        <f>'SUP-LITSA'!K94</f>
        <v>177.8882037089344</v>
      </c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19.5">
      <c r="B45" s="43"/>
      <c r="C45" s="49"/>
      <c r="D45" s="45">
        <v>46</v>
      </c>
      <c r="E45" s="51" t="s">
        <v>15</v>
      </c>
      <c r="F45" s="47"/>
      <c r="G45" s="47"/>
      <c r="H45" s="47"/>
      <c r="I45" s="50">
        <f>'SUP-TIBA'!J76</f>
        <v>3686.041283799697</v>
      </c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19.5">
      <c r="B46" s="43"/>
      <c r="C46" s="49"/>
      <c r="D46" s="45">
        <v>47</v>
      </c>
      <c r="E46" s="51" t="s">
        <v>7</v>
      </c>
      <c r="F46" s="47"/>
      <c r="G46" s="47"/>
      <c r="H46" s="47"/>
      <c r="I46" s="50">
        <f>'SUP-YACYLEC'!K72</f>
        <v>873.2387527888059</v>
      </c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11.25" customHeight="1">
      <c r="B47" s="43"/>
      <c r="C47" s="49"/>
      <c r="D47" s="45"/>
      <c r="E47" s="51"/>
      <c r="F47" s="47"/>
      <c r="G47" s="47"/>
      <c r="H47" s="69"/>
      <c r="I47" s="50"/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20.25" thickBot="1">
      <c r="B48" s="43"/>
      <c r="C48" s="44"/>
      <c r="D48" s="45"/>
      <c r="E48" s="46"/>
      <c r="F48" s="47"/>
      <c r="G48" s="47"/>
      <c r="H48" s="47"/>
      <c r="I48" s="4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34" customFormat="1" ht="20.25" thickBot="1" thickTop="1">
      <c r="B49" s="43"/>
      <c r="C49" s="49"/>
      <c r="D49" s="49"/>
      <c r="F49" s="70" t="s">
        <v>26</v>
      </c>
      <c r="G49" s="71">
        <f>SUM(I17:I46)</f>
        <v>1692309.5153549812</v>
      </c>
      <c r="H49" s="72"/>
      <c r="J49" s="48"/>
      <c r="K49" s="42"/>
      <c r="L49" s="42"/>
      <c r="M49" s="42"/>
      <c r="N49" s="42"/>
      <c r="O49" s="42"/>
      <c r="P49" s="42"/>
      <c r="Q49" s="42"/>
      <c r="R49" s="42"/>
      <c r="S49" s="42"/>
    </row>
    <row r="50" spans="2:19" s="34" customFormat="1" ht="9.75" customHeight="1" thickTop="1">
      <c r="B50" s="43"/>
      <c r="C50" s="49"/>
      <c r="D50" s="49"/>
      <c r="F50" s="73"/>
      <c r="G50" s="72"/>
      <c r="H50" s="72"/>
      <c r="J50" s="48"/>
      <c r="K50" s="42"/>
      <c r="L50" s="42"/>
      <c r="M50" s="42"/>
      <c r="N50" s="42"/>
      <c r="O50" s="42"/>
      <c r="P50" s="42"/>
      <c r="Q50" s="42"/>
      <c r="R50" s="42"/>
      <c r="S50" s="42"/>
    </row>
    <row r="51" spans="2:19" s="34" customFormat="1" ht="9.75" customHeight="1">
      <c r="B51" s="43"/>
      <c r="C51" s="49"/>
      <c r="D51" s="49"/>
      <c r="F51" s="73"/>
      <c r="G51" s="72"/>
      <c r="H51" s="72"/>
      <c r="J51" s="48"/>
      <c r="K51" s="42"/>
      <c r="L51" s="42"/>
      <c r="M51" s="42"/>
      <c r="N51" s="42"/>
      <c r="O51" s="42"/>
      <c r="P51" s="42"/>
      <c r="Q51" s="42"/>
      <c r="R51" s="42"/>
      <c r="S51" s="42"/>
    </row>
    <row r="52" spans="2:19" s="34" customFormat="1" ht="16.5" customHeight="1">
      <c r="B52" s="43"/>
      <c r="C52" s="2716" t="s">
        <v>528</v>
      </c>
      <c r="D52" s="49"/>
      <c r="F52" s="73"/>
      <c r="G52" s="72"/>
      <c r="H52" s="72"/>
      <c r="J52" s="48"/>
      <c r="K52" s="42"/>
      <c r="L52" s="42"/>
      <c r="M52" s="42"/>
      <c r="N52" s="42"/>
      <c r="O52" s="42"/>
      <c r="P52" s="42"/>
      <c r="Q52" s="42"/>
      <c r="R52" s="42"/>
      <c r="S52" s="42"/>
    </row>
    <row r="53" spans="2:19" s="34" customFormat="1" ht="18.75">
      <c r="B53" s="43"/>
      <c r="C53" s="2717" t="s">
        <v>529</v>
      </c>
      <c r="D53" s="49"/>
      <c r="F53" s="73"/>
      <c r="G53" s="72"/>
      <c r="H53" s="72"/>
      <c r="I53" s="75"/>
      <c r="J53" s="48"/>
      <c r="K53" s="42"/>
      <c r="L53" s="42"/>
      <c r="M53" s="42"/>
      <c r="N53" s="42"/>
      <c r="O53" s="42"/>
      <c r="P53" s="42"/>
      <c r="Q53" s="42"/>
      <c r="R53" s="42"/>
      <c r="S53" s="42"/>
    </row>
    <row r="54" spans="2:19" s="34" customFormat="1" ht="9.75" customHeight="1">
      <c r="B54" s="43"/>
      <c r="C54" s="49"/>
      <c r="D54" s="49"/>
      <c r="F54" s="73"/>
      <c r="G54" s="72"/>
      <c r="H54" s="72"/>
      <c r="J54" s="48"/>
      <c r="K54" s="42"/>
      <c r="L54" s="42"/>
      <c r="M54" s="42"/>
      <c r="N54" s="42"/>
      <c r="O54" s="42"/>
      <c r="P54" s="42"/>
      <c r="Q54" s="42"/>
      <c r="R54" s="42"/>
      <c r="S54" s="42"/>
    </row>
    <row r="55" spans="2:19" s="34" customFormat="1" ht="9.75" customHeight="1">
      <c r="B55" s="43"/>
      <c r="C55" s="49"/>
      <c r="D55" s="49"/>
      <c r="F55" s="73"/>
      <c r="G55" s="72"/>
      <c r="H55" s="72"/>
      <c r="J55" s="48"/>
      <c r="K55" s="42"/>
      <c r="L55" s="42"/>
      <c r="M55" s="42"/>
      <c r="N55" s="42"/>
      <c r="O55" s="42"/>
      <c r="P55" s="42"/>
      <c r="Q55" s="42"/>
      <c r="R55" s="42"/>
      <c r="S55" s="42"/>
    </row>
    <row r="56" spans="2:19" s="34" customFormat="1" ht="10.5" customHeight="1">
      <c r="B56" s="43"/>
      <c r="C56" s="74"/>
      <c r="D56" s="49"/>
      <c r="F56" s="73"/>
      <c r="G56" s="72"/>
      <c r="H56" s="72"/>
      <c r="I56" s="75"/>
      <c r="J56" s="48"/>
      <c r="K56" s="42"/>
      <c r="L56" s="42"/>
      <c r="M56" s="42"/>
      <c r="N56" s="42"/>
      <c r="O56" s="42"/>
      <c r="P56" s="42"/>
      <c r="Q56" s="42"/>
      <c r="R56" s="42"/>
      <c r="S56" s="42"/>
    </row>
    <row r="57" spans="2:19" s="27" customFormat="1" ht="10.5" customHeight="1" thickBot="1">
      <c r="B57" s="76"/>
      <c r="C57" s="77"/>
      <c r="D57" s="77"/>
      <c r="E57" s="78"/>
      <c r="F57" s="78"/>
      <c r="G57" s="78"/>
      <c r="H57" s="78"/>
      <c r="I57" s="78"/>
      <c r="J57" s="79"/>
      <c r="K57" s="29"/>
      <c r="L57" s="29"/>
      <c r="M57" s="80"/>
      <c r="N57" s="81"/>
      <c r="O57" s="81"/>
      <c r="P57" s="82"/>
      <c r="Q57" s="83"/>
      <c r="R57" s="29"/>
      <c r="S57" s="29"/>
    </row>
    <row r="58" spans="4:19" ht="13.5" thickTop="1">
      <c r="D58" s="11"/>
      <c r="F58" s="11"/>
      <c r="G58" s="11"/>
      <c r="H58" s="11"/>
      <c r="I58" s="11"/>
      <c r="J58" s="11"/>
      <c r="K58" s="11"/>
      <c r="L58" s="11"/>
      <c r="M58" s="84"/>
      <c r="N58" s="85"/>
      <c r="O58" s="85"/>
      <c r="P58" s="11"/>
      <c r="Q58" s="86"/>
      <c r="R58" s="11"/>
      <c r="S58" s="11"/>
    </row>
    <row r="59" spans="4:19" ht="12.75">
      <c r="D59" s="11"/>
      <c r="F59" s="11"/>
      <c r="G59" s="11"/>
      <c r="H59" s="11"/>
      <c r="I59" s="11"/>
      <c r="J59" s="11"/>
      <c r="K59" s="11"/>
      <c r="L59" s="11"/>
      <c r="M59" s="11"/>
      <c r="N59" s="87"/>
      <c r="O59" s="87"/>
      <c r="P59" s="88"/>
      <c r="Q59" s="86"/>
      <c r="R59" s="11"/>
      <c r="S59" s="11"/>
    </row>
    <row r="60" spans="4:19" ht="12.75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87"/>
      <c r="O60" s="87"/>
      <c r="P60" s="88"/>
      <c r="Q60" s="86"/>
      <c r="R60" s="11"/>
      <c r="S60" s="11"/>
    </row>
    <row r="61" spans="4:19" ht="12.75">
      <c r="D61" s="11"/>
      <c r="E61" s="11"/>
      <c r="L61" s="11"/>
      <c r="M61" s="11"/>
      <c r="N61" s="11"/>
      <c r="O61" s="11"/>
      <c r="P61" s="11"/>
      <c r="Q61" s="11"/>
      <c r="R61" s="11"/>
      <c r="S61" s="11"/>
    </row>
    <row r="62" spans="4:19" ht="12.75">
      <c r="D62" s="11"/>
      <c r="E62" s="11"/>
      <c r="P62" s="11"/>
      <c r="Q62" s="11"/>
      <c r="R62" s="11"/>
      <c r="S62" s="11"/>
    </row>
    <row r="63" spans="4:19" ht="12.75">
      <c r="D63" s="11"/>
      <c r="E63" s="11"/>
      <c r="P63" s="11"/>
      <c r="Q63" s="11"/>
      <c r="R63" s="11"/>
      <c r="S63" s="11"/>
    </row>
    <row r="64" spans="4:19" ht="12.75">
      <c r="D64" s="11"/>
      <c r="E64" s="11"/>
      <c r="P64" s="11"/>
      <c r="Q64" s="11"/>
      <c r="R64" s="11"/>
      <c r="S64" s="11"/>
    </row>
    <row r="65" spans="4:19" ht="12.75">
      <c r="D65" s="11"/>
      <c r="E65" s="11"/>
      <c r="P65" s="11"/>
      <c r="Q65" s="11"/>
      <c r="R65" s="11"/>
      <c r="S65" s="11"/>
    </row>
    <row r="66" spans="4:19" ht="12.75">
      <c r="D66" s="11"/>
      <c r="E66" s="11"/>
      <c r="P66" s="11"/>
      <c r="Q66" s="11"/>
      <c r="R66" s="11"/>
      <c r="S66" s="11"/>
    </row>
    <row r="67" spans="16:19" ht="12.75">
      <c r="P67" s="11"/>
      <c r="Q67" s="11"/>
      <c r="R67" s="11"/>
      <c r="S67" s="11"/>
    </row>
    <row r="68" spans="16:19" ht="12.75">
      <c r="P68" s="11"/>
      <c r="Q68" s="11"/>
      <c r="R68" s="11"/>
      <c r="S68" s="11"/>
    </row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portrait" paperSize="9" scale="59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Y159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6.5" customHeight="1"/>
  <cols>
    <col min="1" max="1" width="5.140625" style="629" customWidth="1"/>
    <col min="2" max="2" width="4.140625" style="629" customWidth="1"/>
    <col min="3" max="3" width="5.421875" style="629" customWidth="1"/>
    <col min="4" max="4" width="15.140625" style="629" customWidth="1"/>
    <col min="5" max="5" width="15.8515625" style="629" customWidth="1"/>
    <col min="6" max="6" width="38.28125" style="629" customWidth="1"/>
    <col min="7" max="7" width="40.7109375" style="629" customWidth="1"/>
    <col min="8" max="8" width="9.7109375" style="629" customWidth="1"/>
    <col min="9" max="9" width="4.28125" style="629" hidden="1" customWidth="1"/>
    <col min="10" max="11" width="15.7109375" style="629" customWidth="1"/>
    <col min="12" max="14" width="9.7109375" style="629" customWidth="1"/>
    <col min="15" max="15" width="6.421875" style="629" customWidth="1"/>
    <col min="16" max="16" width="4.00390625" style="629" hidden="1" customWidth="1"/>
    <col min="17" max="17" width="12.8515625" style="629" hidden="1" customWidth="1"/>
    <col min="18" max="19" width="6.00390625" style="629" hidden="1" customWidth="1"/>
    <col min="20" max="20" width="11.7109375" style="629" hidden="1" customWidth="1"/>
    <col min="21" max="21" width="9.7109375" style="629" customWidth="1"/>
    <col min="22" max="22" width="15.7109375" style="629" customWidth="1"/>
    <col min="23" max="23" width="4.140625" style="629" customWidth="1"/>
    <col min="24" max="16384" width="11.421875" style="629" customWidth="1"/>
  </cols>
  <sheetData>
    <row r="1" s="515" customFormat="1" ht="26.25">
      <c r="W1" s="516"/>
    </row>
    <row r="2" spans="1:23" s="515" customFormat="1" ht="26.25">
      <c r="A2" s="517"/>
      <c r="B2" s="518" t="str">
        <f>'TOT-0312'!B2</f>
        <v>ANEXO IV al Memorándum D.T.E.E.  N° 783/ 2013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</row>
    <row r="3" s="520" customFormat="1" ht="15.75" customHeight="1">
      <c r="A3" s="519"/>
    </row>
    <row r="4" spans="1:4" s="523" customFormat="1" ht="11.25">
      <c r="A4" s="521" t="s">
        <v>2</v>
      </c>
      <c r="B4" s="522"/>
      <c r="C4" s="522"/>
      <c r="D4" s="522"/>
    </row>
    <row r="5" spans="1:4" s="523" customFormat="1" ht="11.25">
      <c r="A5" s="521" t="s">
        <v>3</v>
      </c>
      <c r="B5" s="522"/>
      <c r="C5" s="522"/>
      <c r="D5" s="522"/>
    </row>
    <row r="6" s="520" customFormat="1" ht="13.5" thickBot="1"/>
    <row r="7" spans="2:23" s="520" customFormat="1" ht="13.5" thickTop="1">
      <c r="B7" s="524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6"/>
    </row>
    <row r="8" spans="2:23" s="527" customFormat="1" ht="20.25">
      <c r="B8" s="528"/>
      <c r="C8" s="529"/>
      <c r="D8" s="529"/>
      <c r="E8" s="529"/>
      <c r="F8" s="530" t="s">
        <v>27</v>
      </c>
      <c r="N8" s="531"/>
      <c r="O8" s="531"/>
      <c r="P8" s="532"/>
      <c r="Q8" s="529"/>
      <c r="R8" s="529"/>
      <c r="S8" s="529"/>
      <c r="T8" s="529"/>
      <c r="U8" s="529"/>
      <c r="V8" s="529"/>
      <c r="W8" s="533"/>
    </row>
    <row r="9" spans="2:23" s="520" customFormat="1" ht="12.75">
      <c r="B9" s="534"/>
      <c r="C9" s="535"/>
      <c r="D9" s="535"/>
      <c r="E9" s="535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5"/>
      <c r="R9" s="535"/>
      <c r="S9" s="535"/>
      <c r="T9" s="535"/>
      <c r="U9" s="535"/>
      <c r="V9" s="535"/>
      <c r="W9" s="537"/>
    </row>
    <row r="10" spans="2:23" s="527" customFormat="1" ht="20.25">
      <c r="B10" s="528"/>
      <c r="C10" s="529"/>
      <c r="D10" s="529"/>
      <c r="E10" s="529"/>
      <c r="F10" s="538" t="s">
        <v>67</v>
      </c>
      <c r="G10" s="539"/>
      <c r="H10" s="531"/>
      <c r="I10" s="540"/>
      <c r="K10" s="540"/>
      <c r="L10" s="540"/>
      <c r="M10" s="540"/>
      <c r="N10" s="540"/>
      <c r="O10" s="540"/>
      <c r="P10" s="540"/>
      <c r="Q10" s="529"/>
      <c r="R10" s="529"/>
      <c r="S10" s="529"/>
      <c r="T10" s="529"/>
      <c r="U10" s="529"/>
      <c r="V10" s="529"/>
      <c r="W10" s="533"/>
    </row>
    <row r="11" spans="2:23" s="520" customFormat="1" ht="13.5">
      <c r="B11" s="534"/>
      <c r="C11" s="535"/>
      <c r="D11" s="535"/>
      <c r="E11" s="535"/>
      <c r="F11" s="541"/>
      <c r="G11" s="541"/>
      <c r="H11" s="519"/>
      <c r="I11" s="542"/>
      <c r="J11" s="543"/>
      <c r="K11" s="542"/>
      <c r="L11" s="542"/>
      <c r="M11" s="542"/>
      <c r="N11" s="542"/>
      <c r="O11" s="542"/>
      <c r="P11" s="542"/>
      <c r="Q11" s="535"/>
      <c r="R11" s="535"/>
      <c r="S11" s="535"/>
      <c r="T11" s="535"/>
      <c r="U11" s="535"/>
      <c r="V11" s="535"/>
      <c r="W11" s="537"/>
    </row>
    <row r="12" spans="2:23" s="527" customFormat="1" ht="20.25">
      <c r="B12" s="528"/>
      <c r="C12" s="529"/>
      <c r="D12" s="529"/>
      <c r="E12" s="529"/>
      <c r="F12" s="538" t="s">
        <v>339</v>
      </c>
      <c r="G12" s="539"/>
      <c r="H12" s="531"/>
      <c r="I12" s="540"/>
      <c r="K12" s="540"/>
      <c r="L12" s="540"/>
      <c r="M12" s="540"/>
      <c r="N12" s="540"/>
      <c r="O12" s="540"/>
      <c r="P12" s="540"/>
      <c r="Q12" s="529"/>
      <c r="R12" s="529"/>
      <c r="S12" s="529"/>
      <c r="T12" s="529"/>
      <c r="U12" s="529"/>
      <c r="V12" s="529"/>
      <c r="W12" s="533"/>
    </row>
    <row r="13" spans="2:23" s="520" customFormat="1" ht="13.5">
      <c r="B13" s="534"/>
      <c r="C13" s="535"/>
      <c r="D13" s="535"/>
      <c r="E13" s="535"/>
      <c r="F13" s="541"/>
      <c r="G13" s="541"/>
      <c r="H13" s="519"/>
      <c r="I13" s="542"/>
      <c r="J13" s="543"/>
      <c r="K13" s="542"/>
      <c r="L13" s="542"/>
      <c r="M13" s="542"/>
      <c r="N13" s="542"/>
      <c r="O13" s="542"/>
      <c r="P13" s="542"/>
      <c r="Q13" s="535"/>
      <c r="R13" s="535"/>
      <c r="S13" s="535"/>
      <c r="T13" s="535"/>
      <c r="U13" s="535"/>
      <c r="V13" s="535"/>
      <c r="W13" s="537"/>
    </row>
    <row r="14" spans="2:23" s="520" customFormat="1" ht="19.5">
      <c r="B14" s="544" t="str">
        <f>'TOT-0312'!B14</f>
        <v>Desde el 01 al 31 de Marzo de 2012</v>
      </c>
      <c r="C14" s="545"/>
      <c r="D14" s="545"/>
      <c r="E14" s="545"/>
      <c r="F14" s="545"/>
      <c r="G14" s="545"/>
      <c r="H14" s="545"/>
      <c r="I14" s="546"/>
      <c r="J14" s="546"/>
      <c r="K14" s="546"/>
      <c r="L14" s="546"/>
      <c r="M14" s="546"/>
      <c r="N14" s="546"/>
      <c r="O14" s="546"/>
      <c r="P14" s="546"/>
      <c r="Q14" s="545"/>
      <c r="R14" s="545"/>
      <c r="S14" s="545"/>
      <c r="T14" s="545"/>
      <c r="U14" s="545"/>
      <c r="V14" s="545"/>
      <c r="W14" s="547"/>
    </row>
    <row r="15" spans="2:23" s="520" customFormat="1" ht="14.25" thickBot="1">
      <c r="B15" s="548"/>
      <c r="C15" s="549"/>
      <c r="D15" s="549"/>
      <c r="E15" s="549"/>
      <c r="F15" s="549"/>
      <c r="G15" s="549"/>
      <c r="H15" s="549"/>
      <c r="I15" s="550"/>
      <c r="J15" s="550"/>
      <c r="K15" s="550"/>
      <c r="L15" s="550"/>
      <c r="M15" s="550"/>
      <c r="N15" s="550"/>
      <c r="O15" s="550"/>
      <c r="P15" s="550"/>
      <c r="Q15" s="549"/>
      <c r="R15" s="549"/>
      <c r="S15" s="549"/>
      <c r="T15" s="549"/>
      <c r="U15" s="549"/>
      <c r="V15" s="549"/>
      <c r="W15" s="551"/>
    </row>
    <row r="16" spans="2:23" s="520" customFormat="1" ht="15" thickBot="1" thickTop="1">
      <c r="B16" s="534"/>
      <c r="C16" s="535"/>
      <c r="D16" s="535"/>
      <c r="E16" s="535"/>
      <c r="F16" s="552"/>
      <c r="G16" s="552"/>
      <c r="H16" s="553" t="s">
        <v>69</v>
      </c>
      <c r="I16" s="535"/>
      <c r="J16" s="543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7"/>
    </row>
    <row r="17" spans="2:23" s="520" customFormat="1" ht="16.5" customHeight="1" thickBot="1" thickTop="1">
      <c r="B17" s="534"/>
      <c r="C17" s="535"/>
      <c r="D17" s="535"/>
      <c r="E17" s="535"/>
      <c r="F17" s="554" t="s">
        <v>70</v>
      </c>
      <c r="G17" s="555">
        <v>63.904</v>
      </c>
      <c r="H17" s="556">
        <v>200</v>
      </c>
      <c r="V17" s="557"/>
      <c r="W17" s="537"/>
    </row>
    <row r="18" spans="2:23" s="520" customFormat="1" ht="16.5" customHeight="1" thickBot="1" thickTop="1">
      <c r="B18" s="534"/>
      <c r="C18" s="535"/>
      <c r="D18" s="535"/>
      <c r="E18" s="535"/>
      <c r="F18" s="558" t="s">
        <v>71</v>
      </c>
      <c r="G18" s="559" t="s">
        <v>75</v>
      </c>
      <c r="H18" s="556">
        <v>100</v>
      </c>
      <c r="O18" s="535"/>
      <c r="P18" s="535"/>
      <c r="Q18" s="535"/>
      <c r="R18" s="535"/>
      <c r="S18" s="535"/>
      <c r="T18" s="535"/>
      <c r="U18" s="535"/>
      <c r="V18" s="535"/>
      <c r="W18" s="537"/>
    </row>
    <row r="19" spans="2:23" s="520" customFormat="1" ht="16.5" customHeight="1" thickBot="1" thickTop="1">
      <c r="B19" s="534"/>
      <c r="C19" s="535"/>
      <c r="D19" s="535"/>
      <c r="E19" s="535"/>
      <c r="F19" s="560" t="s">
        <v>72</v>
      </c>
      <c r="G19" s="559">
        <v>51.126</v>
      </c>
      <c r="H19" s="556">
        <v>40</v>
      </c>
      <c r="K19" s="561"/>
      <c r="L19" s="562"/>
      <c r="M19" s="535"/>
      <c r="O19" s="535"/>
      <c r="Q19" s="535"/>
      <c r="R19" s="535"/>
      <c r="S19" s="535"/>
      <c r="T19" s="535"/>
      <c r="U19" s="535"/>
      <c r="V19" s="535"/>
      <c r="W19" s="537"/>
    </row>
    <row r="20" spans="2:23" s="520" customFormat="1" ht="16.5" customHeight="1" thickBot="1" thickTop="1">
      <c r="B20" s="534"/>
      <c r="C20" s="563">
        <v>3</v>
      </c>
      <c r="D20" s="563">
        <v>4</v>
      </c>
      <c r="E20" s="563">
        <v>5</v>
      </c>
      <c r="F20" s="563">
        <v>6</v>
      </c>
      <c r="G20" s="563">
        <v>7</v>
      </c>
      <c r="H20" s="563">
        <v>8</v>
      </c>
      <c r="I20" s="563">
        <v>9</v>
      </c>
      <c r="J20" s="563">
        <v>10</v>
      </c>
      <c r="K20" s="563">
        <v>11</v>
      </c>
      <c r="L20" s="563">
        <v>12</v>
      </c>
      <c r="M20" s="563">
        <v>13</v>
      </c>
      <c r="N20" s="563">
        <v>14</v>
      </c>
      <c r="O20" s="563">
        <v>15</v>
      </c>
      <c r="P20" s="563">
        <v>16</v>
      </c>
      <c r="Q20" s="563">
        <v>17</v>
      </c>
      <c r="R20" s="563">
        <v>18</v>
      </c>
      <c r="S20" s="563">
        <v>19</v>
      </c>
      <c r="T20" s="563">
        <v>20</v>
      </c>
      <c r="U20" s="563">
        <v>21</v>
      </c>
      <c r="V20" s="563">
        <v>22</v>
      </c>
      <c r="W20" s="537"/>
    </row>
    <row r="21" spans="2:23" s="520" customFormat="1" ht="33.75" customHeight="1" thickBot="1" thickTop="1">
      <c r="B21" s="534"/>
      <c r="C21" s="564" t="s">
        <v>32</v>
      </c>
      <c r="D21" s="565" t="s">
        <v>33</v>
      </c>
      <c r="E21" s="565" t="s">
        <v>34</v>
      </c>
      <c r="F21" s="566" t="s">
        <v>60</v>
      </c>
      <c r="G21" s="567" t="s">
        <v>61</v>
      </c>
      <c r="H21" s="568" t="s">
        <v>35</v>
      </c>
      <c r="I21" s="569" t="s">
        <v>39</v>
      </c>
      <c r="J21" s="570" t="s">
        <v>40</v>
      </c>
      <c r="K21" s="567" t="s">
        <v>41</v>
      </c>
      <c r="L21" s="571" t="s">
        <v>42</v>
      </c>
      <c r="M21" s="571" t="s">
        <v>43</v>
      </c>
      <c r="N21" s="572" t="s">
        <v>251</v>
      </c>
      <c r="O21" s="573" t="s">
        <v>46</v>
      </c>
      <c r="P21" s="574" t="s">
        <v>38</v>
      </c>
      <c r="Q21" s="575" t="s">
        <v>73</v>
      </c>
      <c r="R21" s="576" t="s">
        <v>74</v>
      </c>
      <c r="S21" s="577"/>
      <c r="T21" s="578" t="s">
        <v>51</v>
      </c>
      <c r="U21" s="579" t="s">
        <v>53</v>
      </c>
      <c r="V21" s="580" t="s">
        <v>54</v>
      </c>
      <c r="W21" s="537"/>
    </row>
    <row r="22" spans="2:23" s="520" customFormat="1" ht="16.5" customHeight="1" thickTop="1">
      <c r="B22" s="534"/>
      <c r="C22" s="581"/>
      <c r="D22" s="581"/>
      <c r="E22" s="581"/>
      <c r="F22" s="582"/>
      <c r="G22" s="582"/>
      <c r="H22" s="582"/>
      <c r="I22" s="583"/>
      <c r="J22" s="582"/>
      <c r="K22" s="582"/>
      <c r="L22" s="582"/>
      <c r="M22" s="582"/>
      <c r="N22" s="582"/>
      <c r="O22" s="582"/>
      <c r="P22" s="584"/>
      <c r="Q22" s="585"/>
      <c r="R22" s="586"/>
      <c r="S22" s="587"/>
      <c r="T22" s="588"/>
      <c r="U22" s="582"/>
      <c r="V22" s="589"/>
      <c r="W22" s="537"/>
    </row>
    <row r="23" spans="2:23" s="520" customFormat="1" ht="16.5" customHeight="1">
      <c r="B23" s="534"/>
      <c r="C23" s="590"/>
      <c r="D23" s="590"/>
      <c r="E23" s="590"/>
      <c r="F23" s="591"/>
      <c r="G23" s="591"/>
      <c r="H23" s="591"/>
      <c r="I23" s="592"/>
      <c r="J23" s="591"/>
      <c r="K23" s="591"/>
      <c r="L23" s="591"/>
      <c r="M23" s="591"/>
      <c r="N23" s="591"/>
      <c r="O23" s="591"/>
      <c r="P23" s="593"/>
      <c r="Q23" s="594"/>
      <c r="R23" s="595"/>
      <c r="S23" s="596"/>
      <c r="T23" s="597"/>
      <c r="U23" s="591"/>
      <c r="V23" s="598"/>
      <c r="W23" s="537"/>
    </row>
    <row r="24" spans="2:23" s="520" customFormat="1" ht="16.5" customHeight="1">
      <c r="B24" s="534"/>
      <c r="C24" s="590">
        <v>63</v>
      </c>
      <c r="D24" s="590">
        <v>245345</v>
      </c>
      <c r="E24" s="599">
        <v>5021</v>
      </c>
      <c r="F24" s="600" t="s">
        <v>321</v>
      </c>
      <c r="G24" s="600" t="s">
        <v>322</v>
      </c>
      <c r="H24" s="601">
        <v>132</v>
      </c>
      <c r="I24" s="602">
        <f aca="true" t="shared" si="0" ref="I24:I43">IF(H24=500,$G$17,IF(H24=220,$G$18,$G$19))</f>
        <v>51.126</v>
      </c>
      <c r="J24" s="603">
        <v>40979.291666666664</v>
      </c>
      <c r="K24" s="604">
        <v>40979.402083333334</v>
      </c>
      <c r="L24" s="605">
        <f aca="true" t="shared" si="1" ref="L24:L43">IF(F24="","",(K24-J24)*24)</f>
        <v>2.6500000000814907</v>
      </c>
      <c r="M24" s="606">
        <f aca="true" t="shared" si="2" ref="M24:M43">IF(F24="","",ROUND((K24-J24)*24*60,0))</f>
        <v>159</v>
      </c>
      <c r="N24" s="607" t="s">
        <v>253</v>
      </c>
      <c r="O24" s="608" t="str">
        <f aca="true" t="shared" si="3" ref="O24:O43">IF(F24="","",IF(N24="P","--","NO"))</f>
        <v>--</v>
      </c>
      <c r="P24" s="609">
        <f aca="true" t="shared" si="4" ref="P24:P43">IF(H24=500,$H$17,IF(H24=220,$H$18,$H$19))</f>
        <v>40</v>
      </c>
      <c r="Q24" s="610">
        <f aca="true" t="shared" si="5" ref="Q24:Q43">IF(N24="P",I24*P24*ROUND(M24/60,2)*0.1,"--")</f>
        <v>541.9356</v>
      </c>
      <c r="R24" s="595" t="str">
        <f aca="true" t="shared" si="6" ref="R24:R43">IF(AND(N24="F",O24="NO"),I24*P24,"--")</f>
        <v>--</v>
      </c>
      <c r="S24" s="596" t="str">
        <f aca="true" t="shared" si="7" ref="S24:S43">IF(N24="F",I24*P24*ROUND(M24/60,2),"--")</f>
        <v>--</v>
      </c>
      <c r="T24" s="597" t="str">
        <f aca="true" t="shared" si="8" ref="T24:T43">IF(N24="RF",I24*P24*ROUND(M24/60,2),"--")</f>
        <v>--</v>
      </c>
      <c r="U24" s="608" t="str">
        <f aca="true" t="shared" si="9" ref="U24:U43">IF(F24="","","SI")</f>
        <v>SI</v>
      </c>
      <c r="V24" s="611">
        <f aca="true" t="shared" si="10" ref="V24:V43">IF(F24="","",SUM(Q24:T24)*IF(U24="SI",1,2))</f>
        <v>541.9356</v>
      </c>
      <c r="W24" s="537"/>
    </row>
    <row r="25" spans="2:23" s="520" customFormat="1" ht="16.5" customHeight="1">
      <c r="B25" s="534"/>
      <c r="C25" s="590"/>
      <c r="D25" s="590"/>
      <c r="E25" s="590"/>
      <c r="F25" s="612"/>
      <c r="G25" s="612"/>
      <c r="H25" s="613"/>
      <c r="I25" s="602">
        <f t="shared" si="0"/>
        <v>51.126</v>
      </c>
      <c r="J25" s="603"/>
      <c r="K25" s="604"/>
      <c r="L25" s="605">
        <f t="shared" si="1"/>
      </c>
      <c r="M25" s="606">
        <f t="shared" si="2"/>
      </c>
      <c r="N25" s="607"/>
      <c r="O25" s="608">
        <f t="shared" si="3"/>
      </c>
      <c r="P25" s="609">
        <f t="shared" si="4"/>
        <v>40</v>
      </c>
      <c r="Q25" s="610" t="str">
        <f t="shared" si="5"/>
        <v>--</v>
      </c>
      <c r="R25" s="595" t="str">
        <f t="shared" si="6"/>
        <v>--</v>
      </c>
      <c r="S25" s="596" t="str">
        <f t="shared" si="7"/>
        <v>--</v>
      </c>
      <c r="T25" s="597" t="str">
        <f t="shared" si="8"/>
        <v>--</v>
      </c>
      <c r="U25" s="608">
        <f t="shared" si="9"/>
      </c>
      <c r="V25" s="611">
        <f t="shared" si="10"/>
      </c>
      <c r="W25" s="537"/>
    </row>
    <row r="26" spans="2:23" s="520" customFormat="1" ht="16.5" customHeight="1">
      <c r="B26" s="534"/>
      <c r="C26" s="590"/>
      <c r="D26" s="590"/>
      <c r="E26" s="599"/>
      <c r="F26" s="612"/>
      <c r="G26" s="612"/>
      <c r="H26" s="613"/>
      <c r="I26" s="602">
        <f t="shared" si="0"/>
        <v>51.126</v>
      </c>
      <c r="J26" s="603"/>
      <c r="K26" s="604"/>
      <c r="L26" s="605">
        <f t="shared" si="1"/>
      </c>
      <c r="M26" s="606">
        <f t="shared" si="2"/>
      </c>
      <c r="N26" s="607"/>
      <c r="O26" s="608">
        <f t="shared" si="3"/>
      </c>
      <c r="P26" s="609">
        <f t="shared" si="4"/>
        <v>40</v>
      </c>
      <c r="Q26" s="610" t="str">
        <f t="shared" si="5"/>
        <v>--</v>
      </c>
      <c r="R26" s="595" t="str">
        <f t="shared" si="6"/>
        <v>--</v>
      </c>
      <c r="S26" s="596" t="str">
        <f t="shared" si="7"/>
        <v>--</v>
      </c>
      <c r="T26" s="597" t="str">
        <f t="shared" si="8"/>
        <v>--</v>
      </c>
      <c r="U26" s="608">
        <f t="shared" si="9"/>
      </c>
      <c r="V26" s="611">
        <f t="shared" si="10"/>
      </c>
      <c r="W26" s="537"/>
    </row>
    <row r="27" spans="2:23" s="520" customFormat="1" ht="16.5" customHeight="1">
      <c r="B27" s="534"/>
      <c r="C27" s="590"/>
      <c r="D27" s="590"/>
      <c r="E27" s="590"/>
      <c r="F27" s="612"/>
      <c r="G27" s="612"/>
      <c r="H27" s="613"/>
      <c r="I27" s="602">
        <f t="shared" si="0"/>
        <v>51.126</v>
      </c>
      <c r="J27" s="603"/>
      <c r="K27" s="604"/>
      <c r="L27" s="605">
        <f t="shared" si="1"/>
      </c>
      <c r="M27" s="606">
        <f t="shared" si="2"/>
      </c>
      <c r="N27" s="607"/>
      <c r="O27" s="608">
        <f t="shared" si="3"/>
      </c>
      <c r="P27" s="609">
        <f t="shared" si="4"/>
        <v>40</v>
      </c>
      <c r="Q27" s="610" t="str">
        <f t="shared" si="5"/>
        <v>--</v>
      </c>
      <c r="R27" s="595" t="str">
        <f t="shared" si="6"/>
        <v>--</v>
      </c>
      <c r="S27" s="596" t="str">
        <f t="shared" si="7"/>
        <v>--</v>
      </c>
      <c r="T27" s="597" t="str">
        <f t="shared" si="8"/>
        <v>--</v>
      </c>
      <c r="U27" s="608">
        <f t="shared" si="9"/>
      </c>
      <c r="V27" s="611">
        <f t="shared" si="10"/>
      </c>
      <c r="W27" s="537"/>
    </row>
    <row r="28" spans="2:23" s="520" customFormat="1" ht="16.5" customHeight="1">
      <c r="B28" s="534"/>
      <c r="C28" s="590"/>
      <c r="D28" s="590"/>
      <c r="E28" s="599"/>
      <c r="F28" s="612"/>
      <c r="G28" s="612"/>
      <c r="H28" s="613"/>
      <c r="I28" s="602">
        <f t="shared" si="0"/>
        <v>51.126</v>
      </c>
      <c r="J28" s="603"/>
      <c r="K28" s="604"/>
      <c r="L28" s="605">
        <f t="shared" si="1"/>
      </c>
      <c r="M28" s="606">
        <f t="shared" si="2"/>
      </c>
      <c r="N28" s="607"/>
      <c r="O28" s="608">
        <f t="shared" si="3"/>
      </c>
      <c r="P28" s="609">
        <f t="shared" si="4"/>
        <v>40</v>
      </c>
      <c r="Q28" s="610" t="str">
        <f t="shared" si="5"/>
        <v>--</v>
      </c>
      <c r="R28" s="595" t="str">
        <f t="shared" si="6"/>
        <v>--</v>
      </c>
      <c r="S28" s="596" t="str">
        <f t="shared" si="7"/>
        <v>--</v>
      </c>
      <c r="T28" s="597" t="str">
        <f t="shared" si="8"/>
        <v>--</v>
      </c>
      <c r="U28" s="608">
        <f t="shared" si="9"/>
      </c>
      <c r="V28" s="611">
        <f t="shared" si="10"/>
      </c>
      <c r="W28" s="537"/>
    </row>
    <row r="29" spans="2:23" s="520" customFormat="1" ht="16.5" customHeight="1">
      <c r="B29" s="534"/>
      <c r="C29" s="590"/>
      <c r="D29" s="590"/>
      <c r="E29" s="590"/>
      <c r="F29" s="612"/>
      <c r="G29" s="612"/>
      <c r="H29" s="613"/>
      <c r="I29" s="602">
        <f t="shared" si="0"/>
        <v>51.126</v>
      </c>
      <c r="J29" s="603"/>
      <c r="K29" s="604"/>
      <c r="L29" s="605">
        <f t="shared" si="1"/>
      </c>
      <c r="M29" s="606">
        <f t="shared" si="2"/>
      </c>
      <c r="N29" s="607"/>
      <c r="O29" s="608">
        <f t="shared" si="3"/>
      </c>
      <c r="P29" s="609">
        <f t="shared" si="4"/>
        <v>40</v>
      </c>
      <c r="Q29" s="610" t="str">
        <f t="shared" si="5"/>
        <v>--</v>
      </c>
      <c r="R29" s="595" t="str">
        <f t="shared" si="6"/>
        <v>--</v>
      </c>
      <c r="S29" s="596" t="str">
        <f t="shared" si="7"/>
        <v>--</v>
      </c>
      <c r="T29" s="597" t="str">
        <f t="shared" si="8"/>
        <v>--</v>
      </c>
      <c r="U29" s="608">
        <f t="shared" si="9"/>
      </c>
      <c r="V29" s="611">
        <f t="shared" si="10"/>
      </c>
      <c r="W29" s="537"/>
    </row>
    <row r="30" spans="2:23" s="520" customFormat="1" ht="16.5" customHeight="1">
      <c r="B30" s="534"/>
      <c r="C30" s="590"/>
      <c r="D30" s="590"/>
      <c r="E30" s="599"/>
      <c r="F30" s="612"/>
      <c r="G30" s="612"/>
      <c r="H30" s="613"/>
      <c r="I30" s="602">
        <f t="shared" si="0"/>
        <v>51.126</v>
      </c>
      <c r="J30" s="603"/>
      <c r="K30" s="604"/>
      <c r="L30" s="605">
        <f t="shared" si="1"/>
      </c>
      <c r="M30" s="606">
        <f t="shared" si="2"/>
      </c>
      <c r="N30" s="607"/>
      <c r="O30" s="608">
        <f t="shared" si="3"/>
      </c>
      <c r="P30" s="609">
        <f t="shared" si="4"/>
        <v>40</v>
      </c>
      <c r="Q30" s="610" t="str">
        <f t="shared" si="5"/>
        <v>--</v>
      </c>
      <c r="R30" s="595" t="str">
        <f t="shared" si="6"/>
        <v>--</v>
      </c>
      <c r="S30" s="596" t="str">
        <f t="shared" si="7"/>
        <v>--</v>
      </c>
      <c r="T30" s="597" t="str">
        <f t="shared" si="8"/>
        <v>--</v>
      </c>
      <c r="U30" s="608">
        <f t="shared" si="9"/>
      </c>
      <c r="V30" s="611">
        <f t="shared" si="10"/>
      </c>
      <c r="W30" s="537"/>
    </row>
    <row r="31" spans="2:23" s="520" customFormat="1" ht="16.5" customHeight="1">
      <c r="B31" s="534"/>
      <c r="C31" s="590"/>
      <c r="D31" s="590"/>
      <c r="E31" s="590"/>
      <c r="F31" s="612"/>
      <c r="G31" s="612"/>
      <c r="H31" s="613"/>
      <c r="I31" s="602">
        <f t="shared" si="0"/>
        <v>51.126</v>
      </c>
      <c r="J31" s="603"/>
      <c r="K31" s="604"/>
      <c r="L31" s="605">
        <f t="shared" si="1"/>
      </c>
      <c r="M31" s="606">
        <f t="shared" si="2"/>
      </c>
      <c r="N31" s="607"/>
      <c r="O31" s="608">
        <f t="shared" si="3"/>
      </c>
      <c r="P31" s="609">
        <f t="shared" si="4"/>
        <v>40</v>
      </c>
      <c r="Q31" s="610" t="str">
        <f t="shared" si="5"/>
        <v>--</v>
      </c>
      <c r="R31" s="595" t="str">
        <f t="shared" si="6"/>
        <v>--</v>
      </c>
      <c r="S31" s="596" t="str">
        <f t="shared" si="7"/>
        <v>--</v>
      </c>
      <c r="T31" s="597" t="str">
        <f t="shared" si="8"/>
        <v>--</v>
      </c>
      <c r="U31" s="608">
        <f t="shared" si="9"/>
      </c>
      <c r="V31" s="611">
        <f t="shared" si="10"/>
      </c>
      <c r="W31" s="537"/>
    </row>
    <row r="32" spans="2:23" s="520" customFormat="1" ht="16.5" customHeight="1">
      <c r="B32" s="534"/>
      <c r="C32" s="590"/>
      <c r="D32" s="590"/>
      <c r="E32" s="599"/>
      <c r="F32" s="612"/>
      <c r="G32" s="612"/>
      <c r="H32" s="613"/>
      <c r="I32" s="602">
        <f t="shared" si="0"/>
        <v>51.126</v>
      </c>
      <c r="J32" s="603"/>
      <c r="K32" s="604"/>
      <c r="L32" s="605">
        <f t="shared" si="1"/>
      </c>
      <c r="M32" s="606">
        <f t="shared" si="2"/>
      </c>
      <c r="N32" s="607"/>
      <c r="O32" s="608">
        <f t="shared" si="3"/>
      </c>
      <c r="P32" s="609">
        <f t="shared" si="4"/>
        <v>40</v>
      </c>
      <c r="Q32" s="610" t="str">
        <f t="shared" si="5"/>
        <v>--</v>
      </c>
      <c r="R32" s="595" t="str">
        <f t="shared" si="6"/>
        <v>--</v>
      </c>
      <c r="S32" s="596" t="str">
        <f t="shared" si="7"/>
        <v>--</v>
      </c>
      <c r="T32" s="597" t="str">
        <f t="shared" si="8"/>
        <v>--</v>
      </c>
      <c r="U32" s="608">
        <f t="shared" si="9"/>
      </c>
      <c r="V32" s="611">
        <f t="shared" si="10"/>
      </c>
      <c r="W32" s="537"/>
    </row>
    <row r="33" spans="2:23" s="520" customFormat="1" ht="16.5" customHeight="1">
      <c r="B33" s="534"/>
      <c r="C33" s="590"/>
      <c r="D33" s="590"/>
      <c r="E33" s="590"/>
      <c r="F33" s="612"/>
      <c r="G33" s="612"/>
      <c r="H33" s="613"/>
      <c r="I33" s="602">
        <f t="shared" si="0"/>
        <v>51.126</v>
      </c>
      <c r="J33" s="603"/>
      <c r="K33" s="604"/>
      <c r="L33" s="605">
        <f t="shared" si="1"/>
      </c>
      <c r="M33" s="606">
        <f t="shared" si="2"/>
      </c>
      <c r="N33" s="607"/>
      <c r="O33" s="608">
        <f t="shared" si="3"/>
      </c>
      <c r="P33" s="609">
        <f t="shared" si="4"/>
        <v>40</v>
      </c>
      <c r="Q33" s="610" t="str">
        <f t="shared" si="5"/>
        <v>--</v>
      </c>
      <c r="R33" s="595" t="str">
        <f t="shared" si="6"/>
        <v>--</v>
      </c>
      <c r="S33" s="596" t="str">
        <f t="shared" si="7"/>
        <v>--</v>
      </c>
      <c r="T33" s="597" t="str">
        <f t="shared" si="8"/>
        <v>--</v>
      </c>
      <c r="U33" s="608">
        <f t="shared" si="9"/>
      </c>
      <c r="V33" s="611">
        <f t="shared" si="10"/>
      </c>
      <c r="W33" s="537"/>
    </row>
    <row r="34" spans="2:23" s="520" customFormat="1" ht="16.5" customHeight="1">
      <c r="B34" s="534"/>
      <c r="C34" s="590"/>
      <c r="D34" s="590"/>
      <c r="E34" s="599"/>
      <c r="F34" s="612"/>
      <c r="G34" s="612"/>
      <c r="H34" s="613"/>
      <c r="I34" s="602">
        <f t="shared" si="0"/>
        <v>51.126</v>
      </c>
      <c r="J34" s="603"/>
      <c r="K34" s="604"/>
      <c r="L34" s="605">
        <f t="shared" si="1"/>
      </c>
      <c r="M34" s="606">
        <f t="shared" si="2"/>
      </c>
      <c r="N34" s="607"/>
      <c r="O34" s="608">
        <f t="shared" si="3"/>
      </c>
      <c r="P34" s="609">
        <f t="shared" si="4"/>
        <v>40</v>
      </c>
      <c r="Q34" s="610" t="str">
        <f t="shared" si="5"/>
        <v>--</v>
      </c>
      <c r="R34" s="595" t="str">
        <f t="shared" si="6"/>
        <v>--</v>
      </c>
      <c r="S34" s="596" t="str">
        <f t="shared" si="7"/>
        <v>--</v>
      </c>
      <c r="T34" s="597" t="str">
        <f t="shared" si="8"/>
        <v>--</v>
      </c>
      <c r="U34" s="608">
        <f t="shared" si="9"/>
      </c>
      <c r="V34" s="611">
        <f t="shared" si="10"/>
      </c>
      <c r="W34" s="537"/>
    </row>
    <row r="35" spans="2:23" s="520" customFormat="1" ht="16.5" customHeight="1">
      <c r="B35" s="534"/>
      <c r="C35" s="590"/>
      <c r="D35" s="590"/>
      <c r="E35" s="590"/>
      <c r="F35" s="612"/>
      <c r="G35" s="612"/>
      <c r="H35" s="613"/>
      <c r="I35" s="602">
        <f t="shared" si="0"/>
        <v>51.126</v>
      </c>
      <c r="J35" s="603"/>
      <c r="K35" s="604"/>
      <c r="L35" s="605">
        <f t="shared" si="1"/>
      </c>
      <c r="M35" s="606">
        <f t="shared" si="2"/>
      </c>
      <c r="N35" s="607"/>
      <c r="O35" s="608">
        <f t="shared" si="3"/>
      </c>
      <c r="P35" s="609">
        <f t="shared" si="4"/>
        <v>40</v>
      </c>
      <c r="Q35" s="610" t="str">
        <f t="shared" si="5"/>
        <v>--</v>
      </c>
      <c r="R35" s="595" t="str">
        <f t="shared" si="6"/>
        <v>--</v>
      </c>
      <c r="S35" s="596" t="str">
        <f t="shared" si="7"/>
        <v>--</v>
      </c>
      <c r="T35" s="597" t="str">
        <f t="shared" si="8"/>
        <v>--</v>
      </c>
      <c r="U35" s="608">
        <f t="shared" si="9"/>
      </c>
      <c r="V35" s="611">
        <f t="shared" si="10"/>
      </c>
      <c r="W35" s="537"/>
    </row>
    <row r="36" spans="2:23" s="520" customFormat="1" ht="16.5" customHeight="1">
      <c r="B36" s="534"/>
      <c r="C36" s="590"/>
      <c r="D36" s="590"/>
      <c r="E36" s="599"/>
      <c r="F36" s="612"/>
      <c r="G36" s="612"/>
      <c r="H36" s="613"/>
      <c r="I36" s="602">
        <f t="shared" si="0"/>
        <v>51.126</v>
      </c>
      <c r="J36" s="603"/>
      <c r="K36" s="604"/>
      <c r="L36" s="605">
        <f t="shared" si="1"/>
      </c>
      <c r="M36" s="606">
        <f t="shared" si="2"/>
      </c>
      <c r="N36" s="607"/>
      <c r="O36" s="608">
        <f t="shared" si="3"/>
      </c>
      <c r="P36" s="609">
        <f t="shared" si="4"/>
        <v>40</v>
      </c>
      <c r="Q36" s="610" t="str">
        <f t="shared" si="5"/>
        <v>--</v>
      </c>
      <c r="R36" s="595" t="str">
        <f t="shared" si="6"/>
        <v>--</v>
      </c>
      <c r="S36" s="596" t="str">
        <f t="shared" si="7"/>
        <v>--</v>
      </c>
      <c r="T36" s="597" t="str">
        <f t="shared" si="8"/>
        <v>--</v>
      </c>
      <c r="U36" s="608">
        <f t="shared" si="9"/>
      </c>
      <c r="V36" s="611">
        <f t="shared" si="10"/>
      </c>
      <c r="W36" s="537"/>
    </row>
    <row r="37" spans="2:23" s="520" customFormat="1" ht="16.5" customHeight="1">
      <c r="B37" s="534"/>
      <c r="C37" s="590"/>
      <c r="D37" s="590"/>
      <c r="E37" s="590"/>
      <c r="F37" s="612"/>
      <c r="G37" s="612"/>
      <c r="H37" s="613"/>
      <c r="I37" s="602">
        <f t="shared" si="0"/>
        <v>51.126</v>
      </c>
      <c r="J37" s="603"/>
      <c r="K37" s="604"/>
      <c r="L37" s="605">
        <f t="shared" si="1"/>
      </c>
      <c r="M37" s="606">
        <f t="shared" si="2"/>
      </c>
      <c r="N37" s="607"/>
      <c r="O37" s="608">
        <f t="shared" si="3"/>
      </c>
      <c r="P37" s="609">
        <f t="shared" si="4"/>
        <v>40</v>
      </c>
      <c r="Q37" s="610" t="str">
        <f t="shared" si="5"/>
        <v>--</v>
      </c>
      <c r="R37" s="595" t="str">
        <f t="shared" si="6"/>
        <v>--</v>
      </c>
      <c r="S37" s="596" t="str">
        <f t="shared" si="7"/>
        <v>--</v>
      </c>
      <c r="T37" s="597" t="str">
        <f t="shared" si="8"/>
        <v>--</v>
      </c>
      <c r="U37" s="608">
        <f t="shared" si="9"/>
      </c>
      <c r="V37" s="611">
        <f t="shared" si="10"/>
      </c>
      <c r="W37" s="537"/>
    </row>
    <row r="38" spans="2:23" s="520" customFormat="1" ht="16.5" customHeight="1">
      <c r="B38" s="534"/>
      <c r="C38" s="590"/>
      <c r="D38" s="590"/>
      <c r="E38" s="599"/>
      <c r="F38" s="612"/>
      <c r="G38" s="612"/>
      <c r="H38" s="613"/>
      <c r="I38" s="602">
        <f t="shared" si="0"/>
        <v>51.126</v>
      </c>
      <c r="J38" s="603"/>
      <c r="K38" s="604"/>
      <c r="L38" s="605">
        <f t="shared" si="1"/>
      </c>
      <c r="M38" s="606">
        <f t="shared" si="2"/>
      </c>
      <c r="N38" s="607"/>
      <c r="O38" s="608">
        <f t="shared" si="3"/>
      </c>
      <c r="P38" s="609">
        <f t="shared" si="4"/>
        <v>40</v>
      </c>
      <c r="Q38" s="610" t="str">
        <f t="shared" si="5"/>
        <v>--</v>
      </c>
      <c r="R38" s="595" t="str">
        <f t="shared" si="6"/>
        <v>--</v>
      </c>
      <c r="S38" s="596" t="str">
        <f t="shared" si="7"/>
        <v>--</v>
      </c>
      <c r="T38" s="597" t="str">
        <f t="shared" si="8"/>
        <v>--</v>
      </c>
      <c r="U38" s="608">
        <f t="shared" si="9"/>
      </c>
      <c r="V38" s="611">
        <f t="shared" si="10"/>
      </c>
      <c r="W38" s="537"/>
    </row>
    <row r="39" spans="2:23" s="520" customFormat="1" ht="16.5" customHeight="1">
      <c r="B39" s="534"/>
      <c r="C39" s="590"/>
      <c r="D39" s="590"/>
      <c r="E39" s="590"/>
      <c r="F39" s="612"/>
      <c r="G39" s="612"/>
      <c r="H39" s="613"/>
      <c r="I39" s="602">
        <f t="shared" si="0"/>
        <v>51.126</v>
      </c>
      <c r="J39" s="603"/>
      <c r="K39" s="604"/>
      <c r="L39" s="605">
        <f t="shared" si="1"/>
      </c>
      <c r="M39" s="606">
        <f t="shared" si="2"/>
      </c>
      <c r="N39" s="607"/>
      <c r="O39" s="608">
        <f t="shared" si="3"/>
      </c>
      <c r="P39" s="609">
        <f t="shared" si="4"/>
        <v>40</v>
      </c>
      <c r="Q39" s="610" t="str">
        <f t="shared" si="5"/>
        <v>--</v>
      </c>
      <c r="R39" s="595" t="str">
        <f t="shared" si="6"/>
        <v>--</v>
      </c>
      <c r="S39" s="596" t="str">
        <f t="shared" si="7"/>
        <v>--</v>
      </c>
      <c r="T39" s="597" t="str">
        <f t="shared" si="8"/>
        <v>--</v>
      </c>
      <c r="U39" s="608">
        <f t="shared" si="9"/>
      </c>
      <c r="V39" s="611">
        <f t="shared" si="10"/>
      </c>
      <c r="W39" s="537"/>
    </row>
    <row r="40" spans="2:23" s="520" customFormat="1" ht="16.5" customHeight="1">
      <c r="B40" s="534"/>
      <c r="C40" s="590"/>
      <c r="D40" s="590"/>
      <c r="E40" s="599"/>
      <c r="F40" s="612"/>
      <c r="G40" s="612"/>
      <c r="H40" s="613"/>
      <c r="I40" s="602">
        <f t="shared" si="0"/>
        <v>51.126</v>
      </c>
      <c r="J40" s="603"/>
      <c r="K40" s="604"/>
      <c r="L40" s="605">
        <f t="shared" si="1"/>
      </c>
      <c r="M40" s="606">
        <f t="shared" si="2"/>
      </c>
      <c r="N40" s="607"/>
      <c r="O40" s="608">
        <f t="shared" si="3"/>
      </c>
      <c r="P40" s="609">
        <f t="shared" si="4"/>
        <v>40</v>
      </c>
      <c r="Q40" s="610" t="str">
        <f t="shared" si="5"/>
        <v>--</v>
      </c>
      <c r="R40" s="595" t="str">
        <f t="shared" si="6"/>
        <v>--</v>
      </c>
      <c r="S40" s="596" t="str">
        <f t="shared" si="7"/>
        <v>--</v>
      </c>
      <c r="T40" s="597" t="str">
        <f t="shared" si="8"/>
        <v>--</v>
      </c>
      <c r="U40" s="608">
        <f t="shared" si="9"/>
      </c>
      <c r="V40" s="611">
        <f t="shared" si="10"/>
      </c>
      <c r="W40" s="537"/>
    </row>
    <row r="41" spans="2:23" s="520" customFormat="1" ht="16.5" customHeight="1">
      <c r="B41" s="534"/>
      <c r="C41" s="590"/>
      <c r="D41" s="590"/>
      <c r="E41" s="590"/>
      <c r="F41" s="612"/>
      <c r="G41" s="612"/>
      <c r="H41" s="613"/>
      <c r="I41" s="602">
        <f t="shared" si="0"/>
        <v>51.126</v>
      </c>
      <c r="J41" s="603"/>
      <c r="K41" s="604"/>
      <c r="L41" s="605">
        <f t="shared" si="1"/>
      </c>
      <c r="M41" s="606">
        <f t="shared" si="2"/>
      </c>
      <c r="N41" s="607"/>
      <c r="O41" s="608">
        <f t="shared" si="3"/>
      </c>
      <c r="P41" s="609">
        <f t="shared" si="4"/>
        <v>40</v>
      </c>
      <c r="Q41" s="610" t="str">
        <f t="shared" si="5"/>
        <v>--</v>
      </c>
      <c r="R41" s="595" t="str">
        <f t="shared" si="6"/>
        <v>--</v>
      </c>
      <c r="S41" s="596" t="str">
        <f t="shared" si="7"/>
        <v>--</v>
      </c>
      <c r="T41" s="597" t="str">
        <f t="shared" si="8"/>
        <v>--</v>
      </c>
      <c r="U41" s="608">
        <f t="shared" si="9"/>
      </c>
      <c r="V41" s="611">
        <f t="shared" si="10"/>
      </c>
      <c r="W41" s="537"/>
    </row>
    <row r="42" spans="2:23" s="520" customFormat="1" ht="16.5" customHeight="1">
      <c r="B42" s="534"/>
      <c r="C42" s="590"/>
      <c r="D42" s="590"/>
      <c r="E42" s="599"/>
      <c r="F42" s="612"/>
      <c r="G42" s="612"/>
      <c r="H42" s="613"/>
      <c r="I42" s="602">
        <f t="shared" si="0"/>
        <v>51.126</v>
      </c>
      <c r="J42" s="603"/>
      <c r="K42" s="604"/>
      <c r="L42" s="605">
        <f t="shared" si="1"/>
      </c>
      <c r="M42" s="606">
        <f t="shared" si="2"/>
      </c>
      <c r="N42" s="607"/>
      <c r="O42" s="608">
        <f t="shared" si="3"/>
      </c>
      <c r="P42" s="609">
        <f t="shared" si="4"/>
        <v>40</v>
      </c>
      <c r="Q42" s="610" t="str">
        <f t="shared" si="5"/>
        <v>--</v>
      </c>
      <c r="R42" s="595" t="str">
        <f t="shared" si="6"/>
        <v>--</v>
      </c>
      <c r="S42" s="596" t="str">
        <f t="shared" si="7"/>
        <v>--</v>
      </c>
      <c r="T42" s="597" t="str">
        <f t="shared" si="8"/>
        <v>--</v>
      </c>
      <c r="U42" s="608">
        <f t="shared" si="9"/>
      </c>
      <c r="V42" s="611">
        <f t="shared" si="10"/>
      </c>
      <c r="W42" s="537"/>
    </row>
    <row r="43" spans="2:23" s="520" customFormat="1" ht="16.5" customHeight="1">
      <c r="B43" s="534"/>
      <c r="C43" s="590"/>
      <c r="D43" s="590"/>
      <c r="E43" s="590"/>
      <c r="F43" s="612"/>
      <c r="G43" s="612"/>
      <c r="H43" s="613"/>
      <c r="I43" s="602">
        <f t="shared" si="0"/>
        <v>51.126</v>
      </c>
      <c r="J43" s="603"/>
      <c r="K43" s="604"/>
      <c r="L43" s="605">
        <f t="shared" si="1"/>
      </c>
      <c r="M43" s="606">
        <f t="shared" si="2"/>
      </c>
      <c r="N43" s="607"/>
      <c r="O43" s="608">
        <f t="shared" si="3"/>
      </c>
      <c r="P43" s="609">
        <f t="shared" si="4"/>
        <v>40</v>
      </c>
      <c r="Q43" s="610" t="str">
        <f t="shared" si="5"/>
        <v>--</v>
      </c>
      <c r="R43" s="595" t="str">
        <f t="shared" si="6"/>
        <v>--</v>
      </c>
      <c r="S43" s="596" t="str">
        <f t="shared" si="7"/>
        <v>--</v>
      </c>
      <c r="T43" s="597" t="str">
        <f t="shared" si="8"/>
        <v>--</v>
      </c>
      <c r="U43" s="608">
        <f t="shared" si="9"/>
      </c>
      <c r="V43" s="611">
        <f t="shared" si="10"/>
      </c>
      <c r="W43" s="537"/>
    </row>
    <row r="44" spans="2:23" s="520" customFormat="1" ht="16.5" customHeight="1" thickBot="1">
      <c r="B44" s="534"/>
      <c r="C44" s="614"/>
      <c r="D44" s="614"/>
      <c r="E44" s="614"/>
      <c r="F44" s="614"/>
      <c r="G44" s="614"/>
      <c r="H44" s="614"/>
      <c r="I44" s="615"/>
      <c r="J44" s="616"/>
      <c r="K44" s="616"/>
      <c r="L44" s="617"/>
      <c r="M44" s="617"/>
      <c r="N44" s="616"/>
      <c r="O44" s="618"/>
      <c r="P44" s="619"/>
      <c r="Q44" s="620"/>
      <c r="R44" s="621"/>
      <c r="S44" s="622"/>
      <c r="T44" s="623"/>
      <c r="U44" s="618"/>
      <c r="V44" s="624"/>
      <c r="W44" s="537"/>
    </row>
    <row r="45" spans="2:23" s="520" customFormat="1" ht="16.5" customHeight="1" thickBot="1" thickTop="1">
      <c r="B45" s="534"/>
      <c r="C45" s="625" t="s">
        <v>324</v>
      </c>
      <c r="D45" s="626" t="s">
        <v>323</v>
      </c>
      <c r="E45" s="627"/>
      <c r="F45" s="628"/>
      <c r="G45" s="629"/>
      <c r="H45" s="535"/>
      <c r="I45" s="535"/>
      <c r="J45" s="535"/>
      <c r="K45" s="535"/>
      <c r="L45" s="535"/>
      <c r="M45" s="535"/>
      <c r="N45" s="535"/>
      <c r="O45" s="535"/>
      <c r="P45" s="535"/>
      <c r="Q45" s="630">
        <f>SUM(Q22:Q44)</f>
        <v>541.9356</v>
      </c>
      <c r="R45" s="631">
        <f>SUM(R22:R44)</f>
        <v>0</v>
      </c>
      <c r="S45" s="632">
        <f>SUM(S22:S44)</f>
        <v>0</v>
      </c>
      <c r="T45" s="633">
        <f>SUM(T22:T44)</f>
        <v>0</v>
      </c>
      <c r="U45" s="634"/>
      <c r="V45" s="635">
        <f>ROUND(SUM(V22:V44),2)</f>
        <v>541.94</v>
      </c>
      <c r="W45" s="537"/>
    </row>
    <row r="46" spans="2:23" s="520" customFormat="1" ht="16.5" customHeight="1" thickBot="1" thickTop="1">
      <c r="B46" s="636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8"/>
    </row>
    <row r="47" spans="23:25" ht="16.5" customHeight="1" thickTop="1">
      <c r="W47" s="639"/>
      <c r="X47" s="639"/>
      <c r="Y47" s="639"/>
    </row>
    <row r="48" spans="23:25" ht="16.5" customHeight="1">
      <c r="W48" s="639"/>
      <c r="X48" s="639"/>
      <c r="Y48" s="639"/>
    </row>
    <row r="49" spans="23:25" ht="16.5" customHeight="1">
      <c r="W49" s="639"/>
      <c r="X49" s="639"/>
      <c r="Y49" s="639"/>
    </row>
    <row r="50" spans="23:25" ht="16.5" customHeight="1">
      <c r="W50" s="639"/>
      <c r="X50" s="639"/>
      <c r="Y50" s="639"/>
    </row>
    <row r="51" spans="23:25" ht="16.5" customHeight="1">
      <c r="W51" s="639"/>
      <c r="X51" s="639"/>
      <c r="Y51" s="639"/>
    </row>
    <row r="52" spans="6:25" ht="16.5" customHeight="1"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</row>
    <row r="53" spans="6:25" ht="16.5" customHeight="1"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39"/>
    </row>
    <row r="54" spans="6:25" ht="16.5" customHeight="1"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39"/>
      <c r="X54" s="639"/>
      <c r="Y54" s="639"/>
    </row>
    <row r="55" spans="6:25" ht="16.5" customHeight="1"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639"/>
      <c r="Y55" s="639"/>
    </row>
    <row r="56" spans="6:25" ht="16.5" customHeight="1">
      <c r="F56" s="639"/>
      <c r="G56" s="639"/>
      <c r="H56" s="639"/>
      <c r="I56" s="639"/>
      <c r="J56" s="639"/>
      <c r="K56" s="639"/>
      <c r="L56" s="639"/>
      <c r="M56" s="639"/>
      <c r="N56" s="639"/>
      <c r="O56" s="639"/>
      <c r="P56" s="639"/>
      <c r="Q56" s="639"/>
      <c r="R56" s="639"/>
      <c r="S56" s="639"/>
      <c r="T56" s="639"/>
      <c r="U56" s="639"/>
      <c r="V56" s="639"/>
      <c r="W56" s="639"/>
      <c r="X56" s="639"/>
      <c r="Y56" s="639"/>
    </row>
    <row r="57" spans="6:25" ht="16.5" customHeight="1">
      <c r="F57" s="639"/>
      <c r="G57" s="639"/>
      <c r="H57" s="639"/>
      <c r="I57" s="639"/>
      <c r="J57" s="639"/>
      <c r="K57" s="639"/>
      <c r="L57" s="639"/>
      <c r="M57" s="639"/>
      <c r="N57" s="639"/>
      <c r="O57" s="639"/>
      <c r="P57" s="639"/>
      <c r="Q57" s="639"/>
      <c r="R57" s="639"/>
      <c r="S57" s="639"/>
      <c r="T57" s="639"/>
      <c r="U57" s="639"/>
      <c r="V57" s="639"/>
      <c r="W57" s="639"/>
      <c r="X57" s="639"/>
      <c r="Y57" s="639"/>
    </row>
    <row r="58" spans="6:25" ht="16.5" customHeight="1"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39"/>
      <c r="X58" s="639"/>
      <c r="Y58" s="639"/>
    </row>
    <row r="59" spans="6:25" ht="16.5" customHeight="1"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639"/>
      <c r="Y59" s="639"/>
    </row>
    <row r="60" spans="6:25" ht="16.5" customHeight="1">
      <c r="F60" s="639"/>
      <c r="G60" s="639"/>
      <c r="H60" s="639"/>
      <c r="I60" s="639"/>
      <c r="J60" s="639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39"/>
      <c r="V60" s="639"/>
      <c r="W60" s="639"/>
      <c r="X60" s="639"/>
      <c r="Y60" s="639"/>
    </row>
    <row r="61" spans="6:25" ht="16.5" customHeight="1">
      <c r="F61" s="639"/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39"/>
    </row>
    <row r="62" spans="6:25" ht="16.5" customHeight="1">
      <c r="F62" s="639"/>
      <c r="G62" s="639"/>
      <c r="H62" s="639"/>
      <c r="I62" s="639"/>
      <c r="J62" s="639"/>
      <c r="K62" s="639"/>
      <c r="L62" s="639"/>
      <c r="M62" s="639"/>
      <c r="N62" s="639"/>
      <c r="O62" s="639"/>
      <c r="P62" s="639"/>
      <c r="Q62" s="639"/>
      <c r="R62" s="639"/>
      <c r="S62" s="639"/>
      <c r="T62" s="639"/>
      <c r="U62" s="639"/>
      <c r="V62" s="639"/>
      <c r="W62" s="639"/>
      <c r="X62" s="639"/>
      <c r="Y62" s="639"/>
    </row>
    <row r="63" spans="6:25" ht="16.5" customHeight="1">
      <c r="F63" s="639"/>
      <c r="G63" s="639"/>
      <c r="H63" s="639"/>
      <c r="I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  <c r="Y63" s="639"/>
    </row>
    <row r="64" spans="6:25" ht="16.5" customHeight="1">
      <c r="F64" s="639"/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639"/>
      <c r="Y64" s="639"/>
    </row>
    <row r="65" spans="6:25" ht="16.5" customHeight="1">
      <c r="F65" s="639"/>
      <c r="G65" s="639"/>
      <c r="H65" s="639"/>
      <c r="I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39"/>
    </row>
    <row r="66" spans="6:25" ht="16.5" customHeight="1">
      <c r="F66" s="639"/>
      <c r="G66" s="639"/>
      <c r="H66" s="639"/>
      <c r="I66" s="639"/>
      <c r="J66" s="639"/>
      <c r="K66" s="639"/>
      <c r="L66" s="639"/>
      <c r="M66" s="639"/>
      <c r="N66" s="639"/>
      <c r="O66" s="639"/>
      <c r="P66" s="639"/>
      <c r="Q66" s="639"/>
      <c r="R66" s="639"/>
      <c r="S66" s="639"/>
      <c r="T66" s="639"/>
      <c r="U66" s="639"/>
      <c r="V66" s="639"/>
      <c r="W66" s="639"/>
      <c r="X66" s="639"/>
      <c r="Y66" s="639"/>
    </row>
    <row r="67" spans="6:25" ht="16.5" customHeight="1"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</row>
    <row r="68" spans="6:25" ht="16.5" customHeight="1">
      <c r="F68" s="639"/>
      <c r="G68" s="639"/>
      <c r="H68" s="639"/>
      <c r="I68" s="639"/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</row>
    <row r="69" spans="6:25" ht="16.5" customHeight="1"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</row>
    <row r="70" spans="6:25" ht="16.5" customHeight="1"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  <c r="V70" s="639"/>
      <c r="W70" s="639"/>
      <c r="X70" s="639"/>
      <c r="Y70" s="639"/>
    </row>
    <row r="71" spans="6:25" ht="16.5" customHeight="1"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39"/>
      <c r="V71" s="639"/>
      <c r="W71" s="639"/>
      <c r="X71" s="639"/>
      <c r="Y71" s="639"/>
    </row>
    <row r="72" spans="6:25" ht="16.5" customHeight="1"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639"/>
      <c r="Y72" s="639"/>
    </row>
    <row r="73" spans="6:25" ht="16.5" customHeight="1">
      <c r="F73" s="639"/>
      <c r="G73" s="639"/>
      <c r="H73" s="639"/>
      <c r="I73" s="639"/>
      <c r="J73" s="639"/>
      <c r="K73" s="639"/>
      <c r="L73" s="639"/>
      <c r="M73" s="639"/>
      <c r="N73" s="639"/>
      <c r="O73" s="639"/>
      <c r="P73" s="639"/>
      <c r="Q73" s="639"/>
      <c r="R73" s="639"/>
      <c r="S73" s="639"/>
      <c r="T73" s="639"/>
      <c r="U73" s="639"/>
      <c r="V73" s="639"/>
      <c r="W73" s="639"/>
      <c r="X73" s="639"/>
      <c r="Y73" s="639"/>
    </row>
    <row r="74" spans="6:25" ht="16.5" customHeight="1">
      <c r="F74" s="639"/>
      <c r="G74" s="639"/>
      <c r="H74" s="639"/>
      <c r="I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9"/>
      <c r="X74" s="639"/>
      <c r="Y74" s="639"/>
    </row>
    <row r="75" spans="6:25" ht="16.5" customHeight="1"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S75" s="639"/>
      <c r="T75" s="639"/>
      <c r="U75" s="639"/>
      <c r="V75" s="639"/>
      <c r="W75" s="639"/>
      <c r="X75" s="639"/>
      <c r="Y75" s="639"/>
    </row>
    <row r="76" spans="6:25" ht="16.5" customHeight="1">
      <c r="F76" s="639"/>
      <c r="G76" s="639"/>
      <c r="H76" s="639"/>
      <c r="I76" s="639"/>
      <c r="J76" s="639"/>
      <c r="K76" s="639"/>
      <c r="L76" s="639"/>
      <c r="M76" s="639"/>
      <c r="N76" s="639"/>
      <c r="O76" s="639"/>
      <c r="P76" s="639"/>
      <c r="Q76" s="639"/>
      <c r="R76" s="639"/>
      <c r="S76" s="639"/>
      <c r="T76" s="639"/>
      <c r="U76" s="639"/>
      <c r="V76" s="639"/>
      <c r="W76" s="639"/>
      <c r="X76" s="639"/>
      <c r="Y76" s="639"/>
    </row>
    <row r="77" spans="6:25" ht="16.5" customHeight="1">
      <c r="F77" s="639"/>
      <c r="G77" s="639"/>
      <c r="H77" s="639"/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S77" s="639"/>
      <c r="T77" s="639"/>
      <c r="U77" s="639"/>
      <c r="V77" s="639"/>
      <c r="W77" s="639"/>
      <c r="X77" s="639"/>
      <c r="Y77" s="639"/>
    </row>
    <row r="78" spans="6:25" ht="16.5" customHeight="1">
      <c r="F78" s="639"/>
      <c r="G78" s="639"/>
      <c r="H78" s="639"/>
      <c r="I78" s="639"/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39"/>
      <c r="U78" s="639"/>
      <c r="V78" s="639"/>
      <c r="W78" s="639"/>
      <c r="X78" s="639"/>
      <c r="Y78" s="639"/>
    </row>
    <row r="79" spans="6:25" ht="16.5" customHeight="1">
      <c r="F79" s="639"/>
      <c r="G79" s="639"/>
      <c r="H79" s="639"/>
      <c r="I79" s="639"/>
      <c r="J79" s="639"/>
      <c r="K79" s="639"/>
      <c r="L79" s="639"/>
      <c r="M79" s="639"/>
      <c r="N79" s="639"/>
      <c r="O79" s="639"/>
      <c r="P79" s="639"/>
      <c r="Q79" s="639"/>
      <c r="R79" s="639"/>
      <c r="S79" s="639"/>
      <c r="T79" s="639"/>
      <c r="U79" s="639"/>
      <c r="V79" s="639"/>
      <c r="W79" s="639"/>
      <c r="X79" s="639"/>
      <c r="Y79" s="639"/>
    </row>
    <row r="80" spans="6:25" ht="16.5" customHeight="1">
      <c r="F80" s="639"/>
      <c r="G80" s="639"/>
      <c r="H80" s="639"/>
      <c r="I80" s="639"/>
      <c r="J80" s="639"/>
      <c r="K80" s="639"/>
      <c r="L80" s="639"/>
      <c r="M80" s="639"/>
      <c r="N80" s="639"/>
      <c r="O80" s="639"/>
      <c r="P80" s="639"/>
      <c r="Q80" s="639"/>
      <c r="R80" s="639"/>
      <c r="S80" s="639"/>
      <c r="T80" s="639"/>
      <c r="U80" s="639"/>
      <c r="V80" s="639"/>
      <c r="W80" s="639"/>
      <c r="X80" s="639"/>
      <c r="Y80" s="639"/>
    </row>
    <row r="81" spans="6:25" ht="16.5" customHeight="1">
      <c r="F81" s="639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39"/>
      <c r="Y81" s="639"/>
    </row>
    <row r="82" spans="6:25" ht="16.5" customHeight="1">
      <c r="F82" s="639"/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39"/>
      <c r="Y82" s="639"/>
    </row>
    <row r="83" spans="6:25" ht="16.5" customHeight="1"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39"/>
      <c r="V83" s="639"/>
      <c r="W83" s="639"/>
      <c r="X83" s="639"/>
      <c r="Y83" s="639"/>
    </row>
    <row r="84" spans="6:25" ht="16.5" customHeight="1"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</row>
    <row r="85" spans="6:25" ht="16.5" customHeight="1"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39"/>
      <c r="S85" s="639"/>
      <c r="T85" s="639"/>
      <c r="U85" s="639"/>
      <c r="V85" s="639"/>
      <c r="W85" s="639"/>
      <c r="X85" s="639"/>
      <c r="Y85" s="639"/>
    </row>
    <row r="86" spans="6:25" ht="16.5" customHeight="1"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639"/>
      <c r="U86" s="639"/>
      <c r="V86" s="639"/>
      <c r="W86" s="639"/>
      <c r="X86" s="639"/>
      <c r="Y86" s="639"/>
    </row>
    <row r="87" spans="6:25" ht="16.5" customHeight="1"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</row>
    <row r="88" spans="6:25" ht="16.5" customHeight="1">
      <c r="F88" s="639"/>
      <c r="G88" s="639"/>
      <c r="H88" s="639"/>
      <c r="I88" s="639"/>
      <c r="J88" s="639"/>
      <c r="K88" s="639"/>
      <c r="L88" s="639"/>
      <c r="M88" s="639"/>
      <c r="N88" s="639"/>
      <c r="O88" s="639"/>
      <c r="P88" s="639"/>
      <c r="Q88" s="639"/>
      <c r="R88" s="639"/>
      <c r="S88" s="639"/>
      <c r="T88" s="639"/>
      <c r="U88" s="639"/>
      <c r="V88" s="639"/>
      <c r="W88" s="639"/>
      <c r="X88" s="639"/>
      <c r="Y88" s="639"/>
    </row>
    <row r="89" spans="6:25" ht="16.5" customHeight="1">
      <c r="F89" s="639"/>
      <c r="G89" s="639"/>
      <c r="H89" s="639"/>
      <c r="I89" s="639"/>
      <c r="J89" s="639"/>
      <c r="K89" s="639"/>
      <c r="L89" s="639"/>
      <c r="M89" s="639"/>
      <c r="N89" s="639"/>
      <c r="O89" s="639"/>
      <c r="P89" s="639"/>
      <c r="Q89" s="639"/>
      <c r="R89" s="639"/>
      <c r="S89" s="639"/>
      <c r="T89" s="639"/>
      <c r="U89" s="639"/>
      <c r="V89" s="639"/>
      <c r="W89" s="639"/>
      <c r="X89" s="639"/>
      <c r="Y89" s="639"/>
    </row>
    <row r="90" spans="6:25" ht="16.5" customHeight="1">
      <c r="F90" s="639"/>
      <c r="G90" s="639"/>
      <c r="H90" s="639"/>
      <c r="I90" s="639"/>
      <c r="J90" s="639"/>
      <c r="K90" s="639"/>
      <c r="L90" s="639"/>
      <c r="M90" s="639"/>
      <c r="N90" s="639"/>
      <c r="O90" s="639"/>
      <c r="P90" s="639"/>
      <c r="Q90" s="639"/>
      <c r="R90" s="639"/>
      <c r="S90" s="639"/>
      <c r="T90" s="639"/>
      <c r="U90" s="639"/>
      <c r="V90" s="639"/>
      <c r="W90" s="639"/>
      <c r="X90" s="639"/>
      <c r="Y90" s="639"/>
    </row>
    <row r="91" spans="6:25" ht="16.5" customHeight="1">
      <c r="F91" s="639"/>
      <c r="G91" s="639"/>
      <c r="H91" s="639"/>
      <c r="I91" s="639"/>
      <c r="J91" s="639"/>
      <c r="K91" s="639"/>
      <c r="L91" s="639"/>
      <c r="M91" s="639"/>
      <c r="N91" s="639"/>
      <c r="O91" s="639"/>
      <c r="P91" s="639"/>
      <c r="Q91" s="639"/>
      <c r="R91" s="639"/>
      <c r="S91" s="639"/>
      <c r="T91" s="639"/>
      <c r="U91" s="639"/>
      <c r="V91" s="639"/>
      <c r="W91" s="639"/>
      <c r="X91" s="639"/>
      <c r="Y91" s="639"/>
    </row>
    <row r="92" spans="6:25" ht="16.5" customHeight="1"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39"/>
      <c r="T92" s="639"/>
      <c r="U92" s="639"/>
      <c r="V92" s="639"/>
      <c r="W92" s="639"/>
      <c r="X92" s="639"/>
      <c r="Y92" s="639"/>
    </row>
    <row r="93" spans="6:25" ht="16.5" customHeight="1">
      <c r="F93" s="639"/>
      <c r="G93" s="639"/>
      <c r="H93" s="639"/>
      <c r="I93" s="639"/>
      <c r="J93" s="639"/>
      <c r="K93" s="639"/>
      <c r="L93" s="639"/>
      <c r="M93" s="639"/>
      <c r="N93" s="639"/>
      <c r="O93" s="639"/>
      <c r="P93" s="639"/>
      <c r="Q93" s="639"/>
      <c r="R93" s="639"/>
      <c r="S93" s="639"/>
      <c r="T93" s="639"/>
      <c r="U93" s="639"/>
      <c r="V93" s="639"/>
      <c r="W93" s="639"/>
      <c r="X93" s="639"/>
      <c r="Y93" s="639"/>
    </row>
    <row r="94" spans="6:25" ht="16.5" customHeight="1"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39"/>
      <c r="T94" s="639"/>
      <c r="U94" s="639"/>
      <c r="V94" s="639"/>
      <c r="W94" s="639"/>
      <c r="X94" s="639"/>
      <c r="Y94" s="639"/>
    </row>
    <row r="95" spans="6:25" ht="16.5" customHeight="1">
      <c r="F95" s="639"/>
      <c r="G95" s="639"/>
      <c r="H95" s="639"/>
      <c r="I95" s="639"/>
      <c r="J95" s="639"/>
      <c r="K95" s="639"/>
      <c r="L95" s="639"/>
      <c r="M95" s="639"/>
      <c r="N95" s="639"/>
      <c r="O95" s="639"/>
      <c r="P95" s="639"/>
      <c r="Q95" s="639"/>
      <c r="R95" s="639"/>
      <c r="S95" s="639"/>
      <c r="T95" s="639"/>
      <c r="U95" s="639"/>
      <c r="V95" s="639"/>
      <c r="W95" s="639"/>
      <c r="X95" s="639"/>
      <c r="Y95" s="639"/>
    </row>
    <row r="96" spans="6:25" ht="16.5" customHeight="1">
      <c r="F96" s="639"/>
      <c r="G96" s="639"/>
      <c r="H96" s="639"/>
      <c r="I96" s="639"/>
      <c r="J96" s="639"/>
      <c r="K96" s="639"/>
      <c r="L96" s="639"/>
      <c r="M96" s="639"/>
      <c r="N96" s="639"/>
      <c r="O96" s="639"/>
      <c r="P96" s="639"/>
      <c r="Q96" s="639"/>
      <c r="R96" s="639"/>
      <c r="S96" s="639"/>
      <c r="T96" s="639"/>
      <c r="U96" s="639"/>
      <c r="V96" s="639"/>
      <c r="W96" s="639"/>
      <c r="X96" s="639"/>
      <c r="Y96" s="639"/>
    </row>
    <row r="97" spans="6:25" ht="16.5" customHeight="1">
      <c r="F97" s="639"/>
      <c r="G97" s="639"/>
      <c r="H97" s="639"/>
      <c r="I97" s="639"/>
      <c r="J97" s="639"/>
      <c r="K97" s="639"/>
      <c r="L97" s="639"/>
      <c r="M97" s="639"/>
      <c r="N97" s="639"/>
      <c r="O97" s="639"/>
      <c r="P97" s="639"/>
      <c r="Q97" s="639"/>
      <c r="R97" s="639"/>
      <c r="S97" s="639"/>
      <c r="T97" s="639"/>
      <c r="U97" s="639"/>
      <c r="V97" s="639"/>
      <c r="W97" s="639"/>
      <c r="X97" s="639"/>
      <c r="Y97" s="639"/>
    </row>
    <row r="98" spans="6:25" ht="16.5" customHeight="1">
      <c r="F98" s="639"/>
      <c r="G98" s="639"/>
      <c r="H98" s="639"/>
      <c r="I98" s="639"/>
      <c r="J98" s="639"/>
      <c r="K98" s="639"/>
      <c r="L98" s="639"/>
      <c r="M98" s="639"/>
      <c r="N98" s="639"/>
      <c r="O98" s="639"/>
      <c r="P98" s="639"/>
      <c r="Q98" s="639"/>
      <c r="R98" s="639"/>
      <c r="S98" s="639"/>
      <c r="T98" s="639"/>
      <c r="U98" s="639"/>
      <c r="V98" s="639"/>
      <c r="W98" s="639"/>
      <c r="X98" s="639"/>
      <c r="Y98" s="639"/>
    </row>
    <row r="99" spans="6:25" ht="16.5" customHeight="1">
      <c r="F99" s="639"/>
      <c r="G99" s="639"/>
      <c r="H99" s="639"/>
      <c r="I99" s="639"/>
      <c r="J99" s="639"/>
      <c r="K99" s="639"/>
      <c r="L99" s="639"/>
      <c r="M99" s="639"/>
      <c r="N99" s="639"/>
      <c r="O99" s="639"/>
      <c r="P99" s="639"/>
      <c r="Q99" s="639"/>
      <c r="R99" s="639"/>
      <c r="S99" s="639"/>
      <c r="T99" s="639"/>
      <c r="U99" s="639"/>
      <c r="V99" s="639"/>
      <c r="W99" s="639"/>
      <c r="X99" s="639"/>
      <c r="Y99" s="639"/>
    </row>
    <row r="100" spans="6:25" ht="16.5" customHeight="1">
      <c r="F100" s="639"/>
      <c r="G100" s="639"/>
      <c r="H100" s="639"/>
      <c r="I100" s="639"/>
      <c r="J100" s="639"/>
      <c r="K100" s="639"/>
      <c r="L100" s="639"/>
      <c r="M100" s="639"/>
      <c r="N100" s="639"/>
      <c r="O100" s="639"/>
      <c r="P100" s="639"/>
      <c r="Q100" s="639"/>
      <c r="R100" s="639"/>
      <c r="S100" s="639"/>
      <c r="T100" s="639"/>
      <c r="U100" s="639"/>
      <c r="V100" s="639"/>
      <c r="W100" s="639"/>
      <c r="X100" s="639"/>
      <c r="Y100" s="639"/>
    </row>
    <row r="101" spans="6:25" ht="16.5" customHeight="1">
      <c r="F101" s="639"/>
      <c r="G101" s="639"/>
      <c r="H101" s="639"/>
      <c r="I101" s="639"/>
      <c r="J101" s="639"/>
      <c r="K101" s="639"/>
      <c r="L101" s="639"/>
      <c r="M101" s="639"/>
      <c r="N101" s="639"/>
      <c r="O101" s="639"/>
      <c r="P101" s="639"/>
      <c r="Q101" s="639"/>
      <c r="R101" s="639"/>
      <c r="S101" s="639"/>
      <c r="T101" s="639"/>
      <c r="U101" s="639"/>
      <c r="V101" s="639"/>
      <c r="W101" s="639"/>
      <c r="X101" s="639"/>
      <c r="Y101" s="639"/>
    </row>
    <row r="102" spans="6:25" ht="16.5" customHeight="1">
      <c r="F102" s="639"/>
      <c r="G102" s="639"/>
      <c r="H102" s="639"/>
      <c r="I102" s="639"/>
      <c r="J102" s="639"/>
      <c r="K102" s="639"/>
      <c r="L102" s="639"/>
      <c r="M102" s="639"/>
      <c r="N102" s="639"/>
      <c r="O102" s="639"/>
      <c r="P102" s="639"/>
      <c r="Q102" s="639"/>
      <c r="R102" s="639"/>
      <c r="S102" s="639"/>
      <c r="T102" s="639"/>
      <c r="U102" s="639"/>
      <c r="V102" s="639"/>
      <c r="W102" s="639"/>
      <c r="X102" s="639"/>
      <c r="Y102" s="639"/>
    </row>
    <row r="103" spans="6:25" ht="16.5" customHeight="1">
      <c r="F103" s="639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  <c r="R103" s="639"/>
      <c r="S103" s="639"/>
      <c r="T103" s="639"/>
      <c r="U103" s="639"/>
      <c r="V103" s="639"/>
      <c r="W103" s="639"/>
      <c r="X103" s="639"/>
      <c r="Y103" s="639"/>
    </row>
    <row r="104" spans="6:25" ht="16.5" customHeight="1">
      <c r="F104" s="639"/>
      <c r="G104" s="639"/>
      <c r="H104" s="639"/>
      <c r="I104" s="639"/>
      <c r="J104" s="639"/>
      <c r="K104" s="639"/>
      <c r="L104" s="639"/>
      <c r="M104" s="639"/>
      <c r="N104" s="639"/>
      <c r="O104" s="639"/>
      <c r="P104" s="639"/>
      <c r="Q104" s="639"/>
      <c r="R104" s="639"/>
      <c r="S104" s="639"/>
      <c r="T104" s="639"/>
      <c r="U104" s="639"/>
      <c r="V104" s="639"/>
      <c r="W104" s="639"/>
      <c r="X104" s="639"/>
      <c r="Y104" s="639"/>
    </row>
    <row r="105" spans="6:25" ht="16.5" customHeight="1">
      <c r="F105" s="639"/>
      <c r="G105" s="639"/>
      <c r="H105" s="639"/>
      <c r="I105" s="639"/>
      <c r="J105" s="639"/>
      <c r="K105" s="639"/>
      <c r="L105" s="639"/>
      <c r="M105" s="639"/>
      <c r="N105" s="639"/>
      <c r="O105" s="639"/>
      <c r="P105" s="639"/>
      <c r="Q105" s="639"/>
      <c r="R105" s="639"/>
      <c r="S105" s="639"/>
      <c r="T105" s="639"/>
      <c r="U105" s="639"/>
      <c r="V105" s="639"/>
      <c r="W105" s="639"/>
      <c r="X105" s="639"/>
      <c r="Y105" s="639"/>
    </row>
    <row r="106" spans="6:25" ht="16.5" customHeight="1"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39"/>
      <c r="V106" s="639"/>
      <c r="W106" s="639"/>
      <c r="X106" s="639"/>
      <c r="Y106" s="639"/>
    </row>
    <row r="107" spans="6:25" ht="16.5" customHeight="1">
      <c r="F107" s="639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39"/>
      <c r="V107" s="639"/>
      <c r="W107" s="639"/>
      <c r="X107" s="639"/>
      <c r="Y107" s="639"/>
    </row>
    <row r="108" spans="6:25" ht="16.5" customHeight="1">
      <c r="F108" s="639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39"/>
      <c r="V108" s="639"/>
      <c r="W108" s="639"/>
      <c r="X108" s="639"/>
      <c r="Y108" s="639"/>
    </row>
    <row r="109" spans="6:25" ht="16.5" customHeight="1">
      <c r="F109" s="639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39"/>
      <c r="V109" s="639"/>
      <c r="W109" s="639"/>
      <c r="X109" s="639"/>
      <c r="Y109" s="639"/>
    </row>
    <row r="110" spans="6:25" ht="16.5" customHeight="1">
      <c r="F110" s="639"/>
      <c r="G110" s="639"/>
      <c r="H110" s="639"/>
      <c r="I110" s="639"/>
      <c r="J110" s="639"/>
      <c r="K110" s="639"/>
      <c r="L110" s="639"/>
      <c r="M110" s="639"/>
      <c r="N110" s="639"/>
      <c r="O110" s="639"/>
      <c r="P110" s="639"/>
      <c r="Q110" s="639"/>
      <c r="R110" s="639"/>
      <c r="S110" s="639"/>
      <c r="T110" s="639"/>
      <c r="U110" s="639"/>
      <c r="V110" s="639"/>
      <c r="W110" s="639"/>
      <c r="X110" s="639"/>
      <c r="Y110" s="639"/>
    </row>
    <row r="111" spans="6:25" ht="16.5" customHeight="1">
      <c r="F111" s="639"/>
      <c r="G111" s="639"/>
      <c r="H111" s="639"/>
      <c r="I111" s="639"/>
      <c r="J111" s="639"/>
      <c r="K111" s="639"/>
      <c r="L111" s="639"/>
      <c r="M111" s="639"/>
      <c r="N111" s="639"/>
      <c r="O111" s="639"/>
      <c r="P111" s="639"/>
      <c r="Q111" s="639"/>
      <c r="R111" s="639"/>
      <c r="S111" s="639"/>
      <c r="T111" s="639"/>
      <c r="U111" s="639"/>
      <c r="V111" s="639"/>
      <c r="W111" s="639"/>
      <c r="X111" s="639"/>
      <c r="Y111" s="639"/>
    </row>
    <row r="112" spans="6:25" ht="16.5" customHeight="1">
      <c r="F112" s="639"/>
      <c r="G112" s="639"/>
      <c r="H112" s="639"/>
      <c r="I112" s="639"/>
      <c r="J112" s="639"/>
      <c r="K112" s="639"/>
      <c r="L112" s="639"/>
      <c r="M112" s="639"/>
      <c r="N112" s="639"/>
      <c r="O112" s="639"/>
      <c r="P112" s="639"/>
      <c r="Q112" s="639"/>
      <c r="R112" s="639"/>
      <c r="S112" s="639"/>
      <c r="T112" s="639"/>
      <c r="U112" s="639"/>
      <c r="V112" s="639"/>
      <c r="W112" s="639"/>
      <c r="X112" s="639"/>
      <c r="Y112" s="639"/>
    </row>
    <row r="113" spans="6:25" ht="16.5" customHeight="1">
      <c r="F113" s="639"/>
      <c r="G113" s="639"/>
      <c r="H113" s="639"/>
      <c r="I113" s="639"/>
      <c r="J113" s="639"/>
      <c r="K113" s="639"/>
      <c r="L113" s="639"/>
      <c r="M113" s="639"/>
      <c r="N113" s="639"/>
      <c r="O113" s="639"/>
      <c r="P113" s="639"/>
      <c r="Q113" s="639"/>
      <c r="R113" s="639"/>
      <c r="S113" s="639"/>
      <c r="T113" s="639"/>
      <c r="U113" s="639"/>
      <c r="V113" s="639"/>
      <c r="W113" s="639"/>
      <c r="X113" s="639"/>
      <c r="Y113" s="639"/>
    </row>
    <row r="114" spans="6:25" ht="16.5" customHeight="1">
      <c r="F114" s="639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39"/>
      <c r="V114" s="639"/>
      <c r="W114" s="639"/>
      <c r="X114" s="639"/>
      <c r="Y114" s="639"/>
    </row>
    <row r="115" spans="6:25" ht="16.5" customHeight="1">
      <c r="F115" s="639"/>
      <c r="G115" s="639"/>
      <c r="H115" s="639"/>
      <c r="I115" s="639"/>
      <c r="J115" s="639"/>
      <c r="K115" s="639"/>
      <c r="L115" s="639"/>
      <c r="M115" s="639"/>
      <c r="N115" s="639"/>
      <c r="O115" s="639"/>
      <c r="P115" s="639"/>
      <c r="Q115" s="639"/>
      <c r="R115" s="639"/>
      <c r="S115" s="639"/>
      <c r="T115" s="639"/>
      <c r="U115" s="639"/>
      <c r="V115" s="639"/>
      <c r="W115" s="639"/>
      <c r="X115" s="639"/>
      <c r="Y115" s="639"/>
    </row>
    <row r="116" spans="6:25" ht="16.5" customHeight="1"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39"/>
      <c r="R116" s="639"/>
      <c r="S116" s="639"/>
      <c r="T116" s="639"/>
      <c r="U116" s="639"/>
      <c r="V116" s="639"/>
      <c r="W116" s="639"/>
      <c r="X116" s="639"/>
      <c r="Y116" s="639"/>
    </row>
    <row r="117" spans="6:25" ht="16.5" customHeight="1"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39"/>
      <c r="R117" s="639"/>
      <c r="S117" s="639"/>
      <c r="T117" s="639"/>
      <c r="U117" s="639"/>
      <c r="V117" s="639"/>
      <c r="W117" s="639"/>
      <c r="X117" s="639"/>
      <c r="Y117" s="639"/>
    </row>
    <row r="118" spans="6:25" ht="16.5" customHeight="1">
      <c r="F118" s="639"/>
      <c r="G118" s="639"/>
      <c r="H118" s="639"/>
      <c r="I118" s="639"/>
      <c r="J118" s="639"/>
      <c r="K118" s="639"/>
      <c r="L118" s="639"/>
      <c r="M118" s="639"/>
      <c r="N118" s="639"/>
      <c r="O118" s="639"/>
      <c r="P118" s="639"/>
      <c r="Q118" s="639"/>
      <c r="R118" s="639"/>
      <c r="S118" s="639"/>
      <c r="T118" s="639"/>
      <c r="U118" s="639"/>
      <c r="V118" s="639"/>
      <c r="W118" s="639"/>
      <c r="X118" s="639"/>
      <c r="Y118" s="639"/>
    </row>
    <row r="119" spans="6:25" ht="16.5" customHeight="1">
      <c r="F119" s="639"/>
      <c r="G119" s="639"/>
      <c r="H119" s="639"/>
      <c r="I119" s="639"/>
      <c r="J119" s="639"/>
      <c r="K119" s="639"/>
      <c r="L119" s="639"/>
      <c r="M119" s="639"/>
      <c r="N119" s="639"/>
      <c r="O119" s="639"/>
      <c r="P119" s="639"/>
      <c r="Q119" s="639"/>
      <c r="R119" s="639"/>
      <c r="S119" s="639"/>
      <c r="T119" s="639"/>
      <c r="U119" s="639"/>
      <c r="V119" s="639"/>
      <c r="W119" s="639"/>
      <c r="X119" s="639"/>
      <c r="Y119" s="639"/>
    </row>
    <row r="120" spans="6:25" ht="16.5" customHeight="1">
      <c r="F120" s="639"/>
      <c r="G120" s="639"/>
      <c r="H120" s="639"/>
      <c r="I120" s="639"/>
      <c r="J120" s="639"/>
      <c r="K120" s="639"/>
      <c r="L120" s="639"/>
      <c r="M120" s="639"/>
      <c r="N120" s="639"/>
      <c r="O120" s="639"/>
      <c r="P120" s="639"/>
      <c r="Q120" s="639"/>
      <c r="R120" s="639"/>
      <c r="S120" s="639"/>
      <c r="T120" s="639"/>
      <c r="U120" s="639"/>
      <c r="V120" s="639"/>
      <c r="W120" s="639"/>
      <c r="X120" s="639"/>
      <c r="Y120" s="639"/>
    </row>
    <row r="121" spans="6:25" ht="16.5" customHeight="1">
      <c r="F121" s="639"/>
      <c r="G121" s="639"/>
      <c r="H121" s="639"/>
      <c r="I121" s="639"/>
      <c r="J121" s="639"/>
      <c r="K121" s="639"/>
      <c r="L121" s="639"/>
      <c r="M121" s="639"/>
      <c r="N121" s="639"/>
      <c r="O121" s="639"/>
      <c r="P121" s="639"/>
      <c r="Q121" s="639"/>
      <c r="R121" s="639"/>
      <c r="S121" s="639"/>
      <c r="T121" s="639"/>
      <c r="U121" s="639"/>
      <c r="V121" s="639"/>
      <c r="W121" s="639"/>
      <c r="X121" s="639"/>
      <c r="Y121" s="639"/>
    </row>
    <row r="122" spans="6:25" ht="16.5" customHeight="1">
      <c r="F122" s="639"/>
      <c r="G122" s="639"/>
      <c r="H122" s="639"/>
      <c r="I122" s="639"/>
      <c r="J122" s="639"/>
      <c r="K122" s="639"/>
      <c r="L122" s="639"/>
      <c r="M122" s="639"/>
      <c r="N122" s="639"/>
      <c r="O122" s="639"/>
      <c r="P122" s="639"/>
      <c r="Q122" s="639"/>
      <c r="R122" s="639"/>
      <c r="S122" s="639"/>
      <c r="T122" s="639"/>
      <c r="U122" s="639"/>
      <c r="V122" s="639"/>
      <c r="W122" s="639"/>
      <c r="X122" s="639"/>
      <c r="Y122" s="639"/>
    </row>
    <row r="123" spans="6:25" ht="16.5" customHeight="1">
      <c r="F123" s="639"/>
      <c r="G123" s="639"/>
      <c r="H123" s="639"/>
      <c r="I123" s="639"/>
      <c r="J123" s="639"/>
      <c r="K123" s="639"/>
      <c r="L123" s="639"/>
      <c r="M123" s="639"/>
      <c r="N123" s="639"/>
      <c r="O123" s="639"/>
      <c r="P123" s="639"/>
      <c r="Q123" s="639"/>
      <c r="R123" s="639"/>
      <c r="S123" s="639"/>
      <c r="T123" s="639"/>
      <c r="U123" s="639"/>
      <c r="V123" s="639"/>
      <c r="W123" s="639"/>
      <c r="X123" s="639"/>
      <c r="Y123" s="639"/>
    </row>
    <row r="124" spans="6:25" ht="16.5" customHeight="1">
      <c r="F124" s="639"/>
      <c r="G124" s="639"/>
      <c r="H124" s="639"/>
      <c r="I124" s="639"/>
      <c r="J124" s="639"/>
      <c r="K124" s="639"/>
      <c r="L124" s="639"/>
      <c r="M124" s="639"/>
      <c r="N124" s="639"/>
      <c r="O124" s="639"/>
      <c r="P124" s="639"/>
      <c r="Q124" s="639"/>
      <c r="R124" s="639"/>
      <c r="S124" s="639"/>
      <c r="T124" s="639"/>
      <c r="U124" s="639"/>
      <c r="V124" s="639"/>
      <c r="W124" s="639"/>
      <c r="X124" s="639"/>
      <c r="Y124" s="639"/>
    </row>
    <row r="125" spans="6:25" ht="16.5" customHeight="1">
      <c r="F125" s="639"/>
      <c r="G125" s="639"/>
      <c r="H125" s="639"/>
      <c r="I125" s="639"/>
      <c r="J125" s="639"/>
      <c r="K125" s="639"/>
      <c r="L125" s="639"/>
      <c r="M125" s="639"/>
      <c r="N125" s="639"/>
      <c r="O125" s="639"/>
      <c r="P125" s="639"/>
      <c r="Q125" s="639"/>
      <c r="R125" s="639"/>
      <c r="S125" s="639"/>
      <c r="T125" s="639"/>
      <c r="U125" s="639"/>
      <c r="V125" s="639"/>
      <c r="W125" s="639"/>
      <c r="X125" s="639"/>
      <c r="Y125" s="639"/>
    </row>
    <row r="126" spans="6:25" ht="16.5" customHeight="1"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639"/>
      <c r="Q126" s="639"/>
      <c r="R126" s="639"/>
      <c r="S126" s="639"/>
      <c r="T126" s="639"/>
      <c r="U126" s="639"/>
      <c r="V126" s="639"/>
      <c r="W126" s="639"/>
      <c r="X126" s="639"/>
      <c r="Y126" s="639"/>
    </row>
    <row r="127" spans="6:25" ht="16.5" customHeight="1"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639"/>
      <c r="Q127" s="639"/>
      <c r="R127" s="639"/>
      <c r="S127" s="639"/>
      <c r="T127" s="639"/>
      <c r="U127" s="639"/>
      <c r="V127" s="639"/>
      <c r="W127" s="639"/>
      <c r="X127" s="639"/>
      <c r="Y127" s="639"/>
    </row>
    <row r="128" spans="6:25" ht="16.5" customHeight="1">
      <c r="F128" s="639"/>
      <c r="G128" s="639"/>
      <c r="H128" s="639"/>
      <c r="I128" s="639"/>
      <c r="J128" s="639"/>
      <c r="K128" s="639"/>
      <c r="L128" s="639"/>
      <c r="M128" s="639"/>
      <c r="N128" s="639"/>
      <c r="O128" s="639"/>
      <c r="P128" s="639"/>
      <c r="Q128" s="639"/>
      <c r="R128" s="639"/>
      <c r="S128" s="639"/>
      <c r="T128" s="639"/>
      <c r="U128" s="639"/>
      <c r="V128" s="639"/>
      <c r="W128" s="639"/>
      <c r="X128" s="639"/>
      <c r="Y128" s="639"/>
    </row>
    <row r="129" spans="6:25" ht="16.5" customHeight="1">
      <c r="F129" s="639"/>
      <c r="G129" s="639"/>
      <c r="H129" s="639"/>
      <c r="I129" s="639"/>
      <c r="J129" s="639"/>
      <c r="K129" s="639"/>
      <c r="L129" s="639"/>
      <c r="M129" s="639"/>
      <c r="N129" s="639"/>
      <c r="O129" s="639"/>
      <c r="P129" s="639"/>
      <c r="Q129" s="639"/>
      <c r="R129" s="639"/>
      <c r="S129" s="639"/>
      <c r="T129" s="639"/>
      <c r="U129" s="639"/>
      <c r="V129" s="639"/>
      <c r="W129" s="639"/>
      <c r="X129" s="639"/>
      <c r="Y129" s="639"/>
    </row>
    <row r="130" spans="6:25" ht="16.5" customHeight="1">
      <c r="F130" s="639"/>
      <c r="G130" s="639"/>
      <c r="H130" s="639"/>
      <c r="I130" s="639"/>
      <c r="J130" s="639"/>
      <c r="K130" s="639"/>
      <c r="L130" s="639"/>
      <c r="M130" s="639"/>
      <c r="N130" s="639"/>
      <c r="O130" s="639"/>
      <c r="P130" s="639"/>
      <c r="Q130" s="639"/>
      <c r="R130" s="639"/>
      <c r="S130" s="639"/>
      <c r="T130" s="639"/>
      <c r="U130" s="639"/>
      <c r="V130" s="639"/>
      <c r="W130" s="639"/>
      <c r="X130" s="639"/>
      <c r="Y130" s="639"/>
    </row>
    <row r="131" spans="6:25" ht="16.5" customHeight="1">
      <c r="F131" s="639"/>
      <c r="G131" s="639"/>
      <c r="H131" s="639"/>
      <c r="I131" s="639"/>
      <c r="J131" s="639"/>
      <c r="K131" s="639"/>
      <c r="L131" s="639"/>
      <c r="M131" s="639"/>
      <c r="N131" s="639"/>
      <c r="O131" s="639"/>
      <c r="P131" s="639"/>
      <c r="Q131" s="639"/>
      <c r="R131" s="639"/>
      <c r="S131" s="639"/>
      <c r="T131" s="639"/>
      <c r="U131" s="639"/>
      <c r="V131" s="639"/>
      <c r="W131" s="639"/>
      <c r="X131" s="639"/>
      <c r="Y131" s="639"/>
    </row>
    <row r="132" spans="6:25" ht="16.5" customHeight="1">
      <c r="F132" s="639"/>
      <c r="G132" s="639"/>
      <c r="H132" s="639"/>
      <c r="I132" s="639"/>
      <c r="J132" s="639"/>
      <c r="K132" s="639"/>
      <c r="L132" s="639"/>
      <c r="M132" s="639"/>
      <c r="N132" s="639"/>
      <c r="O132" s="639"/>
      <c r="P132" s="639"/>
      <c r="Q132" s="639"/>
      <c r="R132" s="639"/>
      <c r="S132" s="639"/>
      <c r="T132" s="639"/>
      <c r="U132" s="639"/>
      <c r="V132" s="639"/>
      <c r="W132" s="639"/>
      <c r="X132" s="639"/>
      <c r="Y132" s="639"/>
    </row>
    <row r="133" spans="6:25" ht="16.5" customHeight="1">
      <c r="F133" s="639"/>
      <c r="G133" s="639"/>
      <c r="H133" s="639"/>
      <c r="I133" s="639"/>
      <c r="J133" s="639"/>
      <c r="K133" s="639"/>
      <c r="L133" s="639"/>
      <c r="M133" s="639"/>
      <c r="N133" s="639"/>
      <c r="O133" s="639"/>
      <c r="P133" s="639"/>
      <c r="Q133" s="639"/>
      <c r="R133" s="639"/>
      <c r="S133" s="639"/>
      <c r="T133" s="639"/>
      <c r="U133" s="639"/>
      <c r="V133" s="639"/>
      <c r="W133" s="639"/>
      <c r="X133" s="639"/>
      <c r="Y133" s="639"/>
    </row>
    <row r="134" spans="6:25" ht="16.5" customHeight="1"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  <c r="S134" s="639"/>
      <c r="T134" s="639"/>
      <c r="U134" s="639"/>
      <c r="V134" s="639"/>
      <c r="W134" s="639"/>
      <c r="X134" s="639"/>
      <c r="Y134" s="639"/>
    </row>
    <row r="135" spans="6:25" ht="16.5" customHeight="1">
      <c r="F135" s="639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39"/>
      <c r="W135" s="639"/>
      <c r="X135" s="639"/>
      <c r="Y135" s="639"/>
    </row>
    <row r="136" spans="6:25" ht="16.5" customHeight="1"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39"/>
    </row>
    <row r="137" spans="6:25" ht="16.5" customHeight="1">
      <c r="F137" s="639"/>
      <c r="G137" s="639"/>
      <c r="H137" s="639"/>
      <c r="I137" s="639"/>
      <c r="J137" s="639"/>
      <c r="K137" s="639"/>
      <c r="L137" s="639"/>
      <c r="M137" s="639"/>
      <c r="N137" s="639"/>
      <c r="O137" s="639"/>
      <c r="P137" s="639"/>
      <c r="Q137" s="639"/>
      <c r="R137" s="639"/>
      <c r="S137" s="639"/>
      <c r="T137" s="639"/>
      <c r="U137" s="639"/>
      <c r="V137" s="639"/>
      <c r="W137" s="639"/>
      <c r="X137" s="639"/>
      <c r="Y137" s="639"/>
    </row>
    <row r="138" spans="6:25" ht="16.5" customHeight="1"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39"/>
      <c r="Q138" s="639"/>
      <c r="R138" s="639"/>
      <c r="S138" s="639"/>
      <c r="T138" s="639"/>
      <c r="U138" s="639"/>
      <c r="V138" s="639"/>
      <c r="W138" s="639"/>
      <c r="X138" s="639"/>
      <c r="Y138" s="639"/>
    </row>
    <row r="139" spans="6:25" ht="16.5" customHeight="1">
      <c r="F139" s="639"/>
      <c r="G139" s="639"/>
      <c r="H139" s="639"/>
      <c r="I139" s="639"/>
      <c r="J139" s="639"/>
      <c r="K139" s="639"/>
      <c r="L139" s="639"/>
      <c r="M139" s="639"/>
      <c r="N139" s="639"/>
      <c r="O139" s="639"/>
      <c r="P139" s="639"/>
      <c r="Q139" s="639"/>
      <c r="R139" s="639"/>
      <c r="S139" s="639"/>
      <c r="T139" s="639"/>
      <c r="U139" s="639"/>
      <c r="V139" s="639"/>
      <c r="W139" s="639"/>
      <c r="X139" s="639"/>
      <c r="Y139" s="639"/>
    </row>
    <row r="140" spans="6:25" ht="16.5" customHeight="1">
      <c r="F140" s="639"/>
      <c r="G140" s="639"/>
      <c r="H140" s="639"/>
      <c r="I140" s="639"/>
      <c r="J140" s="639"/>
      <c r="K140" s="639"/>
      <c r="L140" s="639"/>
      <c r="M140" s="639"/>
      <c r="N140" s="639"/>
      <c r="O140" s="639"/>
      <c r="P140" s="639"/>
      <c r="Q140" s="639"/>
      <c r="R140" s="639"/>
      <c r="S140" s="639"/>
      <c r="T140" s="639"/>
      <c r="U140" s="639"/>
      <c r="V140" s="639"/>
      <c r="W140" s="639"/>
      <c r="X140" s="639"/>
      <c r="Y140" s="639"/>
    </row>
    <row r="141" spans="6:25" ht="16.5" customHeight="1">
      <c r="F141" s="639"/>
      <c r="G141" s="639"/>
      <c r="H141" s="639"/>
      <c r="I141" s="639"/>
      <c r="J141" s="639"/>
      <c r="K141" s="639"/>
      <c r="L141" s="639"/>
      <c r="M141" s="639"/>
      <c r="N141" s="639"/>
      <c r="O141" s="639"/>
      <c r="P141" s="639"/>
      <c r="Q141" s="639"/>
      <c r="R141" s="639"/>
      <c r="S141" s="639"/>
      <c r="T141" s="639"/>
      <c r="U141" s="639"/>
      <c r="V141" s="639"/>
      <c r="W141" s="639"/>
      <c r="X141" s="639"/>
      <c r="Y141" s="639"/>
    </row>
    <row r="142" spans="6:25" ht="16.5" customHeight="1">
      <c r="F142" s="639"/>
      <c r="G142" s="639"/>
      <c r="H142" s="639"/>
      <c r="I142" s="639"/>
      <c r="J142" s="639"/>
      <c r="K142" s="639"/>
      <c r="L142" s="639"/>
      <c r="M142" s="639"/>
      <c r="N142" s="639"/>
      <c r="O142" s="639"/>
      <c r="P142" s="639"/>
      <c r="Q142" s="639"/>
      <c r="R142" s="639"/>
      <c r="S142" s="639"/>
      <c r="T142" s="639"/>
      <c r="U142" s="639"/>
      <c r="V142" s="639"/>
      <c r="W142" s="639"/>
      <c r="X142" s="639"/>
      <c r="Y142" s="639"/>
    </row>
    <row r="143" spans="6:25" ht="16.5" customHeight="1">
      <c r="F143" s="639"/>
      <c r="G143" s="639"/>
      <c r="H143" s="639"/>
      <c r="I143" s="639"/>
      <c r="J143" s="639"/>
      <c r="K143" s="639"/>
      <c r="L143" s="639"/>
      <c r="M143" s="639"/>
      <c r="N143" s="639"/>
      <c r="O143" s="639"/>
      <c r="P143" s="639"/>
      <c r="Q143" s="639"/>
      <c r="R143" s="639"/>
      <c r="S143" s="639"/>
      <c r="T143" s="639"/>
      <c r="U143" s="639"/>
      <c r="V143" s="639"/>
      <c r="W143" s="639"/>
      <c r="X143" s="639"/>
      <c r="Y143" s="639"/>
    </row>
    <row r="144" spans="6:25" ht="16.5" customHeight="1">
      <c r="F144" s="639"/>
      <c r="G144" s="639"/>
      <c r="H144" s="639"/>
      <c r="I144" s="639"/>
      <c r="J144" s="639"/>
      <c r="K144" s="639"/>
      <c r="L144" s="639"/>
      <c r="M144" s="639"/>
      <c r="N144" s="639"/>
      <c r="O144" s="639"/>
      <c r="P144" s="639"/>
      <c r="Q144" s="639"/>
      <c r="R144" s="639"/>
      <c r="S144" s="639"/>
      <c r="T144" s="639"/>
      <c r="U144" s="639"/>
      <c r="V144" s="639"/>
      <c r="W144" s="639"/>
      <c r="X144" s="639"/>
      <c r="Y144" s="639"/>
    </row>
    <row r="145" spans="6:25" ht="16.5" customHeight="1">
      <c r="F145" s="639"/>
      <c r="G145" s="639"/>
      <c r="H145" s="639"/>
      <c r="I145" s="639"/>
      <c r="J145" s="639"/>
      <c r="K145" s="639"/>
      <c r="L145" s="639"/>
      <c r="M145" s="639"/>
      <c r="N145" s="639"/>
      <c r="O145" s="639"/>
      <c r="P145" s="639"/>
      <c r="Q145" s="639"/>
      <c r="R145" s="639"/>
      <c r="S145" s="639"/>
      <c r="T145" s="639"/>
      <c r="U145" s="639"/>
      <c r="V145" s="639"/>
      <c r="W145" s="639"/>
      <c r="X145" s="639"/>
      <c r="Y145" s="639"/>
    </row>
    <row r="146" spans="6:25" ht="16.5" customHeight="1">
      <c r="F146" s="639"/>
      <c r="G146" s="639"/>
      <c r="H146" s="639"/>
      <c r="I146" s="639"/>
      <c r="J146" s="639"/>
      <c r="K146" s="639"/>
      <c r="L146" s="639"/>
      <c r="M146" s="639"/>
      <c r="N146" s="639"/>
      <c r="O146" s="639"/>
      <c r="P146" s="639"/>
      <c r="Q146" s="639"/>
      <c r="R146" s="639"/>
      <c r="S146" s="639"/>
      <c r="T146" s="639"/>
      <c r="U146" s="639"/>
      <c r="V146" s="639"/>
      <c r="W146" s="639"/>
      <c r="X146" s="639"/>
      <c r="Y146" s="639"/>
    </row>
    <row r="147" spans="6:25" ht="16.5" customHeight="1">
      <c r="F147" s="639"/>
      <c r="G147" s="639"/>
      <c r="H147" s="639"/>
      <c r="I147" s="639"/>
      <c r="J147" s="639"/>
      <c r="K147" s="639"/>
      <c r="L147" s="639"/>
      <c r="M147" s="639"/>
      <c r="N147" s="639"/>
      <c r="O147" s="639"/>
      <c r="P147" s="639"/>
      <c r="Q147" s="639"/>
      <c r="R147" s="639"/>
      <c r="S147" s="639"/>
      <c r="T147" s="639"/>
      <c r="U147" s="639"/>
      <c r="V147" s="639"/>
      <c r="W147" s="639"/>
      <c r="X147" s="639"/>
      <c r="Y147" s="639"/>
    </row>
    <row r="148" spans="6:25" ht="16.5" customHeight="1">
      <c r="F148" s="639"/>
      <c r="G148" s="639"/>
      <c r="H148" s="639"/>
      <c r="I148" s="639"/>
      <c r="J148" s="639"/>
      <c r="K148" s="639"/>
      <c r="L148" s="639"/>
      <c r="M148" s="639"/>
      <c r="N148" s="639"/>
      <c r="O148" s="639"/>
      <c r="P148" s="639"/>
      <c r="Q148" s="639"/>
      <c r="R148" s="639"/>
      <c r="S148" s="639"/>
      <c r="T148" s="639"/>
      <c r="U148" s="639"/>
      <c r="V148" s="639"/>
      <c r="W148" s="639"/>
      <c r="X148" s="639"/>
      <c r="Y148" s="639"/>
    </row>
    <row r="149" spans="6:25" ht="16.5" customHeight="1">
      <c r="F149" s="639"/>
      <c r="G149" s="639"/>
      <c r="H149" s="639"/>
      <c r="I149" s="639"/>
      <c r="J149" s="639"/>
      <c r="K149" s="639"/>
      <c r="L149" s="639"/>
      <c r="M149" s="639"/>
      <c r="N149" s="639"/>
      <c r="O149" s="639"/>
      <c r="P149" s="639"/>
      <c r="Q149" s="639"/>
      <c r="R149" s="639"/>
      <c r="S149" s="639"/>
      <c r="T149" s="639"/>
      <c r="U149" s="639"/>
      <c r="V149" s="639"/>
      <c r="W149" s="639"/>
      <c r="X149" s="639"/>
      <c r="Y149" s="639"/>
    </row>
    <row r="150" spans="6:25" ht="16.5" customHeight="1">
      <c r="F150" s="639"/>
      <c r="G150" s="639"/>
      <c r="H150" s="639"/>
      <c r="I150" s="639"/>
      <c r="J150" s="639"/>
      <c r="K150" s="639"/>
      <c r="L150" s="639"/>
      <c r="M150" s="639"/>
      <c r="N150" s="639"/>
      <c r="O150" s="639"/>
      <c r="P150" s="639"/>
      <c r="Q150" s="639"/>
      <c r="R150" s="639"/>
      <c r="S150" s="639"/>
      <c r="T150" s="639"/>
      <c r="U150" s="639"/>
      <c r="V150" s="639"/>
      <c r="W150" s="639"/>
      <c r="X150" s="639"/>
      <c r="Y150" s="639"/>
    </row>
    <row r="151" spans="6:25" ht="16.5" customHeight="1">
      <c r="F151" s="639"/>
      <c r="G151" s="639"/>
      <c r="H151" s="639"/>
      <c r="I151" s="639"/>
      <c r="J151" s="639"/>
      <c r="K151" s="639"/>
      <c r="L151" s="639"/>
      <c r="M151" s="639"/>
      <c r="N151" s="639"/>
      <c r="O151" s="639"/>
      <c r="P151" s="639"/>
      <c r="Q151" s="639"/>
      <c r="R151" s="639"/>
      <c r="S151" s="639"/>
      <c r="T151" s="639"/>
      <c r="U151" s="639"/>
      <c r="V151" s="639"/>
      <c r="W151" s="639"/>
      <c r="X151" s="639"/>
      <c r="Y151" s="639"/>
    </row>
    <row r="152" spans="6:25" ht="16.5" customHeight="1">
      <c r="F152" s="639"/>
      <c r="G152" s="639"/>
      <c r="H152" s="639"/>
      <c r="I152" s="639"/>
      <c r="J152" s="639"/>
      <c r="K152" s="639"/>
      <c r="L152" s="639"/>
      <c r="M152" s="639"/>
      <c r="N152" s="639"/>
      <c r="O152" s="639"/>
      <c r="P152" s="639"/>
      <c r="Q152" s="639"/>
      <c r="R152" s="639"/>
      <c r="S152" s="639"/>
      <c r="T152" s="639"/>
      <c r="U152" s="639"/>
      <c r="V152" s="639"/>
      <c r="W152" s="639"/>
      <c r="X152" s="639"/>
      <c r="Y152" s="639"/>
    </row>
    <row r="153" spans="6:25" ht="16.5" customHeight="1">
      <c r="F153" s="639"/>
      <c r="G153" s="639"/>
      <c r="H153" s="639"/>
      <c r="I153" s="639"/>
      <c r="J153" s="639"/>
      <c r="K153" s="639"/>
      <c r="L153" s="639"/>
      <c r="M153" s="639"/>
      <c r="N153" s="639"/>
      <c r="O153" s="639"/>
      <c r="P153" s="639"/>
      <c r="Q153" s="639"/>
      <c r="R153" s="639"/>
      <c r="S153" s="639"/>
      <c r="T153" s="639"/>
      <c r="U153" s="639"/>
      <c r="V153" s="639"/>
      <c r="W153" s="639"/>
      <c r="X153" s="639"/>
      <c r="Y153" s="639"/>
    </row>
    <row r="154" spans="6:25" ht="16.5" customHeight="1">
      <c r="F154" s="639"/>
      <c r="G154" s="639"/>
      <c r="H154" s="639"/>
      <c r="I154" s="639"/>
      <c r="J154" s="639"/>
      <c r="K154" s="639"/>
      <c r="L154" s="639"/>
      <c r="M154" s="639"/>
      <c r="N154" s="639"/>
      <c r="O154" s="639"/>
      <c r="P154" s="639"/>
      <c r="Q154" s="639"/>
      <c r="R154" s="639"/>
      <c r="S154" s="639"/>
      <c r="T154" s="639"/>
      <c r="U154" s="639"/>
      <c r="V154" s="639"/>
      <c r="W154" s="639"/>
      <c r="X154" s="639"/>
      <c r="Y154" s="639"/>
    </row>
    <row r="155" spans="6:25" ht="16.5" customHeight="1">
      <c r="F155" s="639"/>
      <c r="G155" s="639"/>
      <c r="H155" s="639"/>
      <c r="I155" s="639"/>
      <c r="J155" s="639"/>
      <c r="K155" s="639"/>
      <c r="L155" s="639"/>
      <c r="M155" s="639"/>
      <c r="N155" s="639"/>
      <c r="O155" s="639"/>
      <c r="P155" s="639"/>
      <c r="Q155" s="639"/>
      <c r="R155" s="639"/>
      <c r="S155" s="639"/>
      <c r="T155" s="639"/>
      <c r="U155" s="639"/>
      <c r="V155" s="639"/>
      <c r="W155" s="639"/>
      <c r="X155" s="639"/>
      <c r="Y155" s="639"/>
    </row>
    <row r="156" spans="6:25" ht="16.5" customHeight="1">
      <c r="F156" s="639"/>
      <c r="G156" s="639"/>
      <c r="H156" s="639"/>
      <c r="I156" s="639"/>
      <c r="J156" s="639"/>
      <c r="K156" s="639"/>
      <c r="L156" s="639"/>
      <c r="M156" s="639"/>
      <c r="N156" s="639"/>
      <c r="O156" s="639"/>
      <c r="P156" s="639"/>
      <c r="Q156" s="639"/>
      <c r="R156" s="639"/>
      <c r="S156" s="639"/>
      <c r="T156" s="639"/>
      <c r="U156" s="639"/>
      <c r="V156" s="639"/>
      <c r="W156" s="639"/>
      <c r="X156" s="639"/>
      <c r="Y156" s="639"/>
    </row>
    <row r="157" spans="6:25" ht="16.5" customHeight="1">
      <c r="F157" s="639"/>
      <c r="G157" s="639"/>
      <c r="H157" s="639"/>
      <c r="I157" s="639"/>
      <c r="J157" s="639"/>
      <c r="K157" s="639"/>
      <c r="L157" s="639"/>
      <c r="M157" s="639"/>
      <c r="N157" s="639"/>
      <c r="O157" s="639"/>
      <c r="P157" s="639"/>
      <c r="Q157" s="639"/>
      <c r="R157" s="639"/>
      <c r="S157" s="639"/>
      <c r="T157" s="639"/>
      <c r="U157" s="639"/>
      <c r="V157" s="639"/>
      <c r="W157" s="639"/>
      <c r="X157" s="639"/>
      <c r="Y157" s="639"/>
    </row>
    <row r="158" spans="6:25" ht="16.5" customHeight="1">
      <c r="F158" s="639"/>
      <c r="G158" s="639"/>
      <c r="H158" s="639"/>
      <c r="I158" s="639"/>
      <c r="J158" s="639"/>
      <c r="K158" s="639"/>
      <c r="L158" s="639"/>
      <c r="M158" s="639"/>
      <c r="N158" s="639"/>
      <c r="O158" s="639"/>
      <c r="P158" s="639"/>
      <c r="Q158" s="639"/>
      <c r="R158" s="639"/>
      <c r="S158" s="639"/>
      <c r="T158" s="639"/>
      <c r="U158" s="639"/>
      <c r="V158" s="639"/>
      <c r="W158" s="639"/>
      <c r="X158" s="639"/>
      <c r="Y158" s="639"/>
    </row>
    <row r="159" spans="6:25" ht="16.5" customHeight="1">
      <c r="F159" s="639"/>
      <c r="G159" s="639"/>
      <c r="H159" s="639"/>
      <c r="I159" s="639"/>
      <c r="J159" s="639"/>
      <c r="K159" s="639"/>
      <c r="L159" s="639"/>
      <c r="M159" s="639"/>
      <c r="N159" s="639"/>
      <c r="O159" s="639"/>
      <c r="P159" s="639"/>
      <c r="Q159" s="639"/>
      <c r="R159" s="639"/>
      <c r="S159" s="639"/>
      <c r="T159" s="639"/>
      <c r="U159" s="639"/>
      <c r="V159" s="639"/>
      <c r="W159" s="639"/>
      <c r="X159" s="639"/>
      <c r="Y159" s="639"/>
    </row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Y159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6.003906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'TOT-0312'!B2</f>
        <v>ANEXO IV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395"/>
    </row>
    <row r="8" spans="2:23" s="18" customFormat="1" ht="20.25">
      <c r="B8" s="96"/>
      <c r="C8" s="23"/>
      <c r="D8" s="23"/>
      <c r="E8" s="23"/>
      <c r="F8" s="396" t="s">
        <v>27</v>
      </c>
      <c r="N8" s="262"/>
      <c r="O8" s="262"/>
      <c r="P8" s="264"/>
      <c r="Q8" s="23"/>
      <c r="R8" s="23"/>
      <c r="S8" s="23"/>
      <c r="T8" s="23"/>
      <c r="U8" s="23"/>
      <c r="V8" s="23"/>
      <c r="W8" s="397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18" customFormat="1" ht="20.25">
      <c r="B10" s="96"/>
      <c r="C10" s="23"/>
      <c r="D10" s="23"/>
      <c r="E10" s="23"/>
      <c r="F10" s="398" t="s">
        <v>67</v>
      </c>
      <c r="G10" s="399"/>
      <c r="H10" s="262"/>
      <c r="I10" s="400"/>
      <c r="K10" s="400"/>
      <c r="L10" s="400"/>
      <c r="M10" s="400"/>
      <c r="N10" s="400"/>
      <c r="O10" s="400"/>
      <c r="P10" s="400"/>
      <c r="Q10" s="23"/>
      <c r="R10" s="23"/>
      <c r="S10" s="23"/>
      <c r="T10" s="23"/>
      <c r="U10" s="23"/>
      <c r="V10" s="23"/>
      <c r="W10" s="397"/>
    </row>
    <row r="11" spans="2:23" s="8" customFormat="1" ht="13.5">
      <c r="B11" s="55"/>
      <c r="C11" s="11"/>
      <c r="D11" s="11"/>
      <c r="E11" s="11"/>
      <c r="F11" s="401"/>
      <c r="G11" s="401"/>
      <c r="H11" s="90"/>
      <c r="I11" s="402"/>
      <c r="J11" s="67"/>
      <c r="K11" s="402"/>
      <c r="L11" s="402"/>
      <c r="M11" s="402"/>
      <c r="N11" s="402"/>
      <c r="O11" s="402"/>
      <c r="P11" s="402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6"/>
      <c r="C12" s="23"/>
      <c r="D12" s="23"/>
      <c r="E12" s="23"/>
      <c r="F12" s="398" t="s">
        <v>340</v>
      </c>
      <c r="G12" s="399"/>
      <c r="H12" s="262"/>
      <c r="I12" s="400"/>
      <c r="K12" s="400"/>
      <c r="L12" s="400"/>
      <c r="M12" s="400"/>
      <c r="N12" s="400"/>
      <c r="O12" s="400"/>
      <c r="P12" s="400"/>
      <c r="Q12" s="23"/>
      <c r="R12" s="23"/>
      <c r="S12" s="23"/>
      <c r="T12" s="23"/>
      <c r="U12" s="23"/>
      <c r="V12" s="23"/>
      <c r="W12" s="397"/>
    </row>
    <row r="13" spans="2:23" s="8" customFormat="1" ht="13.5">
      <c r="B13" s="55"/>
      <c r="C13" s="11"/>
      <c r="D13" s="11"/>
      <c r="E13" s="11"/>
      <c r="F13" s="401"/>
      <c r="G13" s="401"/>
      <c r="H13" s="90"/>
      <c r="I13" s="402"/>
      <c r="J13" s="67"/>
      <c r="K13" s="402"/>
      <c r="L13" s="402"/>
      <c r="M13" s="402"/>
      <c r="N13" s="402"/>
      <c r="O13" s="402"/>
      <c r="P13" s="402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'TOT-0312'!B14</f>
        <v>Desde el 01 al 31 de Marzo de 2012</v>
      </c>
      <c r="C14" s="39"/>
      <c r="D14" s="39"/>
      <c r="E14" s="39"/>
      <c r="F14" s="39"/>
      <c r="G14" s="39"/>
      <c r="H14" s="39"/>
      <c r="I14" s="403"/>
      <c r="J14" s="403"/>
      <c r="K14" s="403"/>
      <c r="L14" s="403"/>
      <c r="M14" s="403"/>
      <c r="N14" s="403"/>
      <c r="O14" s="403"/>
      <c r="P14" s="403"/>
      <c r="Q14" s="39"/>
      <c r="R14" s="39"/>
      <c r="S14" s="39"/>
      <c r="T14" s="39"/>
      <c r="U14" s="39"/>
      <c r="V14" s="39"/>
      <c r="W14" s="404"/>
    </row>
    <row r="15" spans="2:23" s="8" customFormat="1" ht="14.25" thickBot="1">
      <c r="B15" s="405"/>
      <c r="C15" s="406"/>
      <c r="D15" s="406"/>
      <c r="E15" s="406"/>
      <c r="F15" s="406"/>
      <c r="G15" s="406"/>
      <c r="H15" s="406"/>
      <c r="I15" s="407"/>
      <c r="J15" s="407"/>
      <c r="K15" s="407"/>
      <c r="L15" s="407"/>
      <c r="M15" s="407"/>
      <c r="N15" s="407"/>
      <c r="O15" s="407"/>
      <c r="P15" s="407"/>
      <c r="Q15" s="406"/>
      <c r="R15" s="406"/>
      <c r="S15" s="406"/>
      <c r="T15" s="406"/>
      <c r="U15" s="406"/>
      <c r="V15" s="406"/>
      <c r="W15" s="408"/>
    </row>
    <row r="16" spans="2:23" s="8" customFormat="1" ht="15" thickBot="1" thickTop="1">
      <c r="B16" s="55"/>
      <c r="C16" s="11"/>
      <c r="D16" s="11"/>
      <c r="E16" s="11"/>
      <c r="F16" s="409"/>
      <c r="G16" s="409"/>
      <c r="H16" s="410" t="s">
        <v>69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11" t="s">
        <v>70</v>
      </c>
      <c r="G17" s="412" t="s">
        <v>75</v>
      </c>
      <c r="H17" s="413">
        <v>200</v>
      </c>
      <c r="V17" s="110"/>
      <c r="W17" s="60"/>
    </row>
    <row r="18" spans="2:23" s="8" customFormat="1" ht="16.5" customHeight="1" thickBot="1" thickTop="1">
      <c r="B18" s="55"/>
      <c r="C18" s="11"/>
      <c r="D18" s="11"/>
      <c r="E18" s="11"/>
      <c r="F18" s="414" t="s">
        <v>71</v>
      </c>
      <c r="G18" s="415" t="s">
        <v>75</v>
      </c>
      <c r="H18" s="413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16" t="s">
        <v>72</v>
      </c>
      <c r="G19" s="415">
        <v>16.5546</v>
      </c>
      <c r="H19" s="413">
        <v>40</v>
      </c>
      <c r="K19" s="108"/>
      <c r="L19" s="109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1">
        <v>3</v>
      </c>
      <c r="D20" s="111">
        <v>4</v>
      </c>
      <c r="E20" s="111">
        <v>5</v>
      </c>
      <c r="F20" s="111">
        <v>6</v>
      </c>
      <c r="G20" s="111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1">
        <v>16</v>
      </c>
      <c r="Q20" s="111">
        <v>17</v>
      </c>
      <c r="R20" s="111">
        <v>18</v>
      </c>
      <c r="S20" s="111">
        <v>19</v>
      </c>
      <c r="T20" s="111">
        <v>20</v>
      </c>
      <c r="U20" s="111">
        <v>21</v>
      </c>
      <c r="V20" s="111">
        <v>22</v>
      </c>
      <c r="W20" s="60"/>
    </row>
    <row r="21" spans="2:23" s="8" customFormat="1" ht="33.75" customHeight="1" thickBot="1" thickTop="1">
      <c r="B21" s="55"/>
      <c r="C21" s="296" t="s">
        <v>32</v>
      </c>
      <c r="D21" s="112" t="s">
        <v>33</v>
      </c>
      <c r="E21" s="112" t="s">
        <v>34</v>
      </c>
      <c r="F21" s="115" t="s">
        <v>60</v>
      </c>
      <c r="G21" s="417" t="s">
        <v>61</v>
      </c>
      <c r="H21" s="418" t="s">
        <v>35</v>
      </c>
      <c r="I21" s="301" t="s">
        <v>39</v>
      </c>
      <c r="J21" s="113" t="s">
        <v>40</v>
      </c>
      <c r="K21" s="417" t="s">
        <v>41</v>
      </c>
      <c r="L21" s="419" t="s">
        <v>42</v>
      </c>
      <c r="M21" s="419" t="s">
        <v>43</v>
      </c>
      <c r="N21" s="120" t="s">
        <v>251</v>
      </c>
      <c r="O21" s="119" t="s">
        <v>46</v>
      </c>
      <c r="P21" s="420" t="s">
        <v>38</v>
      </c>
      <c r="Q21" s="421" t="s">
        <v>73</v>
      </c>
      <c r="R21" s="422" t="s">
        <v>74</v>
      </c>
      <c r="S21" s="423"/>
      <c r="T21" s="424" t="s">
        <v>51</v>
      </c>
      <c r="U21" s="131" t="s">
        <v>53</v>
      </c>
      <c r="V21" s="300" t="s">
        <v>54</v>
      </c>
      <c r="W21" s="60"/>
    </row>
    <row r="22" spans="2:23" s="8" customFormat="1" ht="16.5" customHeight="1" thickTop="1">
      <c r="B22" s="55"/>
      <c r="C22" s="310"/>
      <c r="D22" s="310"/>
      <c r="E22" s="310"/>
      <c r="F22" s="425"/>
      <c r="G22" s="425"/>
      <c r="H22" s="425"/>
      <c r="I22" s="253"/>
      <c r="J22" s="425"/>
      <c r="K22" s="425"/>
      <c r="L22" s="425"/>
      <c r="M22" s="425"/>
      <c r="N22" s="425"/>
      <c r="O22" s="425"/>
      <c r="P22" s="426"/>
      <c r="Q22" s="427"/>
      <c r="R22" s="428"/>
      <c r="S22" s="429"/>
      <c r="T22" s="430"/>
      <c r="U22" s="425"/>
      <c r="V22" s="431"/>
      <c r="W22" s="60"/>
    </row>
    <row r="23" spans="2:23" s="8" customFormat="1" ht="16.5" customHeight="1">
      <c r="B23" s="55"/>
      <c r="C23" s="151"/>
      <c r="D23" s="151"/>
      <c r="E23" s="151"/>
      <c r="F23" s="432"/>
      <c r="G23" s="432"/>
      <c r="H23" s="432"/>
      <c r="I23" s="433"/>
      <c r="J23" s="432"/>
      <c r="K23" s="432"/>
      <c r="L23" s="432"/>
      <c r="M23" s="432"/>
      <c r="N23" s="432"/>
      <c r="O23" s="432"/>
      <c r="P23" s="434"/>
      <c r="Q23" s="435"/>
      <c r="R23" s="436"/>
      <c r="S23" s="437"/>
      <c r="T23" s="438"/>
      <c r="U23" s="432"/>
      <c r="V23" s="439"/>
      <c r="W23" s="60"/>
    </row>
    <row r="24" spans="2:23" s="8" customFormat="1" ht="16.5" customHeight="1">
      <c r="B24" s="55"/>
      <c r="C24" s="151">
        <v>64</v>
      </c>
      <c r="D24" s="151">
        <v>245651</v>
      </c>
      <c r="E24" s="170">
        <v>4869</v>
      </c>
      <c r="F24" s="683" t="s">
        <v>336</v>
      </c>
      <c r="G24" s="683" t="s">
        <v>337</v>
      </c>
      <c r="H24" s="684">
        <v>132</v>
      </c>
      <c r="I24" s="442">
        <f aca="true" t="shared" si="0" ref="I24:I43">IF(H24=500,$G$17,IF(H24=220,$G$18,$G$19))</f>
        <v>16.5546</v>
      </c>
      <c r="J24" s="443">
        <v>40984.31180555555</v>
      </c>
      <c r="K24" s="444">
        <v>40984.4375</v>
      </c>
      <c r="L24" s="445">
        <f aca="true" t="shared" si="1" ref="L24:L43">IF(F24="","",(K24-J24)*24)</f>
        <v>3.016666666720994</v>
      </c>
      <c r="M24" s="446">
        <f aca="true" t="shared" si="2" ref="M24:M43">IF(F24="","",ROUND((K24-J24)*24*60,0))</f>
        <v>181</v>
      </c>
      <c r="N24" s="179" t="s">
        <v>253</v>
      </c>
      <c r="O24" s="181" t="str">
        <f aca="true" t="shared" si="3" ref="O24:O43">IF(F24="","",IF(N24="P","--","NO"))</f>
        <v>--</v>
      </c>
      <c r="P24" s="447">
        <f aca="true" t="shared" si="4" ref="P24:P43">IF(H24=500,$H$17,IF(H24=220,$H$18,$H$19))</f>
        <v>40</v>
      </c>
      <c r="Q24" s="448">
        <f aca="true" t="shared" si="5" ref="Q24:Q43">IF(N24="P",I24*P24*ROUND(M24/60,2)*0.1,"--")</f>
        <v>199.979568</v>
      </c>
      <c r="R24" s="436" t="str">
        <f aca="true" t="shared" si="6" ref="R24:R43">IF(AND(N24="F",O24="NO"),I24*P24,"--")</f>
        <v>--</v>
      </c>
      <c r="S24" s="437" t="str">
        <f aca="true" t="shared" si="7" ref="S24:S43">IF(N24="F",I24*P24*ROUND(M24/60,2),"--")</f>
        <v>--</v>
      </c>
      <c r="T24" s="438" t="str">
        <f aca="true" t="shared" si="8" ref="T24:T43">IF(N24="RF",I24*P24*ROUND(M24/60,2),"--")</f>
        <v>--</v>
      </c>
      <c r="U24" s="181" t="str">
        <f aca="true" t="shared" si="9" ref="U24:U43">IF(F24="","","SI")</f>
        <v>SI</v>
      </c>
      <c r="V24" s="449">
        <f aca="true" t="shared" si="10" ref="V24:V43">IF(F24="","",SUM(Q24:T24)*IF(U24="SI",1,2))</f>
        <v>199.979568</v>
      </c>
      <c r="W24" s="60"/>
    </row>
    <row r="25" spans="2:23" s="8" customFormat="1" ht="16.5" customHeight="1">
      <c r="B25" s="55"/>
      <c r="C25" s="151">
        <v>65</v>
      </c>
      <c r="D25" s="151">
        <v>245652</v>
      </c>
      <c r="E25" s="170">
        <v>4869</v>
      </c>
      <c r="F25" s="683" t="s">
        <v>336</v>
      </c>
      <c r="G25" s="683" t="s">
        <v>337</v>
      </c>
      <c r="H25" s="684">
        <v>132</v>
      </c>
      <c r="I25" s="442">
        <f t="shared" si="0"/>
        <v>16.5546</v>
      </c>
      <c r="J25" s="443">
        <v>40984.31180555555</v>
      </c>
      <c r="K25" s="444">
        <v>40984.44027777778</v>
      </c>
      <c r="L25" s="445">
        <f>IF(F25="","",(K25-J25)*24)</f>
        <v>3.083333333430346</v>
      </c>
      <c r="M25" s="446">
        <f>IF(F25="","",ROUND((K25-J25)*24*60,0))</f>
        <v>185</v>
      </c>
      <c r="N25" s="179" t="s">
        <v>253</v>
      </c>
      <c r="O25" s="181" t="str">
        <f t="shared" si="3"/>
        <v>--</v>
      </c>
      <c r="P25" s="447">
        <f t="shared" si="4"/>
        <v>40</v>
      </c>
      <c r="Q25" s="448">
        <f t="shared" si="5"/>
        <v>203.952672</v>
      </c>
      <c r="R25" s="436" t="str">
        <f t="shared" si="6"/>
        <v>--</v>
      </c>
      <c r="S25" s="437" t="str">
        <f t="shared" si="7"/>
        <v>--</v>
      </c>
      <c r="T25" s="438" t="str">
        <f t="shared" si="8"/>
        <v>--</v>
      </c>
      <c r="U25" s="181" t="str">
        <f t="shared" si="9"/>
        <v>SI</v>
      </c>
      <c r="V25" s="449">
        <f t="shared" si="10"/>
        <v>203.952672</v>
      </c>
      <c r="W25" s="60"/>
    </row>
    <row r="26" spans="2:23" s="8" customFormat="1" ht="16.5" customHeight="1">
      <c r="B26" s="55"/>
      <c r="C26" s="151"/>
      <c r="D26" s="151"/>
      <c r="E26" s="170"/>
      <c r="F26" s="440"/>
      <c r="G26" s="440"/>
      <c r="H26" s="441"/>
      <c r="I26" s="442">
        <f t="shared" si="0"/>
        <v>16.5546</v>
      </c>
      <c r="J26" s="443"/>
      <c r="K26" s="444"/>
      <c r="L26" s="445">
        <f t="shared" si="1"/>
      </c>
      <c r="M26" s="446">
        <f t="shared" si="2"/>
      </c>
      <c r="N26" s="179"/>
      <c r="O26" s="181">
        <f t="shared" si="3"/>
      </c>
      <c r="P26" s="447">
        <f t="shared" si="4"/>
        <v>40</v>
      </c>
      <c r="Q26" s="448" t="str">
        <f t="shared" si="5"/>
        <v>--</v>
      </c>
      <c r="R26" s="436" t="str">
        <f t="shared" si="6"/>
        <v>--</v>
      </c>
      <c r="S26" s="437" t="str">
        <f t="shared" si="7"/>
        <v>--</v>
      </c>
      <c r="T26" s="438" t="str">
        <f t="shared" si="8"/>
        <v>--</v>
      </c>
      <c r="U26" s="181">
        <f t="shared" si="9"/>
      </c>
      <c r="V26" s="449">
        <f t="shared" si="10"/>
      </c>
      <c r="W26" s="60"/>
    </row>
    <row r="27" spans="2:23" s="8" customFormat="1" ht="16.5" customHeight="1">
      <c r="B27" s="55"/>
      <c r="C27" s="151"/>
      <c r="D27" s="151"/>
      <c r="E27" s="151"/>
      <c r="F27" s="440"/>
      <c r="G27" s="440"/>
      <c r="H27" s="441"/>
      <c r="I27" s="442">
        <f t="shared" si="0"/>
        <v>16.5546</v>
      </c>
      <c r="J27" s="443"/>
      <c r="K27" s="444"/>
      <c r="L27" s="445">
        <f t="shared" si="1"/>
      </c>
      <c r="M27" s="446">
        <f t="shared" si="2"/>
      </c>
      <c r="N27" s="179"/>
      <c r="O27" s="181">
        <f t="shared" si="3"/>
      </c>
      <c r="P27" s="447">
        <f t="shared" si="4"/>
        <v>40</v>
      </c>
      <c r="Q27" s="448" t="str">
        <f t="shared" si="5"/>
        <v>--</v>
      </c>
      <c r="R27" s="436" t="str">
        <f t="shared" si="6"/>
        <v>--</v>
      </c>
      <c r="S27" s="437" t="str">
        <f t="shared" si="7"/>
        <v>--</v>
      </c>
      <c r="T27" s="438" t="str">
        <f t="shared" si="8"/>
        <v>--</v>
      </c>
      <c r="U27" s="181">
        <f t="shared" si="9"/>
      </c>
      <c r="V27" s="449">
        <f t="shared" si="10"/>
      </c>
      <c r="W27" s="60"/>
    </row>
    <row r="28" spans="2:23" s="8" customFormat="1" ht="16.5" customHeight="1">
      <c r="B28" s="55"/>
      <c r="C28" s="151"/>
      <c r="D28" s="151"/>
      <c r="E28" s="170"/>
      <c r="F28" s="440"/>
      <c r="G28" s="440"/>
      <c r="H28" s="441"/>
      <c r="I28" s="442">
        <f t="shared" si="0"/>
        <v>16.5546</v>
      </c>
      <c r="J28" s="443"/>
      <c r="K28" s="444"/>
      <c r="L28" s="445">
        <f t="shared" si="1"/>
      </c>
      <c r="M28" s="446">
        <f t="shared" si="2"/>
      </c>
      <c r="N28" s="179"/>
      <c r="O28" s="181">
        <f t="shared" si="3"/>
      </c>
      <c r="P28" s="447">
        <f t="shared" si="4"/>
        <v>40</v>
      </c>
      <c r="Q28" s="448" t="str">
        <f t="shared" si="5"/>
        <v>--</v>
      </c>
      <c r="R28" s="436" t="str">
        <f t="shared" si="6"/>
        <v>--</v>
      </c>
      <c r="S28" s="437" t="str">
        <f t="shared" si="7"/>
        <v>--</v>
      </c>
      <c r="T28" s="438" t="str">
        <f t="shared" si="8"/>
        <v>--</v>
      </c>
      <c r="U28" s="181">
        <f t="shared" si="9"/>
      </c>
      <c r="V28" s="449">
        <f t="shared" si="10"/>
      </c>
      <c r="W28" s="60"/>
    </row>
    <row r="29" spans="2:23" s="8" customFormat="1" ht="16.5" customHeight="1">
      <c r="B29" s="55"/>
      <c r="C29" s="151"/>
      <c r="D29" s="151"/>
      <c r="E29" s="151"/>
      <c r="F29" s="440"/>
      <c r="G29" s="440"/>
      <c r="H29" s="441"/>
      <c r="I29" s="442">
        <f t="shared" si="0"/>
        <v>16.5546</v>
      </c>
      <c r="J29" s="443"/>
      <c r="K29" s="444"/>
      <c r="L29" s="445">
        <f t="shared" si="1"/>
      </c>
      <c r="M29" s="446">
        <f t="shared" si="2"/>
      </c>
      <c r="N29" s="179"/>
      <c r="O29" s="181">
        <f t="shared" si="3"/>
      </c>
      <c r="P29" s="447">
        <f t="shared" si="4"/>
        <v>40</v>
      </c>
      <c r="Q29" s="448" t="str">
        <f t="shared" si="5"/>
        <v>--</v>
      </c>
      <c r="R29" s="436" t="str">
        <f t="shared" si="6"/>
        <v>--</v>
      </c>
      <c r="S29" s="437" t="str">
        <f t="shared" si="7"/>
        <v>--</v>
      </c>
      <c r="T29" s="438" t="str">
        <f t="shared" si="8"/>
        <v>--</v>
      </c>
      <c r="U29" s="181">
        <f t="shared" si="9"/>
      </c>
      <c r="V29" s="449">
        <f t="shared" si="10"/>
      </c>
      <c r="W29" s="60"/>
    </row>
    <row r="30" spans="2:23" s="8" customFormat="1" ht="16.5" customHeight="1">
      <c r="B30" s="55"/>
      <c r="C30" s="151"/>
      <c r="D30" s="151"/>
      <c r="E30" s="170"/>
      <c r="F30" s="440"/>
      <c r="G30" s="440"/>
      <c r="H30" s="441"/>
      <c r="I30" s="442">
        <f t="shared" si="0"/>
        <v>16.5546</v>
      </c>
      <c r="J30" s="443"/>
      <c r="K30" s="444"/>
      <c r="L30" s="445">
        <f t="shared" si="1"/>
      </c>
      <c r="M30" s="446">
        <f t="shared" si="2"/>
      </c>
      <c r="N30" s="179"/>
      <c r="O30" s="181">
        <f t="shared" si="3"/>
      </c>
      <c r="P30" s="447">
        <f t="shared" si="4"/>
        <v>40</v>
      </c>
      <c r="Q30" s="448" t="str">
        <f t="shared" si="5"/>
        <v>--</v>
      </c>
      <c r="R30" s="436" t="str">
        <f t="shared" si="6"/>
        <v>--</v>
      </c>
      <c r="S30" s="437" t="str">
        <f t="shared" si="7"/>
        <v>--</v>
      </c>
      <c r="T30" s="438" t="str">
        <f t="shared" si="8"/>
        <v>--</v>
      </c>
      <c r="U30" s="181">
        <f t="shared" si="9"/>
      </c>
      <c r="V30" s="449">
        <f t="shared" si="10"/>
      </c>
      <c r="W30" s="60"/>
    </row>
    <row r="31" spans="2:23" s="8" customFormat="1" ht="16.5" customHeight="1">
      <c r="B31" s="55"/>
      <c r="C31" s="151"/>
      <c r="D31" s="151"/>
      <c r="E31" s="151"/>
      <c r="F31" s="440"/>
      <c r="G31" s="440"/>
      <c r="H31" s="441"/>
      <c r="I31" s="442">
        <f t="shared" si="0"/>
        <v>16.5546</v>
      </c>
      <c r="J31" s="443"/>
      <c r="K31" s="444"/>
      <c r="L31" s="445">
        <f t="shared" si="1"/>
      </c>
      <c r="M31" s="446">
        <f t="shared" si="2"/>
      </c>
      <c r="N31" s="179"/>
      <c r="O31" s="181">
        <f t="shared" si="3"/>
      </c>
      <c r="P31" s="447">
        <f t="shared" si="4"/>
        <v>40</v>
      </c>
      <c r="Q31" s="448" t="str">
        <f t="shared" si="5"/>
        <v>--</v>
      </c>
      <c r="R31" s="436" t="str">
        <f t="shared" si="6"/>
        <v>--</v>
      </c>
      <c r="S31" s="437" t="str">
        <f t="shared" si="7"/>
        <v>--</v>
      </c>
      <c r="T31" s="438" t="str">
        <f t="shared" si="8"/>
        <v>--</v>
      </c>
      <c r="U31" s="181">
        <f t="shared" si="9"/>
      </c>
      <c r="V31" s="449">
        <f t="shared" si="10"/>
      </c>
      <c r="W31" s="60"/>
    </row>
    <row r="32" spans="2:23" s="8" customFormat="1" ht="16.5" customHeight="1">
      <c r="B32" s="55"/>
      <c r="C32" s="151"/>
      <c r="D32" s="151"/>
      <c r="E32" s="170"/>
      <c r="F32" s="440"/>
      <c r="G32" s="440"/>
      <c r="H32" s="441"/>
      <c r="I32" s="442">
        <f t="shared" si="0"/>
        <v>16.5546</v>
      </c>
      <c r="J32" s="443"/>
      <c r="K32" s="444"/>
      <c r="L32" s="445">
        <f t="shared" si="1"/>
      </c>
      <c r="M32" s="446">
        <f t="shared" si="2"/>
      </c>
      <c r="N32" s="179"/>
      <c r="O32" s="181">
        <f t="shared" si="3"/>
      </c>
      <c r="P32" s="447">
        <f t="shared" si="4"/>
        <v>40</v>
      </c>
      <c r="Q32" s="448" t="str">
        <f t="shared" si="5"/>
        <v>--</v>
      </c>
      <c r="R32" s="436" t="str">
        <f t="shared" si="6"/>
        <v>--</v>
      </c>
      <c r="S32" s="437" t="str">
        <f t="shared" si="7"/>
        <v>--</v>
      </c>
      <c r="T32" s="438" t="str">
        <f t="shared" si="8"/>
        <v>--</v>
      </c>
      <c r="U32" s="181">
        <f t="shared" si="9"/>
      </c>
      <c r="V32" s="449">
        <f t="shared" si="10"/>
      </c>
      <c r="W32" s="60"/>
    </row>
    <row r="33" spans="2:23" s="8" customFormat="1" ht="16.5" customHeight="1">
      <c r="B33" s="55"/>
      <c r="C33" s="151"/>
      <c r="D33" s="151"/>
      <c r="E33" s="151"/>
      <c r="F33" s="440"/>
      <c r="G33" s="440"/>
      <c r="H33" s="441"/>
      <c r="I33" s="442">
        <f t="shared" si="0"/>
        <v>16.5546</v>
      </c>
      <c r="J33" s="443"/>
      <c r="K33" s="444"/>
      <c r="L33" s="445">
        <f t="shared" si="1"/>
      </c>
      <c r="M33" s="446">
        <f t="shared" si="2"/>
      </c>
      <c r="N33" s="179"/>
      <c r="O33" s="181">
        <f t="shared" si="3"/>
      </c>
      <c r="P33" s="447">
        <f t="shared" si="4"/>
        <v>40</v>
      </c>
      <c r="Q33" s="448" t="str">
        <f t="shared" si="5"/>
        <v>--</v>
      </c>
      <c r="R33" s="436" t="str">
        <f t="shared" si="6"/>
        <v>--</v>
      </c>
      <c r="S33" s="437" t="str">
        <f t="shared" si="7"/>
        <v>--</v>
      </c>
      <c r="T33" s="438" t="str">
        <f t="shared" si="8"/>
        <v>--</v>
      </c>
      <c r="U33" s="181">
        <f t="shared" si="9"/>
      </c>
      <c r="V33" s="449">
        <f t="shared" si="10"/>
      </c>
      <c r="W33" s="60"/>
    </row>
    <row r="34" spans="2:23" s="8" customFormat="1" ht="16.5" customHeight="1">
      <c r="B34" s="55"/>
      <c r="C34" s="151"/>
      <c r="D34" s="151"/>
      <c r="E34" s="170"/>
      <c r="F34" s="440"/>
      <c r="G34" s="440"/>
      <c r="H34" s="441"/>
      <c r="I34" s="442">
        <f t="shared" si="0"/>
        <v>16.5546</v>
      </c>
      <c r="J34" s="443"/>
      <c r="K34" s="444"/>
      <c r="L34" s="445">
        <f t="shared" si="1"/>
      </c>
      <c r="M34" s="446">
        <f t="shared" si="2"/>
      </c>
      <c r="N34" s="179"/>
      <c r="O34" s="181">
        <f t="shared" si="3"/>
      </c>
      <c r="P34" s="447">
        <f t="shared" si="4"/>
        <v>40</v>
      </c>
      <c r="Q34" s="448" t="str">
        <f t="shared" si="5"/>
        <v>--</v>
      </c>
      <c r="R34" s="436" t="str">
        <f t="shared" si="6"/>
        <v>--</v>
      </c>
      <c r="S34" s="437" t="str">
        <f t="shared" si="7"/>
        <v>--</v>
      </c>
      <c r="T34" s="438" t="str">
        <f t="shared" si="8"/>
        <v>--</v>
      </c>
      <c r="U34" s="181">
        <f t="shared" si="9"/>
      </c>
      <c r="V34" s="449">
        <f t="shared" si="10"/>
      </c>
      <c r="W34" s="60"/>
    </row>
    <row r="35" spans="2:23" s="8" customFormat="1" ht="16.5" customHeight="1">
      <c r="B35" s="55"/>
      <c r="C35" s="151"/>
      <c r="D35" s="151"/>
      <c r="E35" s="151"/>
      <c r="F35" s="440"/>
      <c r="G35" s="440"/>
      <c r="H35" s="441"/>
      <c r="I35" s="442">
        <f t="shared" si="0"/>
        <v>16.5546</v>
      </c>
      <c r="J35" s="443"/>
      <c r="K35" s="444"/>
      <c r="L35" s="445">
        <f t="shared" si="1"/>
      </c>
      <c r="M35" s="446">
        <f t="shared" si="2"/>
      </c>
      <c r="N35" s="179"/>
      <c r="O35" s="181">
        <f t="shared" si="3"/>
      </c>
      <c r="P35" s="447">
        <f t="shared" si="4"/>
        <v>40</v>
      </c>
      <c r="Q35" s="448" t="str">
        <f t="shared" si="5"/>
        <v>--</v>
      </c>
      <c r="R35" s="436" t="str">
        <f t="shared" si="6"/>
        <v>--</v>
      </c>
      <c r="S35" s="437" t="str">
        <f t="shared" si="7"/>
        <v>--</v>
      </c>
      <c r="T35" s="438" t="str">
        <f t="shared" si="8"/>
        <v>--</v>
      </c>
      <c r="U35" s="181">
        <f t="shared" si="9"/>
      </c>
      <c r="V35" s="449">
        <f t="shared" si="10"/>
      </c>
      <c r="W35" s="60"/>
    </row>
    <row r="36" spans="2:23" s="8" customFormat="1" ht="16.5" customHeight="1">
      <c r="B36" s="55"/>
      <c r="C36" s="151"/>
      <c r="D36" s="151"/>
      <c r="E36" s="170"/>
      <c r="F36" s="440"/>
      <c r="G36" s="440"/>
      <c r="H36" s="441"/>
      <c r="I36" s="442">
        <f t="shared" si="0"/>
        <v>16.5546</v>
      </c>
      <c r="J36" s="443"/>
      <c r="K36" s="444"/>
      <c r="L36" s="445">
        <f t="shared" si="1"/>
      </c>
      <c r="M36" s="446">
        <f t="shared" si="2"/>
      </c>
      <c r="N36" s="179"/>
      <c r="O36" s="181">
        <f t="shared" si="3"/>
      </c>
      <c r="P36" s="447">
        <f t="shared" si="4"/>
        <v>40</v>
      </c>
      <c r="Q36" s="448" t="str">
        <f t="shared" si="5"/>
        <v>--</v>
      </c>
      <c r="R36" s="436" t="str">
        <f t="shared" si="6"/>
        <v>--</v>
      </c>
      <c r="S36" s="437" t="str">
        <f t="shared" si="7"/>
        <v>--</v>
      </c>
      <c r="T36" s="438" t="str">
        <f t="shared" si="8"/>
        <v>--</v>
      </c>
      <c r="U36" s="181">
        <f t="shared" si="9"/>
      </c>
      <c r="V36" s="449">
        <f t="shared" si="10"/>
      </c>
      <c r="W36" s="60"/>
    </row>
    <row r="37" spans="2:23" s="8" customFormat="1" ht="16.5" customHeight="1">
      <c r="B37" s="55"/>
      <c r="C37" s="151"/>
      <c r="D37" s="151"/>
      <c r="E37" s="151"/>
      <c r="F37" s="440"/>
      <c r="G37" s="440"/>
      <c r="H37" s="441"/>
      <c r="I37" s="442">
        <f t="shared" si="0"/>
        <v>16.5546</v>
      </c>
      <c r="J37" s="443"/>
      <c r="K37" s="444"/>
      <c r="L37" s="445">
        <f t="shared" si="1"/>
      </c>
      <c r="M37" s="446">
        <f t="shared" si="2"/>
      </c>
      <c r="N37" s="179"/>
      <c r="O37" s="181">
        <f t="shared" si="3"/>
      </c>
      <c r="P37" s="447">
        <f t="shared" si="4"/>
        <v>40</v>
      </c>
      <c r="Q37" s="448" t="str">
        <f t="shared" si="5"/>
        <v>--</v>
      </c>
      <c r="R37" s="436" t="str">
        <f t="shared" si="6"/>
        <v>--</v>
      </c>
      <c r="S37" s="437" t="str">
        <f t="shared" si="7"/>
        <v>--</v>
      </c>
      <c r="T37" s="438" t="str">
        <f t="shared" si="8"/>
        <v>--</v>
      </c>
      <c r="U37" s="181">
        <f t="shared" si="9"/>
      </c>
      <c r="V37" s="449">
        <f t="shared" si="10"/>
      </c>
      <c r="W37" s="60"/>
    </row>
    <row r="38" spans="2:23" s="8" customFormat="1" ht="16.5" customHeight="1">
      <c r="B38" s="55"/>
      <c r="C38" s="151"/>
      <c r="D38" s="151"/>
      <c r="E38" s="170"/>
      <c r="F38" s="440"/>
      <c r="G38" s="440"/>
      <c r="H38" s="441"/>
      <c r="I38" s="442">
        <f t="shared" si="0"/>
        <v>16.5546</v>
      </c>
      <c r="J38" s="443"/>
      <c r="K38" s="444"/>
      <c r="L38" s="445">
        <f t="shared" si="1"/>
      </c>
      <c r="M38" s="446">
        <f t="shared" si="2"/>
      </c>
      <c r="N38" s="179"/>
      <c r="O38" s="181">
        <f t="shared" si="3"/>
      </c>
      <c r="P38" s="447">
        <f t="shared" si="4"/>
        <v>40</v>
      </c>
      <c r="Q38" s="448" t="str">
        <f t="shared" si="5"/>
        <v>--</v>
      </c>
      <c r="R38" s="436" t="str">
        <f t="shared" si="6"/>
        <v>--</v>
      </c>
      <c r="S38" s="437" t="str">
        <f t="shared" si="7"/>
        <v>--</v>
      </c>
      <c r="T38" s="438" t="str">
        <f t="shared" si="8"/>
        <v>--</v>
      </c>
      <c r="U38" s="181">
        <f t="shared" si="9"/>
      </c>
      <c r="V38" s="449">
        <f t="shared" si="10"/>
      </c>
      <c r="W38" s="60"/>
    </row>
    <row r="39" spans="2:23" s="8" customFormat="1" ht="16.5" customHeight="1">
      <c r="B39" s="55"/>
      <c r="C39" s="151"/>
      <c r="D39" s="151"/>
      <c r="E39" s="151"/>
      <c r="F39" s="440"/>
      <c r="G39" s="440"/>
      <c r="H39" s="441"/>
      <c r="I39" s="442">
        <f t="shared" si="0"/>
        <v>16.5546</v>
      </c>
      <c r="J39" s="443"/>
      <c r="K39" s="444"/>
      <c r="L39" s="445">
        <f t="shared" si="1"/>
      </c>
      <c r="M39" s="446">
        <f t="shared" si="2"/>
      </c>
      <c r="N39" s="179"/>
      <c r="O39" s="181">
        <f t="shared" si="3"/>
      </c>
      <c r="P39" s="447">
        <f t="shared" si="4"/>
        <v>40</v>
      </c>
      <c r="Q39" s="448" t="str">
        <f t="shared" si="5"/>
        <v>--</v>
      </c>
      <c r="R39" s="436" t="str">
        <f t="shared" si="6"/>
        <v>--</v>
      </c>
      <c r="S39" s="437" t="str">
        <f t="shared" si="7"/>
        <v>--</v>
      </c>
      <c r="T39" s="438" t="str">
        <f t="shared" si="8"/>
        <v>--</v>
      </c>
      <c r="U39" s="181">
        <f t="shared" si="9"/>
      </c>
      <c r="V39" s="449">
        <f t="shared" si="10"/>
      </c>
      <c r="W39" s="60"/>
    </row>
    <row r="40" spans="2:23" s="8" customFormat="1" ht="16.5" customHeight="1">
      <c r="B40" s="55"/>
      <c r="C40" s="151"/>
      <c r="D40" s="151"/>
      <c r="E40" s="170"/>
      <c r="F40" s="440"/>
      <c r="G40" s="440"/>
      <c r="H40" s="441"/>
      <c r="I40" s="442">
        <f t="shared" si="0"/>
        <v>16.5546</v>
      </c>
      <c r="J40" s="443"/>
      <c r="K40" s="444"/>
      <c r="L40" s="445">
        <f t="shared" si="1"/>
      </c>
      <c r="M40" s="446">
        <f t="shared" si="2"/>
      </c>
      <c r="N40" s="179"/>
      <c r="O40" s="181">
        <f t="shared" si="3"/>
      </c>
      <c r="P40" s="447">
        <f t="shared" si="4"/>
        <v>40</v>
      </c>
      <c r="Q40" s="448" t="str">
        <f t="shared" si="5"/>
        <v>--</v>
      </c>
      <c r="R40" s="436" t="str">
        <f t="shared" si="6"/>
        <v>--</v>
      </c>
      <c r="S40" s="437" t="str">
        <f t="shared" si="7"/>
        <v>--</v>
      </c>
      <c r="T40" s="438" t="str">
        <f t="shared" si="8"/>
        <v>--</v>
      </c>
      <c r="U40" s="181">
        <f t="shared" si="9"/>
      </c>
      <c r="V40" s="449">
        <f t="shared" si="10"/>
      </c>
      <c r="W40" s="60"/>
    </row>
    <row r="41" spans="2:23" s="8" customFormat="1" ht="16.5" customHeight="1">
      <c r="B41" s="55"/>
      <c r="C41" s="151"/>
      <c r="D41" s="151"/>
      <c r="E41" s="151"/>
      <c r="F41" s="440"/>
      <c r="G41" s="440"/>
      <c r="H41" s="441"/>
      <c r="I41" s="442">
        <f t="shared" si="0"/>
        <v>16.5546</v>
      </c>
      <c r="J41" s="443"/>
      <c r="K41" s="444"/>
      <c r="L41" s="445">
        <f t="shared" si="1"/>
      </c>
      <c r="M41" s="446">
        <f t="shared" si="2"/>
      </c>
      <c r="N41" s="179"/>
      <c r="O41" s="181">
        <f t="shared" si="3"/>
      </c>
      <c r="P41" s="447">
        <f t="shared" si="4"/>
        <v>40</v>
      </c>
      <c r="Q41" s="448" t="str">
        <f t="shared" si="5"/>
        <v>--</v>
      </c>
      <c r="R41" s="436" t="str">
        <f t="shared" si="6"/>
        <v>--</v>
      </c>
      <c r="S41" s="437" t="str">
        <f t="shared" si="7"/>
        <v>--</v>
      </c>
      <c r="T41" s="438" t="str">
        <f t="shared" si="8"/>
        <v>--</v>
      </c>
      <c r="U41" s="181">
        <f t="shared" si="9"/>
      </c>
      <c r="V41" s="449">
        <f t="shared" si="10"/>
      </c>
      <c r="W41" s="60"/>
    </row>
    <row r="42" spans="2:23" s="8" customFormat="1" ht="16.5" customHeight="1">
      <c r="B42" s="55"/>
      <c r="C42" s="151"/>
      <c r="D42" s="151"/>
      <c r="E42" s="170"/>
      <c r="F42" s="440"/>
      <c r="G42" s="440"/>
      <c r="H42" s="441"/>
      <c r="I42" s="442">
        <f t="shared" si="0"/>
        <v>16.5546</v>
      </c>
      <c r="J42" s="443"/>
      <c r="K42" s="444"/>
      <c r="L42" s="445">
        <f t="shared" si="1"/>
      </c>
      <c r="M42" s="446">
        <f t="shared" si="2"/>
      </c>
      <c r="N42" s="179"/>
      <c r="O42" s="181">
        <f t="shared" si="3"/>
      </c>
      <c r="P42" s="447">
        <f t="shared" si="4"/>
        <v>40</v>
      </c>
      <c r="Q42" s="448" t="str">
        <f t="shared" si="5"/>
        <v>--</v>
      </c>
      <c r="R42" s="436" t="str">
        <f t="shared" si="6"/>
        <v>--</v>
      </c>
      <c r="S42" s="437" t="str">
        <f t="shared" si="7"/>
        <v>--</v>
      </c>
      <c r="T42" s="438" t="str">
        <f t="shared" si="8"/>
        <v>--</v>
      </c>
      <c r="U42" s="181">
        <f t="shared" si="9"/>
      </c>
      <c r="V42" s="449">
        <f t="shared" si="10"/>
      </c>
      <c r="W42" s="60"/>
    </row>
    <row r="43" spans="2:23" s="8" customFormat="1" ht="16.5" customHeight="1">
      <c r="B43" s="55"/>
      <c r="C43" s="151"/>
      <c r="D43" s="151"/>
      <c r="E43" s="151"/>
      <c r="F43" s="440"/>
      <c r="G43" s="440"/>
      <c r="H43" s="441"/>
      <c r="I43" s="442">
        <f t="shared" si="0"/>
        <v>16.5546</v>
      </c>
      <c r="J43" s="443"/>
      <c r="K43" s="444"/>
      <c r="L43" s="445">
        <f t="shared" si="1"/>
      </c>
      <c r="M43" s="446">
        <f t="shared" si="2"/>
      </c>
      <c r="N43" s="179"/>
      <c r="O43" s="181">
        <f t="shared" si="3"/>
      </c>
      <c r="P43" s="447">
        <f t="shared" si="4"/>
        <v>40</v>
      </c>
      <c r="Q43" s="448" t="str">
        <f t="shared" si="5"/>
        <v>--</v>
      </c>
      <c r="R43" s="436" t="str">
        <f t="shared" si="6"/>
        <v>--</v>
      </c>
      <c r="S43" s="437" t="str">
        <f t="shared" si="7"/>
        <v>--</v>
      </c>
      <c r="T43" s="438" t="str">
        <f t="shared" si="8"/>
        <v>--</v>
      </c>
      <c r="U43" s="181">
        <f t="shared" si="9"/>
      </c>
      <c r="V43" s="449">
        <f t="shared" si="10"/>
      </c>
      <c r="W43" s="60"/>
    </row>
    <row r="44" spans="2:23" s="8" customFormat="1" ht="16.5" customHeight="1" thickBot="1">
      <c r="B44" s="55"/>
      <c r="C44" s="205"/>
      <c r="D44" s="205"/>
      <c r="E44" s="205"/>
      <c r="F44" s="205"/>
      <c r="G44" s="205"/>
      <c r="H44" s="205"/>
      <c r="I44" s="361"/>
      <c r="J44" s="450"/>
      <c r="K44" s="450"/>
      <c r="L44" s="451"/>
      <c r="M44" s="451"/>
      <c r="N44" s="450"/>
      <c r="O44" s="212"/>
      <c r="P44" s="452"/>
      <c r="Q44" s="453"/>
      <c r="R44" s="454"/>
      <c r="S44" s="455"/>
      <c r="T44" s="456"/>
      <c r="U44" s="212"/>
      <c r="V44" s="457"/>
      <c r="W44" s="60"/>
    </row>
    <row r="45" spans="2:23" s="8" customFormat="1" ht="16.5" customHeight="1" thickBot="1" thickTop="1">
      <c r="B45" s="55"/>
      <c r="C45" s="226" t="s">
        <v>252</v>
      </c>
      <c r="D45" s="252" t="s">
        <v>338</v>
      </c>
      <c r="E45" s="226"/>
      <c r="F45" s="227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58">
        <f>SUM(Q22:Q44)</f>
        <v>403.93224</v>
      </c>
      <c r="R45" s="459">
        <f>SUM(R22:R44)</f>
        <v>0</v>
      </c>
      <c r="S45" s="460">
        <f>SUM(S22:S44)</f>
        <v>0</v>
      </c>
      <c r="T45" s="461">
        <f>SUM(T22:T44)</f>
        <v>0</v>
      </c>
      <c r="U45" s="462"/>
      <c r="V45" s="463">
        <f>ROUND(SUM(V22:V44),2)</f>
        <v>403.93</v>
      </c>
      <c r="W45" s="60"/>
    </row>
    <row r="46" spans="2:23" s="8" customFormat="1" ht="16.5" customHeight="1" thickBot="1" thickTop="1"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3"/>
    </row>
    <row r="47" spans="23:25" ht="16.5" customHeight="1" thickTop="1">
      <c r="W47" s="392"/>
      <c r="X47" s="392"/>
      <c r="Y47" s="392"/>
    </row>
    <row r="48" spans="23:25" ht="16.5" customHeight="1">
      <c r="W48" s="392"/>
      <c r="X48" s="392"/>
      <c r="Y48" s="392"/>
    </row>
    <row r="49" spans="23:25" ht="16.5" customHeight="1">
      <c r="W49" s="392"/>
      <c r="X49" s="392"/>
      <c r="Y49" s="392"/>
    </row>
    <row r="50" spans="23:25" ht="16.5" customHeight="1">
      <c r="W50" s="392"/>
      <c r="X50" s="392"/>
      <c r="Y50" s="392"/>
    </row>
    <row r="51" spans="23:25" ht="16.5" customHeight="1">
      <c r="W51" s="392"/>
      <c r="X51" s="392"/>
      <c r="Y51" s="392"/>
    </row>
    <row r="52" spans="6:25" ht="16.5" customHeight="1"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</row>
    <row r="53" spans="6:25" ht="16.5" customHeight="1"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</row>
    <row r="54" spans="6:25" ht="16.5" customHeight="1"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</row>
    <row r="55" spans="6:25" ht="16.5" customHeight="1"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</row>
    <row r="56" spans="6:25" ht="16.5" customHeight="1"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</row>
    <row r="57" spans="6:25" ht="16.5" customHeight="1"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</row>
    <row r="58" spans="6:25" ht="16.5" customHeight="1"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</row>
    <row r="59" spans="6:25" ht="16.5" customHeight="1"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</row>
    <row r="60" spans="6:25" ht="16.5" customHeight="1"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</row>
    <row r="61" spans="6:25" ht="16.5" customHeight="1"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</row>
    <row r="62" spans="6:25" ht="16.5" customHeight="1"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</row>
    <row r="63" spans="6:25" ht="16.5" customHeight="1"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</row>
    <row r="64" spans="6:25" ht="16.5" customHeight="1"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</row>
    <row r="65" spans="6:25" ht="16.5" customHeight="1"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</row>
    <row r="66" spans="6:25" ht="16.5" customHeight="1"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</row>
    <row r="67" spans="6:25" ht="16.5" customHeight="1"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</row>
    <row r="68" spans="6:25" ht="16.5" customHeight="1"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</row>
    <row r="69" spans="6:25" ht="16.5" customHeight="1"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</row>
    <row r="70" spans="6:25" ht="16.5" customHeight="1"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</row>
    <row r="71" spans="6:25" ht="16.5" customHeight="1"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</row>
    <row r="72" spans="6:25" ht="16.5" customHeight="1"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</row>
    <row r="73" spans="6:25" ht="16.5" customHeight="1"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</row>
    <row r="74" spans="6:25" ht="16.5" customHeight="1"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</row>
    <row r="75" spans="6:25" ht="16.5" customHeight="1"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</row>
    <row r="76" spans="6:25" ht="16.5" customHeight="1"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</row>
    <row r="77" spans="6:25" ht="16.5" customHeight="1"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</row>
    <row r="78" spans="6:25" ht="16.5" customHeight="1"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</row>
    <row r="79" spans="6:25" ht="16.5" customHeight="1"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</row>
    <row r="80" spans="6:25" ht="16.5" customHeight="1"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</row>
    <row r="81" spans="6:25" ht="16.5" customHeight="1"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</row>
    <row r="82" spans="6:25" ht="16.5" customHeight="1"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</row>
    <row r="83" spans="6:25" ht="16.5" customHeight="1"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</row>
    <row r="84" spans="6:25" ht="16.5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</row>
    <row r="85" spans="6:25" ht="16.5" customHeight="1"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</row>
    <row r="86" spans="6:25" ht="16.5" customHeight="1"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</row>
    <row r="87" spans="6:25" ht="16.5" customHeight="1"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</row>
    <row r="88" spans="6:25" ht="16.5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</row>
    <row r="89" spans="6:25" ht="16.5" customHeight="1"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</row>
    <row r="90" spans="6:25" ht="16.5" customHeight="1"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</row>
    <row r="91" spans="6:25" ht="16.5" customHeight="1"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</row>
    <row r="92" spans="6:25" ht="16.5" customHeight="1"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</row>
    <row r="93" spans="6:25" ht="16.5" customHeight="1"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</row>
    <row r="94" spans="6:25" ht="16.5" customHeight="1"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</row>
    <row r="95" spans="6:25" ht="16.5" customHeight="1"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</row>
    <row r="96" spans="6:25" ht="16.5" customHeight="1"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</row>
    <row r="97" spans="6:25" ht="16.5" customHeight="1"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</row>
    <row r="98" spans="6:25" ht="16.5" customHeight="1"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</row>
    <row r="99" spans="6:25" ht="16.5" customHeight="1"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</row>
    <row r="100" spans="6:25" ht="16.5" customHeight="1"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</row>
    <row r="101" spans="6:25" ht="16.5" customHeight="1"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</row>
    <row r="102" spans="6:25" ht="16.5" customHeight="1"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</row>
    <row r="103" spans="6:25" ht="16.5" customHeight="1"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</row>
    <row r="104" spans="6:25" ht="16.5" customHeight="1"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</row>
    <row r="105" spans="6:25" ht="16.5" customHeight="1"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</row>
    <row r="106" spans="6:25" ht="16.5" customHeight="1"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</row>
    <row r="107" spans="6:25" ht="16.5" customHeight="1"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</row>
    <row r="108" spans="6:25" ht="16.5" customHeight="1"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</row>
    <row r="109" spans="6:25" ht="16.5" customHeight="1"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</row>
    <row r="110" spans="6:25" ht="16.5" customHeight="1"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</row>
    <row r="111" spans="6:25" ht="16.5" customHeight="1"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</row>
    <row r="112" spans="6:25" ht="16.5" customHeight="1"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</row>
    <row r="113" spans="6:25" ht="16.5" customHeight="1"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</row>
    <row r="114" spans="6:25" ht="16.5" customHeight="1"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</row>
    <row r="115" spans="6:25" ht="16.5" customHeight="1"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</row>
    <row r="116" spans="6:25" ht="16.5" customHeight="1"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</row>
    <row r="117" spans="6:25" ht="16.5" customHeight="1"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</row>
    <row r="118" spans="6:25" ht="16.5" customHeight="1"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</row>
    <row r="119" spans="6:25" ht="16.5" customHeight="1"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</row>
    <row r="120" spans="6:25" ht="16.5" customHeight="1"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</row>
    <row r="121" spans="6:25" ht="16.5" customHeight="1"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</row>
    <row r="122" spans="6:25" ht="16.5" customHeight="1"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</row>
    <row r="123" spans="6:25" ht="16.5" customHeight="1"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</row>
    <row r="124" spans="6:25" ht="16.5" customHeight="1"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</row>
    <row r="125" spans="6:25" ht="16.5" customHeight="1"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</row>
    <row r="126" spans="6:25" ht="16.5" customHeight="1"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</row>
    <row r="127" spans="6:25" ht="16.5" customHeight="1"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</row>
    <row r="128" spans="6:25" ht="16.5" customHeight="1"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</row>
    <row r="129" spans="6:25" ht="16.5" customHeight="1"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</row>
    <row r="130" spans="6:25" ht="16.5" customHeight="1"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</row>
    <row r="131" spans="6:25" ht="16.5" customHeight="1"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</row>
    <row r="132" spans="6:25" ht="16.5" customHeight="1"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</row>
    <row r="133" spans="6:25" ht="16.5" customHeight="1"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</row>
    <row r="134" spans="6:25" ht="16.5" customHeight="1"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</row>
    <row r="135" spans="6:25" ht="16.5" customHeight="1"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</row>
    <row r="136" spans="6:25" ht="16.5" customHeight="1"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</row>
    <row r="137" spans="6:25" ht="16.5" customHeight="1"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</row>
    <row r="138" spans="6:25" ht="16.5" customHeight="1"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</row>
    <row r="139" spans="6:25" ht="16.5" customHeight="1"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</row>
    <row r="140" spans="6:25" ht="16.5" customHeight="1"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</row>
    <row r="141" spans="6:25" ht="16.5" customHeight="1"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</row>
    <row r="142" spans="6:25" ht="16.5" customHeight="1"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</row>
    <row r="143" spans="6:25" ht="16.5" customHeight="1"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</row>
    <row r="144" spans="6:25" ht="16.5" customHeight="1"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</row>
    <row r="145" spans="6:25" ht="16.5" customHeight="1"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</row>
    <row r="146" spans="6:25" ht="16.5" customHeight="1"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</row>
    <row r="147" spans="6:25" ht="16.5" customHeight="1"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</row>
    <row r="148" spans="6:25" ht="16.5" customHeight="1"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</row>
    <row r="149" spans="6:25" ht="16.5" customHeight="1"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</row>
    <row r="150" spans="6:25" ht="16.5" customHeight="1"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</row>
    <row r="151" spans="6:25" ht="16.5" customHeight="1"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</row>
    <row r="152" spans="6:25" ht="16.5" customHeight="1">
      <c r="F152" s="392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392"/>
      <c r="V152" s="392"/>
      <c r="W152" s="392"/>
      <c r="X152" s="392"/>
      <c r="Y152" s="392"/>
    </row>
    <row r="153" spans="6:25" ht="16.5" customHeight="1"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</row>
    <row r="154" spans="6:25" ht="16.5" customHeight="1"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</row>
    <row r="155" spans="6:25" ht="16.5" customHeight="1"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</row>
    <row r="156" spans="6:25" ht="16.5" customHeight="1"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</row>
    <row r="157" spans="6:25" ht="16.5" customHeight="1">
      <c r="F157" s="392"/>
      <c r="G157" s="392"/>
      <c r="H157" s="392"/>
      <c r="I157" s="392"/>
      <c r="J157" s="392"/>
      <c r="K157" s="392"/>
      <c r="L157" s="392"/>
      <c r="M157" s="392"/>
      <c r="N157" s="392"/>
      <c r="O157" s="392"/>
      <c r="P157" s="392"/>
      <c r="Q157" s="392"/>
      <c r="R157" s="392"/>
      <c r="S157" s="392"/>
      <c r="T157" s="392"/>
      <c r="U157" s="392"/>
      <c r="V157" s="392"/>
      <c r="W157" s="392"/>
      <c r="X157" s="392"/>
      <c r="Y157" s="392"/>
    </row>
    <row r="158" spans="6:25" ht="16.5" customHeight="1">
      <c r="F158" s="392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</row>
    <row r="159" spans="6:25" ht="16.5" customHeight="1">
      <c r="F159" s="392"/>
      <c r="G159" s="392"/>
      <c r="H159" s="392"/>
      <c r="I159" s="392"/>
      <c r="J159" s="392"/>
      <c r="K159" s="392"/>
      <c r="L159" s="392"/>
      <c r="M159" s="392"/>
      <c r="N159" s="392"/>
      <c r="O159" s="392"/>
      <c r="P159" s="392"/>
      <c r="Q159" s="392"/>
      <c r="R159" s="392"/>
      <c r="S159" s="392"/>
      <c r="T159" s="392"/>
      <c r="U159" s="392"/>
      <c r="V159" s="392"/>
      <c r="W159" s="392"/>
      <c r="X159" s="392"/>
      <c r="Y159" s="392"/>
    </row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Y158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6.5" customHeight="1"/>
  <cols>
    <col min="1" max="1" width="5.7109375" style="9" customWidth="1"/>
    <col min="2" max="2" width="4.140625" style="9" customWidth="1"/>
    <col min="3" max="3" width="5.57421875" style="9" customWidth="1"/>
    <col min="4" max="5" width="13.57421875" style="9" customWidth="1"/>
    <col min="6" max="6" width="36.7109375" style="9" customWidth="1"/>
    <col min="7" max="7" width="42.57421875" style="9" customWidth="1"/>
    <col min="8" max="8" width="9.7109375" style="9" customWidth="1"/>
    <col min="9" max="9" width="6.421875" style="9" hidden="1" customWidth="1"/>
    <col min="10" max="11" width="15.7109375" style="9" customWidth="1"/>
    <col min="12" max="14" width="9.7109375" style="9" customWidth="1"/>
    <col min="15" max="15" width="5.7109375" style="9" bestFit="1" customWidth="1"/>
    <col min="16" max="16" width="5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+'TOT-0312'!B2</f>
        <v>ANEXO IV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395"/>
    </row>
    <row r="8" spans="2:23" s="18" customFormat="1" ht="20.25">
      <c r="B8" s="96"/>
      <c r="C8" s="23"/>
      <c r="D8" s="23"/>
      <c r="E8" s="23"/>
      <c r="F8" s="396" t="s">
        <v>27</v>
      </c>
      <c r="N8" s="262"/>
      <c r="O8" s="262"/>
      <c r="P8" s="264"/>
      <c r="Q8" s="23"/>
      <c r="R8" s="23"/>
      <c r="S8" s="23"/>
      <c r="T8" s="23"/>
      <c r="U8" s="23"/>
      <c r="V8" s="23"/>
      <c r="W8" s="397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245" customFormat="1" ht="33" customHeight="1">
      <c r="B10" s="246"/>
      <c r="C10" s="247"/>
      <c r="D10" s="247"/>
      <c r="E10" s="247"/>
      <c r="F10" s="464" t="s">
        <v>67</v>
      </c>
      <c r="G10" s="465"/>
      <c r="H10" s="394"/>
      <c r="I10" s="466"/>
      <c r="K10" s="466"/>
      <c r="L10" s="466"/>
      <c r="M10" s="466"/>
      <c r="N10" s="466"/>
      <c r="O10" s="466"/>
      <c r="P10" s="466"/>
      <c r="Q10" s="247"/>
      <c r="R10" s="247"/>
      <c r="S10" s="247"/>
      <c r="T10" s="247"/>
      <c r="U10" s="247"/>
      <c r="V10" s="247"/>
      <c r="W10" s="467"/>
    </row>
    <row r="11" spans="2:23" s="248" customFormat="1" ht="33" customHeight="1">
      <c r="B11" s="249"/>
      <c r="C11" s="250"/>
      <c r="D11" s="250"/>
      <c r="E11" s="250"/>
      <c r="F11" s="464" t="s">
        <v>341</v>
      </c>
      <c r="G11" s="468"/>
      <c r="H11" s="393"/>
      <c r="I11" s="469"/>
      <c r="J11" s="470"/>
      <c r="K11" s="469"/>
      <c r="L11" s="469"/>
      <c r="M11" s="469"/>
      <c r="N11" s="469"/>
      <c r="O11" s="469"/>
      <c r="P11" s="469"/>
      <c r="Q11" s="250"/>
      <c r="R11" s="250"/>
      <c r="S11" s="250"/>
      <c r="T11" s="250"/>
      <c r="U11" s="250"/>
      <c r="V11" s="250"/>
      <c r="W11" s="471"/>
    </row>
    <row r="12" spans="2:23" s="8" customFormat="1" ht="19.5">
      <c r="B12" s="35" t="str">
        <f>'TOT-0312'!B14</f>
        <v>Desde el 01 al 31 de Marzo de 2012</v>
      </c>
      <c r="C12" s="39"/>
      <c r="D12" s="39"/>
      <c r="E12" s="39"/>
      <c r="F12" s="39"/>
      <c r="G12" s="39"/>
      <c r="H12" s="39"/>
      <c r="I12" s="403"/>
      <c r="J12" s="403"/>
      <c r="K12" s="403"/>
      <c r="L12" s="403"/>
      <c r="M12" s="403"/>
      <c r="N12" s="403"/>
      <c r="O12" s="403"/>
      <c r="P12" s="403"/>
      <c r="Q12" s="39"/>
      <c r="R12" s="39"/>
      <c r="S12" s="39"/>
      <c r="T12" s="39"/>
      <c r="U12" s="39"/>
      <c r="V12" s="39"/>
      <c r="W12" s="404"/>
    </row>
    <row r="13" spans="2:23" s="8" customFormat="1" ht="14.25" thickBot="1">
      <c r="B13" s="405"/>
      <c r="C13" s="406"/>
      <c r="D13" s="406"/>
      <c r="E13" s="406"/>
      <c r="F13" s="406"/>
      <c r="G13" s="406"/>
      <c r="H13" s="406"/>
      <c r="I13" s="407"/>
      <c r="J13" s="407"/>
      <c r="K13" s="407"/>
      <c r="L13" s="407"/>
      <c r="M13" s="407"/>
      <c r="N13" s="407"/>
      <c r="O13" s="407"/>
      <c r="P13" s="407"/>
      <c r="Q13" s="406"/>
      <c r="R13" s="406"/>
      <c r="S13" s="406"/>
      <c r="T13" s="406"/>
      <c r="U13" s="406"/>
      <c r="V13" s="406"/>
      <c r="W13" s="408"/>
    </row>
    <row r="14" spans="2:23" s="8" customFormat="1" ht="15" thickBot="1" thickTop="1">
      <c r="B14" s="55"/>
      <c r="C14" s="11"/>
      <c r="D14" s="11"/>
      <c r="E14" s="11"/>
      <c r="F14" s="409"/>
      <c r="G14" s="409"/>
      <c r="H14" s="410" t="s">
        <v>69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11" t="s">
        <v>70</v>
      </c>
      <c r="G15" s="412">
        <v>47.214</v>
      </c>
      <c r="H15" s="413">
        <v>200</v>
      </c>
      <c r="V15" s="110"/>
      <c r="W15" s="60"/>
    </row>
    <row r="16" spans="2:23" s="8" customFormat="1" ht="16.5" customHeight="1" thickBot="1" thickTop="1">
      <c r="B16" s="55"/>
      <c r="C16" s="11"/>
      <c r="D16" s="11"/>
      <c r="E16" s="11"/>
      <c r="F16" s="414" t="s">
        <v>71</v>
      </c>
      <c r="G16" s="415" t="s">
        <v>75</v>
      </c>
      <c r="H16" s="413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16" t="s">
        <v>72</v>
      </c>
      <c r="G17" s="472">
        <v>37.773</v>
      </c>
      <c r="H17" s="413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60"/>
    </row>
    <row r="19" spans="2:23" s="8" customFormat="1" ht="33.75" customHeight="1" thickBot="1" thickTop="1">
      <c r="B19" s="55"/>
      <c r="C19" s="296" t="s">
        <v>32</v>
      </c>
      <c r="D19" s="112" t="s">
        <v>33</v>
      </c>
      <c r="E19" s="112" t="s">
        <v>34</v>
      </c>
      <c r="F19" s="115" t="s">
        <v>60</v>
      </c>
      <c r="G19" s="417" t="s">
        <v>61</v>
      </c>
      <c r="H19" s="418" t="s">
        <v>35</v>
      </c>
      <c r="I19" s="301" t="s">
        <v>39</v>
      </c>
      <c r="J19" s="113" t="s">
        <v>40</v>
      </c>
      <c r="K19" s="417" t="s">
        <v>41</v>
      </c>
      <c r="L19" s="419" t="s">
        <v>42</v>
      </c>
      <c r="M19" s="419" t="s">
        <v>43</v>
      </c>
      <c r="N19" s="120" t="s">
        <v>251</v>
      </c>
      <c r="O19" s="119" t="s">
        <v>46</v>
      </c>
      <c r="P19" s="420" t="s">
        <v>38</v>
      </c>
      <c r="Q19" s="421" t="s">
        <v>73</v>
      </c>
      <c r="R19" s="422" t="s">
        <v>74</v>
      </c>
      <c r="S19" s="423"/>
      <c r="T19" s="424" t="s">
        <v>51</v>
      </c>
      <c r="U19" s="131" t="s">
        <v>53</v>
      </c>
      <c r="V19" s="300" t="s">
        <v>54</v>
      </c>
      <c r="W19" s="60"/>
    </row>
    <row r="20" spans="2:23" s="8" customFormat="1" ht="16.5" customHeight="1" thickTop="1">
      <c r="B20" s="55"/>
      <c r="C20" s="310"/>
      <c r="D20" s="310"/>
      <c r="E20" s="310"/>
      <c r="F20" s="425"/>
      <c r="G20" s="425"/>
      <c r="H20" s="425"/>
      <c r="I20" s="253"/>
      <c r="J20" s="425"/>
      <c r="K20" s="425"/>
      <c r="L20" s="425"/>
      <c r="M20" s="425"/>
      <c r="N20" s="425"/>
      <c r="O20" s="425"/>
      <c r="P20" s="426"/>
      <c r="Q20" s="427"/>
      <c r="R20" s="428"/>
      <c r="S20" s="429"/>
      <c r="T20" s="430"/>
      <c r="U20" s="425"/>
      <c r="V20" s="431"/>
      <c r="W20" s="60"/>
    </row>
    <row r="21" spans="2:23" s="8" customFormat="1" ht="16.5" customHeight="1">
      <c r="B21" s="55"/>
      <c r="C21" s="151"/>
      <c r="D21" s="151"/>
      <c r="E21" s="151"/>
      <c r="F21" s="432"/>
      <c r="G21" s="432"/>
      <c r="H21" s="432"/>
      <c r="I21" s="433"/>
      <c r="J21" s="432"/>
      <c r="K21" s="432"/>
      <c r="L21" s="432"/>
      <c r="M21" s="432"/>
      <c r="N21" s="432"/>
      <c r="O21" s="432"/>
      <c r="P21" s="434"/>
      <c r="Q21" s="435"/>
      <c r="R21" s="436"/>
      <c r="S21" s="437"/>
      <c r="T21" s="438"/>
      <c r="U21" s="432"/>
      <c r="V21" s="439"/>
      <c r="W21" s="60"/>
    </row>
    <row r="22" spans="2:23" s="8" customFormat="1" ht="16.5" customHeight="1">
      <c r="B22" s="55"/>
      <c r="C22" s="151">
        <v>66</v>
      </c>
      <c r="D22" s="151">
        <v>245241</v>
      </c>
      <c r="E22" s="251">
        <v>3481</v>
      </c>
      <c r="F22" s="440" t="s">
        <v>289</v>
      </c>
      <c r="G22" s="440" t="s">
        <v>331</v>
      </c>
      <c r="H22" s="441">
        <v>132</v>
      </c>
      <c r="I22" s="442">
        <f aca="true" t="shared" si="0" ref="I22:I42">IF(H22=500,$G$15,IF(H22=220,$G$16,$G$17))</f>
        <v>37.773</v>
      </c>
      <c r="J22" s="443">
        <v>40969.33819444444</v>
      </c>
      <c r="K22" s="444">
        <v>40969.575</v>
      </c>
      <c r="L22" s="445">
        <f>IF(F22="","",(K22-J22)*24)</f>
        <v>5.683333333348855</v>
      </c>
      <c r="M22" s="446">
        <f>IF(F22="","",ROUND((K22-J22)*24*60,0))</f>
        <v>341</v>
      </c>
      <c r="N22" s="179" t="s">
        <v>253</v>
      </c>
      <c r="O22" s="181" t="str">
        <f>IF(F22="","",IF(N22="P","--","NO"))</f>
        <v>--</v>
      </c>
      <c r="P22" s="447">
        <f>IF(H22=500,$H$15,IF(H22=220,$H$16,$H$17))</f>
        <v>40</v>
      </c>
      <c r="Q22" s="448">
        <f>IF(N22="P",I22*P22*ROUND(M22/60,2)*0.1,"--")</f>
        <v>858.2025600000002</v>
      </c>
      <c r="R22" s="436" t="str">
        <f>IF(AND(N22="F",O22="NO"),I22*P22,"--")</f>
        <v>--</v>
      </c>
      <c r="S22" s="437" t="str">
        <f>IF(N22="F",I22*P22*ROUND(M22/60,2),"--")</f>
        <v>--</v>
      </c>
      <c r="T22" s="438" t="str">
        <f>IF(N22="RF",I22*P22*ROUND(M22/60,2),"--")</f>
        <v>--</v>
      </c>
      <c r="U22" s="181" t="s">
        <v>77</v>
      </c>
      <c r="V22" s="449">
        <f>IF(F22="","",SUM(Q22:T22)*IF(U22="SI",1,2))</f>
        <v>858.2025600000002</v>
      </c>
      <c r="W22" s="60"/>
    </row>
    <row r="23" spans="2:23" s="8" customFormat="1" ht="16.5" customHeight="1">
      <c r="B23" s="55"/>
      <c r="C23" s="151">
        <v>67</v>
      </c>
      <c r="D23" s="151">
        <v>245242</v>
      </c>
      <c r="E23" s="170">
        <v>2589</v>
      </c>
      <c r="F23" s="440" t="s">
        <v>289</v>
      </c>
      <c r="G23" s="440" t="s">
        <v>290</v>
      </c>
      <c r="H23" s="441">
        <v>132</v>
      </c>
      <c r="I23" s="442">
        <f t="shared" si="0"/>
        <v>37.773</v>
      </c>
      <c r="J23" s="443">
        <v>40969.353472222225</v>
      </c>
      <c r="K23" s="444">
        <v>40969.71666666667</v>
      </c>
      <c r="L23" s="445">
        <f aca="true" t="shared" si="1" ref="L23:L42">IF(F23="","",(K23-J23)*24)</f>
        <v>8.71666666661622</v>
      </c>
      <c r="M23" s="446">
        <f aca="true" t="shared" si="2" ref="M23:M42">IF(F23="","",ROUND((K23-J23)*24*60,0))</f>
        <v>523</v>
      </c>
      <c r="N23" s="179" t="s">
        <v>253</v>
      </c>
      <c r="O23" s="181" t="str">
        <f aca="true" t="shared" si="3" ref="O23:O42">IF(F23="","",IF(N23="P","--","NO"))</f>
        <v>--</v>
      </c>
      <c r="P23" s="447">
        <f aca="true" t="shared" si="4" ref="P23:P42">IF(H23=500,$H$15,IF(H23=220,$H$16,$H$17))</f>
        <v>40</v>
      </c>
      <c r="Q23" s="448">
        <f aca="true" t="shared" si="5" ref="Q23:Q42">IF(N23="P",I23*P23*ROUND(M23/60,2)*0.1,"--")</f>
        <v>1317.5222400000002</v>
      </c>
      <c r="R23" s="436" t="str">
        <f aca="true" t="shared" si="6" ref="R23:R42">IF(AND(N23="F",O23="NO"),I23*P23,"--")</f>
        <v>--</v>
      </c>
      <c r="S23" s="437" t="str">
        <f aca="true" t="shared" si="7" ref="S23:S42">IF(N23="F",I23*P23*ROUND(M23/60,2),"--")</f>
        <v>--</v>
      </c>
      <c r="T23" s="438" t="str">
        <f aca="true" t="shared" si="8" ref="T23:T42">IF(N23="RF",I23*P23*ROUND(M23/60,2),"--")</f>
        <v>--</v>
      </c>
      <c r="U23" s="181" t="s">
        <v>77</v>
      </c>
      <c r="V23" s="449">
        <f aca="true" t="shared" si="9" ref="V23:V42">IF(F23="","",SUM(Q23:T23)*IF(U23="SI",1,2))</f>
        <v>1317.5222400000002</v>
      </c>
      <c r="W23" s="60"/>
    </row>
    <row r="24" spans="2:23" s="8" customFormat="1" ht="16.5" customHeight="1">
      <c r="B24" s="55"/>
      <c r="C24" s="151">
        <v>68</v>
      </c>
      <c r="D24" s="151">
        <v>245244</v>
      </c>
      <c r="E24" s="151">
        <v>2604</v>
      </c>
      <c r="F24" s="440" t="s">
        <v>291</v>
      </c>
      <c r="G24" s="440" t="s">
        <v>292</v>
      </c>
      <c r="H24" s="441">
        <v>132</v>
      </c>
      <c r="I24" s="442">
        <f t="shared" si="0"/>
        <v>37.773</v>
      </c>
      <c r="J24" s="443">
        <v>40969.43819444445</v>
      </c>
      <c r="K24" s="444">
        <v>40969.58125</v>
      </c>
      <c r="L24" s="445">
        <f t="shared" si="1"/>
        <v>3.4333333333488554</v>
      </c>
      <c r="M24" s="446">
        <f t="shared" si="2"/>
        <v>206</v>
      </c>
      <c r="N24" s="179" t="s">
        <v>253</v>
      </c>
      <c r="O24" s="181" t="str">
        <f t="shared" si="3"/>
        <v>--</v>
      </c>
      <c r="P24" s="447">
        <f t="shared" si="4"/>
        <v>40</v>
      </c>
      <c r="Q24" s="448">
        <f t="shared" si="5"/>
        <v>518.2455600000001</v>
      </c>
      <c r="R24" s="436" t="str">
        <f t="shared" si="6"/>
        <v>--</v>
      </c>
      <c r="S24" s="437" t="str">
        <f t="shared" si="7"/>
        <v>--</v>
      </c>
      <c r="T24" s="438" t="str">
        <f t="shared" si="8"/>
        <v>--</v>
      </c>
      <c r="U24" s="181" t="s">
        <v>77</v>
      </c>
      <c r="V24" s="449">
        <f t="shared" si="9"/>
        <v>518.2455600000001</v>
      </c>
      <c r="W24" s="60"/>
    </row>
    <row r="25" spans="2:23" s="8" customFormat="1" ht="16.5" customHeight="1">
      <c r="B25" s="55"/>
      <c r="C25" s="151">
        <v>69</v>
      </c>
      <c r="D25" s="151">
        <v>245245</v>
      </c>
      <c r="E25" s="170">
        <v>3480</v>
      </c>
      <c r="F25" s="440" t="s">
        <v>293</v>
      </c>
      <c r="G25" s="440" t="s">
        <v>294</v>
      </c>
      <c r="H25" s="441">
        <v>132</v>
      </c>
      <c r="I25" s="442">
        <f t="shared" si="0"/>
        <v>37.773</v>
      </c>
      <c r="J25" s="443">
        <v>40969.57638888889</v>
      </c>
      <c r="K25" s="444">
        <v>40969.77916666667</v>
      </c>
      <c r="L25" s="445">
        <f t="shared" si="1"/>
        <v>4.866666666639503</v>
      </c>
      <c r="M25" s="446">
        <f t="shared" si="2"/>
        <v>292</v>
      </c>
      <c r="N25" s="179" t="s">
        <v>253</v>
      </c>
      <c r="O25" s="181" t="str">
        <f t="shared" si="3"/>
        <v>--</v>
      </c>
      <c r="P25" s="447">
        <f t="shared" si="4"/>
        <v>40</v>
      </c>
      <c r="Q25" s="448">
        <f t="shared" si="5"/>
        <v>735.8180400000001</v>
      </c>
      <c r="R25" s="436" t="str">
        <f t="shared" si="6"/>
        <v>--</v>
      </c>
      <c r="S25" s="437" t="str">
        <f t="shared" si="7"/>
        <v>--</v>
      </c>
      <c r="T25" s="438" t="str">
        <f t="shared" si="8"/>
        <v>--</v>
      </c>
      <c r="U25" s="181" t="s">
        <v>77</v>
      </c>
      <c r="V25" s="449">
        <f t="shared" si="9"/>
        <v>735.8180400000001</v>
      </c>
      <c r="W25" s="60"/>
    </row>
    <row r="26" spans="2:23" s="8" customFormat="1" ht="16.5" customHeight="1">
      <c r="B26" s="55"/>
      <c r="C26" s="151">
        <v>70</v>
      </c>
      <c r="D26" s="151">
        <v>245336</v>
      </c>
      <c r="E26" s="151">
        <v>2636</v>
      </c>
      <c r="F26" s="440" t="s">
        <v>289</v>
      </c>
      <c r="G26" s="440" t="s">
        <v>531</v>
      </c>
      <c r="H26" s="441">
        <v>500</v>
      </c>
      <c r="I26" s="442">
        <f t="shared" si="0"/>
        <v>47.214</v>
      </c>
      <c r="J26" s="443">
        <v>40976.396527777775</v>
      </c>
      <c r="K26" s="444">
        <v>40976.81319444445</v>
      </c>
      <c r="L26" s="445">
        <f t="shared" si="1"/>
        <v>10.000000000116415</v>
      </c>
      <c r="M26" s="446">
        <f t="shared" si="2"/>
        <v>600</v>
      </c>
      <c r="N26" s="179" t="s">
        <v>253</v>
      </c>
      <c r="O26" s="181" t="str">
        <f t="shared" si="3"/>
        <v>--</v>
      </c>
      <c r="P26" s="447">
        <f t="shared" si="4"/>
        <v>200</v>
      </c>
      <c r="Q26" s="448">
        <f t="shared" si="5"/>
        <v>9442.800000000001</v>
      </c>
      <c r="R26" s="436" t="str">
        <f t="shared" si="6"/>
        <v>--</v>
      </c>
      <c r="S26" s="437" t="str">
        <f t="shared" si="7"/>
        <v>--</v>
      </c>
      <c r="T26" s="438" t="str">
        <f t="shared" si="8"/>
        <v>--</v>
      </c>
      <c r="U26" s="181" t="s">
        <v>77</v>
      </c>
      <c r="V26" s="449">
        <f t="shared" si="9"/>
        <v>9442.800000000001</v>
      </c>
      <c r="W26" s="60"/>
    </row>
    <row r="27" spans="2:23" s="8" customFormat="1" ht="16.5" customHeight="1">
      <c r="B27" s="55"/>
      <c r="C27" s="151">
        <v>71</v>
      </c>
      <c r="D27" s="151">
        <v>245647</v>
      </c>
      <c r="E27" s="170">
        <v>2595</v>
      </c>
      <c r="F27" s="440" t="s">
        <v>295</v>
      </c>
      <c r="G27" s="440" t="s">
        <v>296</v>
      </c>
      <c r="H27" s="441">
        <v>132</v>
      </c>
      <c r="I27" s="442">
        <f t="shared" si="0"/>
        <v>37.773</v>
      </c>
      <c r="J27" s="443">
        <v>40982.381944444445</v>
      </c>
      <c r="K27" s="444">
        <v>40982.71666666667</v>
      </c>
      <c r="L27" s="445">
        <f t="shared" si="1"/>
        <v>8.033333333325572</v>
      </c>
      <c r="M27" s="446">
        <f t="shared" si="2"/>
        <v>482</v>
      </c>
      <c r="N27" s="179" t="s">
        <v>253</v>
      </c>
      <c r="O27" s="181" t="str">
        <f t="shared" si="3"/>
        <v>--</v>
      </c>
      <c r="P27" s="447">
        <f t="shared" si="4"/>
        <v>40</v>
      </c>
      <c r="Q27" s="448">
        <f t="shared" si="5"/>
        <v>1213.26876</v>
      </c>
      <c r="R27" s="436" t="str">
        <f t="shared" si="6"/>
        <v>--</v>
      </c>
      <c r="S27" s="437" t="str">
        <f t="shared" si="7"/>
        <v>--</v>
      </c>
      <c r="T27" s="438" t="str">
        <f t="shared" si="8"/>
        <v>--</v>
      </c>
      <c r="U27" s="181" t="s">
        <v>77</v>
      </c>
      <c r="V27" s="449">
        <f t="shared" si="9"/>
        <v>1213.26876</v>
      </c>
      <c r="W27" s="60"/>
    </row>
    <row r="28" spans="2:23" s="8" customFormat="1" ht="16.5" customHeight="1">
      <c r="B28" s="55"/>
      <c r="C28" s="151">
        <v>72</v>
      </c>
      <c r="D28" s="151">
        <v>245650</v>
      </c>
      <c r="E28" s="151">
        <v>3480</v>
      </c>
      <c r="F28" s="440" t="s">
        <v>293</v>
      </c>
      <c r="G28" s="440" t="s">
        <v>294</v>
      </c>
      <c r="H28" s="441">
        <v>132</v>
      </c>
      <c r="I28" s="442">
        <f t="shared" si="0"/>
        <v>37.773</v>
      </c>
      <c r="J28" s="443">
        <v>40983.43541666667</v>
      </c>
      <c r="K28" s="444">
        <v>40983.586805555555</v>
      </c>
      <c r="L28" s="445">
        <f t="shared" si="1"/>
        <v>3.6333333333022892</v>
      </c>
      <c r="M28" s="446">
        <f t="shared" si="2"/>
        <v>218</v>
      </c>
      <c r="N28" s="179" t="s">
        <v>253</v>
      </c>
      <c r="O28" s="181" t="str">
        <f t="shared" si="3"/>
        <v>--</v>
      </c>
      <c r="P28" s="447">
        <f t="shared" si="4"/>
        <v>40</v>
      </c>
      <c r="Q28" s="448">
        <f t="shared" si="5"/>
        <v>548.46396</v>
      </c>
      <c r="R28" s="436" t="str">
        <f t="shared" si="6"/>
        <v>--</v>
      </c>
      <c r="S28" s="437" t="str">
        <f t="shared" si="7"/>
        <v>--</v>
      </c>
      <c r="T28" s="438" t="str">
        <f t="shared" si="8"/>
        <v>--</v>
      </c>
      <c r="U28" s="181" t="s">
        <v>77</v>
      </c>
      <c r="V28" s="449">
        <f t="shared" si="9"/>
        <v>548.46396</v>
      </c>
      <c r="W28" s="60"/>
    </row>
    <row r="29" spans="2:23" s="8" customFormat="1" ht="16.5" customHeight="1">
      <c r="B29" s="55"/>
      <c r="C29" s="151"/>
      <c r="D29" s="151"/>
      <c r="E29" s="170"/>
      <c r="F29" s="440"/>
      <c r="G29" s="440"/>
      <c r="H29" s="441"/>
      <c r="I29" s="442">
        <f t="shared" si="0"/>
        <v>37.773</v>
      </c>
      <c r="J29" s="443"/>
      <c r="K29" s="444"/>
      <c r="L29" s="445">
        <f t="shared" si="1"/>
      </c>
      <c r="M29" s="446">
        <f t="shared" si="2"/>
      </c>
      <c r="N29" s="179"/>
      <c r="O29" s="181">
        <f t="shared" si="3"/>
      </c>
      <c r="P29" s="447">
        <f t="shared" si="4"/>
        <v>40</v>
      </c>
      <c r="Q29" s="448" t="str">
        <f t="shared" si="5"/>
        <v>--</v>
      </c>
      <c r="R29" s="436" t="str">
        <f t="shared" si="6"/>
        <v>--</v>
      </c>
      <c r="S29" s="437" t="str">
        <f t="shared" si="7"/>
        <v>--</v>
      </c>
      <c r="T29" s="438" t="str">
        <f t="shared" si="8"/>
        <v>--</v>
      </c>
      <c r="U29" s="181">
        <f aca="true" t="shared" si="10" ref="U29:U42">IF(F29="","","SI")</f>
      </c>
      <c r="V29" s="449">
        <f t="shared" si="9"/>
      </c>
      <c r="W29" s="60"/>
    </row>
    <row r="30" spans="2:23" s="8" customFormat="1" ht="16.5" customHeight="1">
      <c r="B30" s="55"/>
      <c r="C30" s="151"/>
      <c r="D30" s="151"/>
      <c r="E30" s="151"/>
      <c r="F30" s="440"/>
      <c r="G30" s="440"/>
      <c r="H30" s="441"/>
      <c r="I30" s="442">
        <f t="shared" si="0"/>
        <v>37.773</v>
      </c>
      <c r="J30" s="443"/>
      <c r="K30" s="444"/>
      <c r="L30" s="445">
        <f t="shared" si="1"/>
      </c>
      <c r="M30" s="446">
        <f t="shared" si="2"/>
      </c>
      <c r="N30" s="179"/>
      <c r="O30" s="181">
        <f t="shared" si="3"/>
      </c>
      <c r="P30" s="447">
        <f t="shared" si="4"/>
        <v>40</v>
      </c>
      <c r="Q30" s="448" t="str">
        <f t="shared" si="5"/>
        <v>--</v>
      </c>
      <c r="R30" s="436" t="str">
        <f t="shared" si="6"/>
        <v>--</v>
      </c>
      <c r="S30" s="437" t="str">
        <f t="shared" si="7"/>
        <v>--</v>
      </c>
      <c r="T30" s="438" t="str">
        <f t="shared" si="8"/>
        <v>--</v>
      </c>
      <c r="U30" s="181">
        <f t="shared" si="10"/>
      </c>
      <c r="V30" s="449">
        <f t="shared" si="9"/>
      </c>
      <c r="W30" s="60"/>
    </row>
    <row r="31" spans="2:23" s="8" customFormat="1" ht="16.5" customHeight="1">
      <c r="B31" s="55"/>
      <c r="C31" s="151"/>
      <c r="D31" s="151"/>
      <c r="E31" s="170"/>
      <c r="F31" s="440"/>
      <c r="G31" s="440"/>
      <c r="H31" s="441"/>
      <c r="I31" s="442">
        <f t="shared" si="0"/>
        <v>37.773</v>
      </c>
      <c r="J31" s="443"/>
      <c r="K31" s="444"/>
      <c r="L31" s="445">
        <f t="shared" si="1"/>
      </c>
      <c r="M31" s="446">
        <f t="shared" si="2"/>
      </c>
      <c r="N31" s="179"/>
      <c r="O31" s="181">
        <f t="shared" si="3"/>
      </c>
      <c r="P31" s="447">
        <f t="shared" si="4"/>
        <v>40</v>
      </c>
      <c r="Q31" s="448" t="str">
        <f t="shared" si="5"/>
        <v>--</v>
      </c>
      <c r="R31" s="436" t="str">
        <f t="shared" si="6"/>
        <v>--</v>
      </c>
      <c r="S31" s="437" t="str">
        <f t="shared" si="7"/>
        <v>--</v>
      </c>
      <c r="T31" s="438" t="str">
        <f t="shared" si="8"/>
        <v>--</v>
      </c>
      <c r="U31" s="181">
        <f t="shared" si="10"/>
      </c>
      <c r="V31" s="449">
        <f t="shared" si="9"/>
      </c>
      <c r="W31" s="60"/>
    </row>
    <row r="32" spans="2:23" s="8" customFormat="1" ht="16.5" customHeight="1">
      <c r="B32" s="55"/>
      <c r="C32" s="151"/>
      <c r="D32" s="151"/>
      <c r="E32" s="151"/>
      <c r="F32" s="440"/>
      <c r="G32" s="440"/>
      <c r="H32" s="441"/>
      <c r="I32" s="442">
        <f t="shared" si="0"/>
        <v>37.773</v>
      </c>
      <c r="J32" s="443"/>
      <c r="K32" s="444"/>
      <c r="L32" s="445">
        <f t="shared" si="1"/>
      </c>
      <c r="M32" s="446">
        <f t="shared" si="2"/>
      </c>
      <c r="N32" s="179"/>
      <c r="O32" s="181">
        <f t="shared" si="3"/>
      </c>
      <c r="P32" s="447">
        <f t="shared" si="4"/>
        <v>40</v>
      </c>
      <c r="Q32" s="448" t="str">
        <f t="shared" si="5"/>
        <v>--</v>
      </c>
      <c r="R32" s="436" t="str">
        <f t="shared" si="6"/>
        <v>--</v>
      </c>
      <c r="S32" s="437" t="str">
        <f t="shared" si="7"/>
        <v>--</v>
      </c>
      <c r="T32" s="438" t="str">
        <f t="shared" si="8"/>
        <v>--</v>
      </c>
      <c r="U32" s="181">
        <f t="shared" si="10"/>
      </c>
      <c r="V32" s="449">
        <f t="shared" si="9"/>
      </c>
      <c r="W32" s="60"/>
    </row>
    <row r="33" spans="2:23" s="8" customFormat="1" ht="16.5" customHeight="1">
      <c r="B33" s="55"/>
      <c r="C33" s="151"/>
      <c r="D33" s="151"/>
      <c r="E33" s="170"/>
      <c r="F33" s="440"/>
      <c r="G33" s="440"/>
      <c r="H33" s="441"/>
      <c r="I33" s="442">
        <f t="shared" si="0"/>
        <v>37.773</v>
      </c>
      <c r="J33" s="443"/>
      <c r="K33" s="444"/>
      <c r="L33" s="445">
        <f t="shared" si="1"/>
      </c>
      <c r="M33" s="446">
        <f t="shared" si="2"/>
      </c>
      <c r="N33" s="179"/>
      <c r="O33" s="181">
        <f t="shared" si="3"/>
      </c>
      <c r="P33" s="447">
        <f t="shared" si="4"/>
        <v>40</v>
      </c>
      <c r="Q33" s="448" t="str">
        <f t="shared" si="5"/>
        <v>--</v>
      </c>
      <c r="R33" s="436" t="str">
        <f t="shared" si="6"/>
        <v>--</v>
      </c>
      <c r="S33" s="437" t="str">
        <f t="shared" si="7"/>
        <v>--</v>
      </c>
      <c r="T33" s="438" t="str">
        <f t="shared" si="8"/>
        <v>--</v>
      </c>
      <c r="U33" s="181">
        <f t="shared" si="10"/>
      </c>
      <c r="V33" s="449">
        <f t="shared" si="9"/>
      </c>
      <c r="W33" s="60"/>
    </row>
    <row r="34" spans="2:23" s="8" customFormat="1" ht="16.5" customHeight="1">
      <c r="B34" s="55"/>
      <c r="C34" s="151"/>
      <c r="D34" s="151"/>
      <c r="E34" s="151"/>
      <c r="F34" s="440"/>
      <c r="G34" s="440"/>
      <c r="H34" s="441"/>
      <c r="I34" s="442">
        <f t="shared" si="0"/>
        <v>37.773</v>
      </c>
      <c r="J34" s="443"/>
      <c r="K34" s="444"/>
      <c r="L34" s="445">
        <f t="shared" si="1"/>
      </c>
      <c r="M34" s="446">
        <f t="shared" si="2"/>
      </c>
      <c r="N34" s="179"/>
      <c r="O34" s="181">
        <f t="shared" si="3"/>
      </c>
      <c r="P34" s="447">
        <f t="shared" si="4"/>
        <v>40</v>
      </c>
      <c r="Q34" s="448" t="str">
        <f t="shared" si="5"/>
        <v>--</v>
      </c>
      <c r="R34" s="436" t="str">
        <f t="shared" si="6"/>
        <v>--</v>
      </c>
      <c r="S34" s="437" t="str">
        <f t="shared" si="7"/>
        <v>--</v>
      </c>
      <c r="T34" s="438" t="str">
        <f t="shared" si="8"/>
        <v>--</v>
      </c>
      <c r="U34" s="181">
        <f t="shared" si="10"/>
      </c>
      <c r="V34" s="449">
        <f t="shared" si="9"/>
      </c>
      <c r="W34" s="60"/>
    </row>
    <row r="35" spans="2:23" s="8" customFormat="1" ht="16.5" customHeight="1">
      <c r="B35" s="55"/>
      <c r="C35" s="151"/>
      <c r="D35" s="151"/>
      <c r="E35" s="170"/>
      <c r="F35" s="440"/>
      <c r="G35" s="440"/>
      <c r="H35" s="441"/>
      <c r="I35" s="442">
        <f t="shared" si="0"/>
        <v>37.773</v>
      </c>
      <c r="J35" s="443"/>
      <c r="K35" s="444"/>
      <c r="L35" s="445">
        <f t="shared" si="1"/>
      </c>
      <c r="M35" s="446">
        <f t="shared" si="2"/>
      </c>
      <c r="N35" s="179"/>
      <c r="O35" s="181">
        <f t="shared" si="3"/>
      </c>
      <c r="P35" s="447">
        <f t="shared" si="4"/>
        <v>40</v>
      </c>
      <c r="Q35" s="448" t="str">
        <f t="shared" si="5"/>
        <v>--</v>
      </c>
      <c r="R35" s="436" t="str">
        <f t="shared" si="6"/>
        <v>--</v>
      </c>
      <c r="S35" s="437" t="str">
        <f t="shared" si="7"/>
        <v>--</v>
      </c>
      <c r="T35" s="438" t="str">
        <f t="shared" si="8"/>
        <v>--</v>
      </c>
      <c r="U35" s="181">
        <f t="shared" si="10"/>
      </c>
      <c r="V35" s="449">
        <f t="shared" si="9"/>
      </c>
      <c r="W35" s="60"/>
    </row>
    <row r="36" spans="2:23" s="8" customFormat="1" ht="16.5" customHeight="1">
      <c r="B36" s="55"/>
      <c r="C36" s="151"/>
      <c r="D36" s="151"/>
      <c r="E36" s="151"/>
      <c r="F36" s="440"/>
      <c r="G36" s="440"/>
      <c r="H36" s="441"/>
      <c r="I36" s="442">
        <f t="shared" si="0"/>
        <v>37.773</v>
      </c>
      <c r="J36" s="443"/>
      <c r="K36" s="444"/>
      <c r="L36" s="445">
        <f t="shared" si="1"/>
      </c>
      <c r="M36" s="446">
        <f t="shared" si="2"/>
      </c>
      <c r="N36" s="179"/>
      <c r="O36" s="181">
        <f t="shared" si="3"/>
      </c>
      <c r="P36" s="447">
        <f t="shared" si="4"/>
        <v>40</v>
      </c>
      <c r="Q36" s="448" t="str">
        <f t="shared" si="5"/>
        <v>--</v>
      </c>
      <c r="R36" s="436" t="str">
        <f t="shared" si="6"/>
        <v>--</v>
      </c>
      <c r="S36" s="437" t="str">
        <f t="shared" si="7"/>
        <v>--</v>
      </c>
      <c r="T36" s="438" t="str">
        <f t="shared" si="8"/>
        <v>--</v>
      </c>
      <c r="U36" s="181">
        <f t="shared" si="10"/>
      </c>
      <c r="V36" s="449">
        <f t="shared" si="9"/>
      </c>
      <c r="W36" s="60"/>
    </row>
    <row r="37" spans="2:23" s="8" customFormat="1" ht="16.5" customHeight="1">
      <c r="B37" s="55"/>
      <c r="C37" s="151"/>
      <c r="D37" s="151"/>
      <c r="E37" s="170"/>
      <c r="F37" s="440"/>
      <c r="G37" s="440"/>
      <c r="H37" s="441"/>
      <c r="I37" s="442">
        <f t="shared" si="0"/>
        <v>37.773</v>
      </c>
      <c r="J37" s="443"/>
      <c r="K37" s="444"/>
      <c r="L37" s="445">
        <f t="shared" si="1"/>
      </c>
      <c r="M37" s="446">
        <f t="shared" si="2"/>
      </c>
      <c r="N37" s="179"/>
      <c r="O37" s="181">
        <f t="shared" si="3"/>
      </c>
      <c r="P37" s="447">
        <f t="shared" si="4"/>
        <v>40</v>
      </c>
      <c r="Q37" s="448" t="str">
        <f t="shared" si="5"/>
        <v>--</v>
      </c>
      <c r="R37" s="436" t="str">
        <f t="shared" si="6"/>
        <v>--</v>
      </c>
      <c r="S37" s="437" t="str">
        <f t="shared" si="7"/>
        <v>--</v>
      </c>
      <c r="T37" s="438" t="str">
        <f t="shared" si="8"/>
        <v>--</v>
      </c>
      <c r="U37" s="181">
        <f t="shared" si="10"/>
      </c>
      <c r="V37" s="449">
        <f t="shared" si="9"/>
      </c>
      <c r="W37" s="60"/>
    </row>
    <row r="38" spans="2:23" s="8" customFormat="1" ht="16.5" customHeight="1">
      <c r="B38" s="55"/>
      <c r="C38" s="151"/>
      <c r="D38" s="151"/>
      <c r="E38" s="151"/>
      <c r="F38" s="440"/>
      <c r="G38" s="440"/>
      <c r="H38" s="441"/>
      <c r="I38" s="442">
        <f t="shared" si="0"/>
        <v>37.773</v>
      </c>
      <c r="J38" s="443"/>
      <c r="K38" s="444"/>
      <c r="L38" s="445">
        <f t="shared" si="1"/>
      </c>
      <c r="M38" s="446">
        <f t="shared" si="2"/>
      </c>
      <c r="N38" s="179"/>
      <c r="O38" s="181">
        <f t="shared" si="3"/>
      </c>
      <c r="P38" s="447">
        <f t="shared" si="4"/>
        <v>40</v>
      </c>
      <c r="Q38" s="448" t="str">
        <f t="shared" si="5"/>
        <v>--</v>
      </c>
      <c r="R38" s="436" t="str">
        <f t="shared" si="6"/>
        <v>--</v>
      </c>
      <c r="S38" s="437" t="str">
        <f t="shared" si="7"/>
        <v>--</v>
      </c>
      <c r="T38" s="438" t="str">
        <f t="shared" si="8"/>
        <v>--</v>
      </c>
      <c r="U38" s="181">
        <f t="shared" si="10"/>
      </c>
      <c r="V38" s="449">
        <f t="shared" si="9"/>
      </c>
      <c r="W38" s="60"/>
    </row>
    <row r="39" spans="2:23" s="8" customFormat="1" ht="16.5" customHeight="1">
      <c r="B39" s="55"/>
      <c r="C39" s="151"/>
      <c r="D39" s="151"/>
      <c r="E39" s="170"/>
      <c r="F39" s="440"/>
      <c r="G39" s="440"/>
      <c r="H39" s="441"/>
      <c r="I39" s="442">
        <f t="shared" si="0"/>
        <v>37.773</v>
      </c>
      <c r="J39" s="443"/>
      <c r="K39" s="444"/>
      <c r="L39" s="445">
        <f t="shared" si="1"/>
      </c>
      <c r="M39" s="446">
        <f t="shared" si="2"/>
      </c>
      <c r="N39" s="179"/>
      <c r="O39" s="181">
        <f t="shared" si="3"/>
      </c>
      <c r="P39" s="447">
        <f t="shared" si="4"/>
        <v>40</v>
      </c>
      <c r="Q39" s="448" t="str">
        <f t="shared" si="5"/>
        <v>--</v>
      </c>
      <c r="R39" s="436" t="str">
        <f t="shared" si="6"/>
        <v>--</v>
      </c>
      <c r="S39" s="437" t="str">
        <f t="shared" si="7"/>
        <v>--</v>
      </c>
      <c r="T39" s="438" t="str">
        <f t="shared" si="8"/>
        <v>--</v>
      </c>
      <c r="U39" s="181">
        <f t="shared" si="10"/>
      </c>
      <c r="V39" s="449">
        <f t="shared" si="9"/>
      </c>
      <c r="W39" s="60"/>
    </row>
    <row r="40" spans="2:23" s="8" customFormat="1" ht="16.5" customHeight="1">
      <c r="B40" s="55"/>
      <c r="C40" s="151"/>
      <c r="D40" s="151"/>
      <c r="E40" s="151"/>
      <c r="F40" s="440"/>
      <c r="G40" s="440"/>
      <c r="H40" s="441"/>
      <c r="I40" s="442">
        <f t="shared" si="0"/>
        <v>37.773</v>
      </c>
      <c r="J40" s="443"/>
      <c r="K40" s="444"/>
      <c r="L40" s="445">
        <f t="shared" si="1"/>
      </c>
      <c r="M40" s="446">
        <f t="shared" si="2"/>
      </c>
      <c r="N40" s="179"/>
      <c r="O40" s="181">
        <f t="shared" si="3"/>
      </c>
      <c r="P40" s="447">
        <f t="shared" si="4"/>
        <v>40</v>
      </c>
      <c r="Q40" s="448" t="str">
        <f t="shared" si="5"/>
        <v>--</v>
      </c>
      <c r="R40" s="436" t="str">
        <f t="shared" si="6"/>
        <v>--</v>
      </c>
      <c r="S40" s="437" t="str">
        <f t="shared" si="7"/>
        <v>--</v>
      </c>
      <c r="T40" s="438" t="str">
        <f t="shared" si="8"/>
        <v>--</v>
      </c>
      <c r="U40" s="181">
        <f t="shared" si="10"/>
      </c>
      <c r="V40" s="449">
        <f t="shared" si="9"/>
      </c>
      <c r="W40" s="60"/>
    </row>
    <row r="41" spans="2:23" s="8" customFormat="1" ht="16.5" customHeight="1">
      <c r="B41" s="55"/>
      <c r="C41" s="151"/>
      <c r="D41" s="151"/>
      <c r="E41" s="170"/>
      <c r="F41" s="440"/>
      <c r="G41" s="440"/>
      <c r="H41" s="441"/>
      <c r="I41" s="442">
        <f t="shared" si="0"/>
        <v>37.773</v>
      </c>
      <c r="J41" s="443"/>
      <c r="K41" s="444"/>
      <c r="L41" s="445">
        <f t="shared" si="1"/>
      </c>
      <c r="M41" s="446">
        <f t="shared" si="2"/>
      </c>
      <c r="N41" s="179"/>
      <c r="O41" s="181">
        <f t="shared" si="3"/>
      </c>
      <c r="P41" s="447">
        <f t="shared" si="4"/>
        <v>40</v>
      </c>
      <c r="Q41" s="448" t="str">
        <f t="shared" si="5"/>
        <v>--</v>
      </c>
      <c r="R41" s="436" t="str">
        <f t="shared" si="6"/>
        <v>--</v>
      </c>
      <c r="S41" s="437" t="str">
        <f t="shared" si="7"/>
        <v>--</v>
      </c>
      <c r="T41" s="438" t="str">
        <f t="shared" si="8"/>
        <v>--</v>
      </c>
      <c r="U41" s="181">
        <f t="shared" si="10"/>
      </c>
      <c r="V41" s="449">
        <f t="shared" si="9"/>
      </c>
      <c r="W41" s="60"/>
    </row>
    <row r="42" spans="2:23" s="8" customFormat="1" ht="16.5" customHeight="1">
      <c r="B42" s="55"/>
      <c r="C42" s="151"/>
      <c r="D42" s="151"/>
      <c r="E42" s="151"/>
      <c r="F42" s="440"/>
      <c r="G42" s="440"/>
      <c r="H42" s="441"/>
      <c r="I42" s="442">
        <f t="shared" si="0"/>
        <v>37.773</v>
      </c>
      <c r="J42" s="443"/>
      <c r="K42" s="444"/>
      <c r="L42" s="445">
        <f t="shared" si="1"/>
      </c>
      <c r="M42" s="446">
        <f t="shared" si="2"/>
      </c>
      <c r="N42" s="179"/>
      <c r="O42" s="181">
        <f t="shared" si="3"/>
      </c>
      <c r="P42" s="447">
        <f t="shared" si="4"/>
        <v>40</v>
      </c>
      <c r="Q42" s="448" t="str">
        <f t="shared" si="5"/>
        <v>--</v>
      </c>
      <c r="R42" s="436" t="str">
        <f t="shared" si="6"/>
        <v>--</v>
      </c>
      <c r="S42" s="437" t="str">
        <f t="shared" si="7"/>
        <v>--</v>
      </c>
      <c r="T42" s="438" t="str">
        <f t="shared" si="8"/>
        <v>--</v>
      </c>
      <c r="U42" s="181">
        <f t="shared" si="10"/>
      </c>
      <c r="V42" s="449">
        <f t="shared" si="9"/>
      </c>
      <c r="W42" s="60"/>
    </row>
    <row r="43" spans="2:23" s="8" customFormat="1" ht="16.5" customHeight="1" thickBot="1">
      <c r="B43" s="55"/>
      <c r="C43" s="205"/>
      <c r="D43" s="205"/>
      <c r="E43" s="205"/>
      <c r="F43" s="205"/>
      <c r="G43" s="205"/>
      <c r="H43" s="205"/>
      <c r="I43" s="361"/>
      <c r="J43" s="450"/>
      <c r="K43" s="450"/>
      <c r="L43" s="451"/>
      <c r="M43" s="451"/>
      <c r="N43" s="450"/>
      <c r="O43" s="212"/>
      <c r="P43" s="452"/>
      <c r="Q43" s="453"/>
      <c r="R43" s="454"/>
      <c r="S43" s="455"/>
      <c r="T43" s="456"/>
      <c r="U43" s="212"/>
      <c r="V43" s="457"/>
      <c r="W43" s="60"/>
    </row>
    <row r="44" spans="2:23" s="8" customFormat="1" ht="16.5" customHeight="1" thickBot="1" thickTop="1">
      <c r="B44" s="55"/>
      <c r="C44" s="226" t="s">
        <v>252</v>
      </c>
      <c r="D44" s="252" t="s">
        <v>338</v>
      </c>
      <c r="E44" s="226"/>
      <c r="F44" s="227"/>
      <c r="G44" s="9"/>
      <c r="H44" s="11"/>
      <c r="I44" s="11"/>
      <c r="J44" s="11"/>
      <c r="K44" s="11"/>
      <c r="L44" s="11"/>
      <c r="M44" s="11"/>
      <c r="N44" s="11"/>
      <c r="O44" s="11"/>
      <c r="P44" s="11"/>
      <c r="Q44" s="458">
        <f>SUM(Q20:Q43)</f>
        <v>14634.32112</v>
      </c>
      <c r="R44" s="459">
        <f>SUM(R20:R43)</f>
        <v>0</v>
      </c>
      <c r="S44" s="460">
        <f>SUM(S20:S43)</f>
        <v>0</v>
      </c>
      <c r="T44" s="461">
        <f>SUM(T20:T43)</f>
        <v>0</v>
      </c>
      <c r="U44" s="462"/>
      <c r="V44" s="463">
        <f>ROUND(SUM(V20:V43),2)</f>
        <v>14634.32</v>
      </c>
      <c r="W44" s="60"/>
    </row>
    <row r="45" spans="2:23" s="8" customFormat="1" ht="16.5" customHeight="1" thickBot="1" thickTop="1"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3"/>
    </row>
    <row r="46" spans="23:25" ht="16.5" customHeight="1" thickTop="1">
      <c r="W46" s="392"/>
      <c r="X46" s="392"/>
      <c r="Y46" s="392"/>
    </row>
    <row r="47" spans="23:25" ht="16.5" customHeight="1">
      <c r="W47" s="392"/>
      <c r="X47" s="392"/>
      <c r="Y47" s="392"/>
    </row>
    <row r="48" spans="23:25" ht="16.5" customHeight="1">
      <c r="W48" s="392"/>
      <c r="X48" s="392"/>
      <c r="Y48" s="392"/>
    </row>
    <row r="49" spans="23:25" ht="16.5" customHeight="1">
      <c r="W49" s="392"/>
      <c r="X49" s="392"/>
      <c r="Y49" s="392"/>
    </row>
    <row r="50" spans="23:25" ht="16.5" customHeight="1">
      <c r="W50" s="392"/>
      <c r="X50" s="392"/>
      <c r="Y50" s="392"/>
    </row>
    <row r="51" spans="6:25" ht="16.5" customHeight="1"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</row>
    <row r="52" spans="6:25" ht="16.5" customHeight="1"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</row>
    <row r="53" spans="6:25" ht="16.5" customHeight="1"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</row>
    <row r="54" spans="6:25" ht="16.5" customHeight="1"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</row>
    <row r="55" spans="6:25" ht="16.5" customHeight="1"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</row>
    <row r="56" spans="6:25" ht="16.5" customHeight="1"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</row>
    <row r="57" spans="6:25" ht="16.5" customHeight="1"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</row>
    <row r="58" spans="6:25" ht="16.5" customHeight="1"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</row>
    <row r="59" spans="6:25" ht="16.5" customHeight="1"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</row>
    <row r="60" spans="6:25" ht="16.5" customHeight="1"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</row>
    <row r="61" spans="6:25" ht="16.5" customHeight="1"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</row>
    <row r="62" spans="6:25" ht="16.5" customHeight="1"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</row>
    <row r="63" spans="6:25" ht="16.5" customHeight="1"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</row>
    <row r="64" spans="6:25" ht="16.5" customHeight="1"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</row>
    <row r="65" spans="6:25" ht="16.5" customHeight="1"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</row>
    <row r="66" spans="6:25" ht="16.5" customHeight="1"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</row>
    <row r="67" spans="6:25" ht="16.5" customHeight="1"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</row>
    <row r="68" spans="6:25" ht="16.5" customHeight="1"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</row>
    <row r="69" spans="6:25" ht="16.5" customHeight="1"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</row>
    <row r="70" spans="6:25" ht="16.5" customHeight="1"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</row>
    <row r="71" spans="6:25" ht="16.5" customHeight="1"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</row>
    <row r="72" spans="6:25" ht="16.5" customHeight="1"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</row>
    <row r="73" spans="6:25" ht="16.5" customHeight="1"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</row>
    <row r="74" spans="6:25" ht="16.5" customHeight="1"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</row>
    <row r="75" spans="6:25" ht="16.5" customHeight="1"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</row>
    <row r="76" spans="6:25" ht="16.5" customHeight="1"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</row>
    <row r="77" spans="6:25" ht="16.5" customHeight="1"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</row>
    <row r="78" spans="6:25" ht="16.5" customHeight="1"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</row>
    <row r="79" spans="6:25" ht="16.5" customHeight="1"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</row>
    <row r="80" spans="6:25" ht="16.5" customHeight="1"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</row>
    <row r="81" spans="6:25" ht="16.5" customHeight="1"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</row>
    <row r="82" spans="6:25" ht="16.5" customHeight="1"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</row>
    <row r="83" spans="6:25" ht="16.5" customHeight="1"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</row>
    <row r="84" spans="6:25" ht="16.5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</row>
    <row r="85" spans="6:25" ht="16.5" customHeight="1"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</row>
    <row r="86" spans="6:25" ht="16.5" customHeight="1"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</row>
    <row r="87" spans="6:25" ht="16.5" customHeight="1"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</row>
    <row r="88" spans="6:25" ht="16.5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</row>
    <row r="89" spans="6:25" ht="16.5" customHeight="1"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</row>
    <row r="90" spans="6:25" ht="16.5" customHeight="1"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</row>
    <row r="91" spans="6:25" ht="16.5" customHeight="1"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</row>
    <row r="92" spans="6:25" ht="16.5" customHeight="1"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</row>
    <row r="93" spans="6:25" ht="16.5" customHeight="1"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</row>
    <row r="94" spans="6:25" ht="16.5" customHeight="1"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</row>
    <row r="95" spans="6:25" ht="16.5" customHeight="1"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</row>
    <row r="96" spans="6:25" ht="16.5" customHeight="1"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</row>
    <row r="97" spans="6:25" ht="16.5" customHeight="1"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</row>
    <row r="98" spans="6:25" ht="16.5" customHeight="1"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</row>
    <row r="99" spans="6:25" ht="16.5" customHeight="1"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</row>
    <row r="100" spans="6:25" ht="16.5" customHeight="1"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</row>
    <row r="101" spans="6:25" ht="16.5" customHeight="1"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</row>
    <row r="102" spans="6:25" ht="16.5" customHeight="1"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</row>
    <row r="103" spans="6:25" ht="16.5" customHeight="1"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</row>
    <row r="104" spans="6:25" ht="16.5" customHeight="1"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</row>
    <row r="105" spans="6:25" ht="16.5" customHeight="1"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</row>
    <row r="106" spans="6:25" ht="16.5" customHeight="1"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</row>
    <row r="107" spans="6:25" ht="16.5" customHeight="1"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</row>
    <row r="108" spans="6:25" ht="16.5" customHeight="1"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</row>
    <row r="109" spans="6:25" ht="16.5" customHeight="1"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</row>
    <row r="110" spans="6:25" ht="16.5" customHeight="1"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</row>
    <row r="111" spans="6:25" ht="16.5" customHeight="1"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</row>
    <row r="112" spans="6:25" ht="16.5" customHeight="1"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</row>
    <row r="113" spans="6:25" ht="16.5" customHeight="1"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</row>
    <row r="114" spans="6:25" ht="16.5" customHeight="1"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</row>
    <row r="115" spans="6:25" ht="16.5" customHeight="1"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</row>
    <row r="116" spans="6:25" ht="16.5" customHeight="1"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</row>
    <row r="117" spans="6:25" ht="16.5" customHeight="1"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</row>
    <row r="118" spans="6:25" ht="16.5" customHeight="1"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</row>
    <row r="119" spans="6:25" ht="16.5" customHeight="1"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</row>
    <row r="120" spans="6:25" ht="16.5" customHeight="1"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</row>
    <row r="121" spans="6:25" ht="16.5" customHeight="1"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</row>
    <row r="122" spans="6:25" ht="16.5" customHeight="1"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</row>
    <row r="123" spans="6:25" ht="16.5" customHeight="1"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</row>
    <row r="124" spans="6:25" ht="16.5" customHeight="1"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</row>
    <row r="125" spans="6:25" ht="16.5" customHeight="1"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</row>
    <row r="126" spans="6:25" ht="16.5" customHeight="1"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</row>
    <row r="127" spans="6:25" ht="16.5" customHeight="1"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</row>
    <row r="128" spans="6:25" ht="16.5" customHeight="1"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</row>
    <row r="129" spans="6:25" ht="16.5" customHeight="1"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</row>
    <row r="130" spans="6:25" ht="16.5" customHeight="1"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</row>
    <row r="131" spans="6:25" ht="16.5" customHeight="1"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</row>
    <row r="132" spans="6:25" ht="16.5" customHeight="1"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</row>
    <row r="133" spans="6:25" ht="16.5" customHeight="1"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</row>
    <row r="134" spans="6:25" ht="16.5" customHeight="1"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</row>
    <row r="135" spans="6:25" ht="16.5" customHeight="1"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</row>
    <row r="136" spans="6:25" ht="16.5" customHeight="1"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</row>
    <row r="137" spans="6:25" ht="16.5" customHeight="1"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</row>
    <row r="138" spans="6:25" ht="16.5" customHeight="1"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</row>
    <row r="139" spans="6:25" ht="16.5" customHeight="1"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</row>
    <row r="140" spans="6:25" ht="16.5" customHeight="1"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</row>
    <row r="141" spans="6:25" ht="16.5" customHeight="1"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</row>
    <row r="142" spans="6:25" ht="16.5" customHeight="1"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</row>
    <row r="143" spans="6:25" ht="16.5" customHeight="1"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</row>
    <row r="144" spans="6:25" ht="16.5" customHeight="1"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</row>
    <row r="145" spans="6:25" ht="16.5" customHeight="1"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</row>
    <row r="146" spans="6:25" ht="16.5" customHeight="1"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</row>
    <row r="147" spans="6:25" ht="16.5" customHeight="1"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</row>
    <row r="148" spans="6:25" ht="16.5" customHeight="1"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</row>
    <row r="149" spans="6:25" ht="16.5" customHeight="1"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</row>
    <row r="150" spans="6:25" ht="16.5" customHeight="1"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</row>
    <row r="151" spans="6:25" ht="16.5" customHeight="1"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</row>
    <row r="152" spans="6:25" ht="16.5" customHeight="1">
      <c r="F152" s="392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392"/>
      <c r="V152" s="392"/>
      <c r="W152" s="392"/>
      <c r="X152" s="392"/>
      <c r="Y152" s="392"/>
    </row>
    <row r="153" spans="6:25" ht="16.5" customHeight="1"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</row>
    <row r="154" spans="6:25" ht="16.5" customHeight="1"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</row>
    <row r="155" spans="6:25" ht="16.5" customHeight="1"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</row>
    <row r="156" spans="6:25" ht="16.5" customHeight="1"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</row>
    <row r="157" spans="6:25" ht="16.5" customHeight="1">
      <c r="F157" s="392"/>
      <c r="G157" s="392"/>
      <c r="H157" s="392"/>
      <c r="I157" s="392"/>
      <c r="J157" s="392"/>
      <c r="K157" s="392"/>
      <c r="L157" s="392"/>
      <c r="M157" s="392"/>
      <c r="N157" s="392"/>
      <c r="O157" s="392"/>
      <c r="P157" s="392"/>
      <c r="Q157" s="392"/>
      <c r="R157" s="392"/>
      <c r="S157" s="392"/>
      <c r="T157" s="392"/>
      <c r="U157" s="392"/>
      <c r="V157" s="392"/>
      <c r="W157" s="392"/>
      <c r="X157" s="392"/>
      <c r="Y157" s="392"/>
    </row>
    <row r="158" spans="6:25" ht="16.5" customHeight="1">
      <c r="F158" s="392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</row>
    <row r="161" ht="12.75"/>
    <row r="162" ht="12.75"/>
    <row r="163" ht="12.75"/>
    <row r="164" ht="12.75"/>
    <row r="165" ht="12.75"/>
  </sheetData>
  <sheetProtection/>
  <printOptions horizontalCentered="1"/>
  <pageMargins left="0.24" right="0.4" top="0.7874015748031497" bottom="0.7874015748031497" header="0.5118110236220472" footer="0.5118110236220472"/>
  <pageSetup fitToHeight="1" fitToWidth="1" horizontalDpi="600" verticalDpi="600" orientation="landscape" paperSize="9" scale="59" r:id="rId3"/>
  <headerFooter alignWithMargins="0">
    <oddFooter>&amp;L&amp;"Times New Roman,Normal"&amp;8&amp;F-&amp;A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C160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30.7109375" style="9" customWidth="1"/>
    <col min="8" max="8" width="8.00390625" style="9" customWidth="1"/>
    <col min="9" max="9" width="7.14062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4.00390625" style="9" hidden="1" customWidth="1"/>
    <col min="18" max="18" width="12.8515625" style="9" hidden="1" customWidth="1"/>
    <col min="19" max="19" width="10.00390625" style="9" hidden="1" customWidth="1"/>
    <col min="20" max="20" width="10.28125" style="9" hidden="1" customWidth="1"/>
    <col min="21" max="22" width="6.00390625" style="9" hidden="1" customWidth="1"/>
    <col min="23" max="23" width="11.7109375" style="9" hidden="1" customWidth="1"/>
    <col min="24" max="24" width="12.1406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9"/>
      <c r="B2" s="473" t="str">
        <f>'TOT-0312'!B2</f>
        <v>ANEXO IV al Memorándum D.T.E.E.  N° 783/ 2013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7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395"/>
    </row>
    <row r="8" spans="2:27" s="18" customFormat="1" ht="20.25">
      <c r="B8" s="96"/>
      <c r="C8" s="23"/>
      <c r="D8" s="23"/>
      <c r="F8" s="97" t="s">
        <v>76</v>
      </c>
      <c r="G8" s="68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474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6"/>
      <c r="C10" s="23"/>
      <c r="D10" s="23"/>
      <c r="F10" s="98" t="s">
        <v>342</v>
      </c>
      <c r="H10" s="690"/>
      <c r="I10" s="691"/>
      <c r="J10" s="691"/>
      <c r="K10" s="691"/>
      <c r="L10" s="691"/>
      <c r="M10" s="691"/>
      <c r="N10" s="691"/>
      <c r="O10" s="691"/>
      <c r="P10" s="691"/>
      <c r="Q10" s="691"/>
      <c r="R10" s="23"/>
      <c r="S10" s="23"/>
      <c r="T10" s="23"/>
      <c r="U10" s="23"/>
      <c r="V10" s="23"/>
      <c r="W10" s="23"/>
      <c r="X10" s="23"/>
      <c r="Y10" s="23"/>
      <c r="Z10" s="23"/>
      <c r="AA10" s="397"/>
    </row>
    <row r="11" spans="2:27" s="8" customFormat="1" ht="16.5" customHeight="1">
      <c r="B11" s="55"/>
      <c r="C11" s="11"/>
      <c r="D11" s="11"/>
      <c r="E11" s="11"/>
      <c r="F11" s="475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6"/>
      <c r="C12" s="23"/>
      <c r="D12" s="23"/>
      <c r="F12" s="98" t="s">
        <v>343</v>
      </c>
      <c r="H12" s="690"/>
      <c r="I12" s="691"/>
      <c r="J12" s="691"/>
      <c r="K12" s="691"/>
      <c r="L12" s="691"/>
      <c r="M12" s="691"/>
      <c r="N12" s="691"/>
      <c r="O12" s="691"/>
      <c r="P12" s="691"/>
      <c r="Q12" s="691"/>
      <c r="R12" s="23"/>
      <c r="S12" s="23"/>
      <c r="T12" s="23"/>
      <c r="U12" s="23"/>
      <c r="V12" s="23"/>
      <c r="W12" s="23"/>
      <c r="X12" s="23"/>
      <c r="Y12" s="23"/>
      <c r="Z12" s="23"/>
      <c r="AA12" s="397"/>
    </row>
    <row r="13" spans="2:27" s="8" customFormat="1" ht="16.5" customHeight="1">
      <c r="B13" s="55"/>
      <c r="C13" s="11"/>
      <c r="D13" s="11"/>
      <c r="E13" s="11"/>
      <c r="F13" s="475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'TOT-0312'!B14</f>
        <v>Desde el 01 al 31 de Marzo de 2012</v>
      </c>
      <c r="C14" s="39"/>
      <c r="D14" s="39"/>
      <c r="E14" s="476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6"/>
      <c r="S14" s="476"/>
      <c r="T14" s="476"/>
      <c r="U14" s="476"/>
      <c r="V14" s="476"/>
      <c r="W14" s="476"/>
      <c r="X14" s="476"/>
      <c r="Y14" s="476"/>
      <c r="Z14" s="476"/>
      <c r="AA14" s="478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692" t="s">
        <v>58</v>
      </c>
      <c r="G16" s="693"/>
      <c r="H16" s="290">
        <v>0.649</v>
      </c>
      <c r="I16" s="409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694" t="s">
        <v>59</v>
      </c>
      <c r="G17" s="695"/>
      <c r="H17" s="696">
        <v>20</v>
      </c>
      <c r="I17" s="409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110"/>
      <c r="Z17" s="110"/>
      <c r="AA17" s="60"/>
    </row>
    <row r="18" spans="2:27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60"/>
    </row>
    <row r="19" spans="2:27" s="8" customFormat="1" ht="33.75" customHeight="1" thickBot="1" thickTop="1">
      <c r="B19" s="55"/>
      <c r="C19" s="296" t="s">
        <v>32</v>
      </c>
      <c r="D19" s="112" t="s">
        <v>33</v>
      </c>
      <c r="E19" s="112" t="s">
        <v>34</v>
      </c>
      <c r="F19" s="115" t="s">
        <v>60</v>
      </c>
      <c r="G19" s="113" t="s">
        <v>61</v>
      </c>
      <c r="H19" s="697" t="s">
        <v>344</v>
      </c>
      <c r="I19" s="301" t="s">
        <v>39</v>
      </c>
      <c r="J19" s="113" t="s">
        <v>40</v>
      </c>
      <c r="K19" s="113" t="s">
        <v>41</v>
      </c>
      <c r="L19" s="115" t="s">
        <v>42</v>
      </c>
      <c r="M19" s="115" t="s">
        <v>43</v>
      </c>
      <c r="N19" s="120" t="s">
        <v>251</v>
      </c>
      <c r="O19" s="120" t="s">
        <v>44</v>
      </c>
      <c r="P19" s="113" t="s">
        <v>46</v>
      </c>
      <c r="Q19" s="301" t="s">
        <v>38</v>
      </c>
      <c r="R19" s="698" t="s">
        <v>73</v>
      </c>
      <c r="S19" s="699" t="s">
        <v>345</v>
      </c>
      <c r="T19" s="700"/>
      <c r="U19" s="306" t="s">
        <v>346</v>
      </c>
      <c r="V19" s="307"/>
      <c r="W19" s="701" t="s">
        <v>51</v>
      </c>
      <c r="X19" s="305" t="s">
        <v>48</v>
      </c>
      <c r="Y19" s="131" t="s">
        <v>53</v>
      </c>
      <c r="Z19" s="702" t="s">
        <v>54</v>
      </c>
      <c r="AA19" s="60"/>
    </row>
    <row r="20" spans="2:27" s="8" customFormat="1" ht="16.5" customHeight="1" thickTop="1">
      <c r="B20" s="55"/>
      <c r="C20" s="310"/>
      <c r="D20" s="310"/>
      <c r="E20" s="310"/>
      <c r="F20" s="479"/>
      <c r="G20" s="479"/>
      <c r="H20" s="479"/>
      <c r="I20" s="703"/>
      <c r="J20" s="704"/>
      <c r="K20" s="704"/>
      <c r="L20" s="705"/>
      <c r="M20" s="705"/>
      <c r="N20" s="479"/>
      <c r="O20" s="706"/>
      <c r="P20" s="705"/>
      <c r="Q20" s="707"/>
      <c r="R20" s="708"/>
      <c r="S20" s="709"/>
      <c r="T20" s="710"/>
      <c r="U20" s="319"/>
      <c r="V20" s="320"/>
      <c r="W20" s="711"/>
      <c r="X20" s="711"/>
      <c r="Y20" s="480"/>
      <c r="Z20" s="712"/>
      <c r="AA20" s="60"/>
    </row>
    <row r="21" spans="2:27" s="8" customFormat="1" ht="16.5" customHeight="1">
      <c r="B21" s="55"/>
      <c r="C21" s="151"/>
      <c r="D21" s="151"/>
      <c r="E21" s="151"/>
      <c r="F21" s="713"/>
      <c r="G21" s="713"/>
      <c r="H21" s="714"/>
      <c r="I21" s="325"/>
      <c r="J21" s="715"/>
      <c r="K21" s="715"/>
      <c r="L21" s="713"/>
      <c r="M21" s="713"/>
      <c r="N21" s="714"/>
      <c r="O21" s="716"/>
      <c r="P21" s="713"/>
      <c r="Q21" s="717"/>
      <c r="R21" s="718"/>
      <c r="S21" s="719"/>
      <c r="T21" s="720"/>
      <c r="U21" s="332"/>
      <c r="V21" s="333"/>
      <c r="W21" s="721"/>
      <c r="X21" s="721"/>
      <c r="Y21" s="713"/>
      <c r="Z21" s="722"/>
      <c r="AA21" s="60"/>
    </row>
    <row r="22" spans="2:27" s="8" customFormat="1" ht="16.5" customHeight="1">
      <c r="B22" s="55"/>
      <c r="C22" s="151">
        <v>73</v>
      </c>
      <c r="D22" s="151">
        <v>245239</v>
      </c>
      <c r="E22" s="723">
        <v>630</v>
      </c>
      <c r="F22" s="338" t="s">
        <v>351</v>
      </c>
      <c r="G22" s="724" t="s">
        <v>352</v>
      </c>
      <c r="H22" s="337">
        <v>25</v>
      </c>
      <c r="I22" s="725">
        <f aca="true" t="shared" si="0" ref="I22:I44">H22*$H$16</f>
        <v>16.225</v>
      </c>
      <c r="J22" s="726">
        <v>40969.19027777778</v>
      </c>
      <c r="K22" s="727">
        <v>40969.40694444445</v>
      </c>
      <c r="L22" s="728">
        <f aca="true" t="shared" si="1" ref="L22:L44">IF(F22="","",(K22-J22)*24)</f>
        <v>5.2000000000116415</v>
      </c>
      <c r="M22" s="729">
        <f aca="true" t="shared" si="2" ref="M22:M44">IF(F22="","",ROUND((K22-J22)*24*60,0))</f>
        <v>312</v>
      </c>
      <c r="N22" s="730" t="s">
        <v>256</v>
      </c>
      <c r="O22" s="731" t="str">
        <f aca="true" t="shared" si="3" ref="O22:O44">IF(F22="","","--")</f>
        <v>--</v>
      </c>
      <c r="P22" s="685" t="str">
        <f aca="true" t="shared" si="4" ref="P22:P44">IF(F22="","",IF(OR(N22="P",N22="RP"),"--","NO"))</f>
        <v>NO</v>
      </c>
      <c r="Q22" s="732">
        <f aca="true" t="shared" si="5" ref="Q22:Q44">IF(OR(N22="P",N22="RP"),$H$17/10,$H$17)</f>
        <v>20</v>
      </c>
      <c r="R22" s="733" t="str">
        <f aca="true" t="shared" si="6" ref="R22:R44">IF(N22="P",I22*Q22*ROUND(M22/60,2),"--")</f>
        <v>--</v>
      </c>
      <c r="S22" s="734">
        <f aca="true" t="shared" si="7" ref="S22:S44">IF(AND(N22="F",P22="NO"),I22*Q22,"--")</f>
        <v>324.5</v>
      </c>
      <c r="T22" s="735">
        <f aca="true" t="shared" si="8" ref="T22:T44">IF(N22="F",I22*Q22*ROUND(M22/60,2),"--")</f>
        <v>1687.4</v>
      </c>
      <c r="U22" s="352" t="str">
        <f aca="true" t="shared" si="9" ref="U22:U44">IF(AND(N22="R",P22="NO"),I22*Q22*O22/100,"--")</f>
        <v>--</v>
      </c>
      <c r="V22" s="353" t="str">
        <f aca="true" t="shared" si="10" ref="V22:V44">IF(N22="R",I22*Q22*O22/100*ROUND(M22/60,2),"--")</f>
        <v>--</v>
      </c>
      <c r="W22" s="736" t="str">
        <f aca="true" t="shared" si="11" ref="W22:W44">IF(N22="RF",I22*Q22*ROUND(M22/60,2),"--")</f>
        <v>--</v>
      </c>
      <c r="X22" s="686" t="str">
        <f aca="true" t="shared" si="12" ref="X22:X44">IF(N22="RP",I22*Q22*O22/100*ROUND(M22/60,2),"--")</f>
        <v>--</v>
      </c>
      <c r="Y22" s="685" t="str">
        <f aca="true" t="shared" si="13" ref="Y22:Y44">IF(F22="","","SI")</f>
        <v>SI</v>
      </c>
      <c r="Z22" s="737">
        <f>IF(F22="","",SUM(R22:X22)*IF(Y22="SI",1,2)*IF(AND(O22&lt;&gt;"--",N22="RF"),O22/100,1))</f>
        <v>2011.9</v>
      </c>
      <c r="AA22" s="60"/>
    </row>
    <row r="23" spans="2:27" s="8" customFormat="1" ht="16.5" customHeight="1">
      <c r="B23" s="55"/>
      <c r="C23" s="151">
        <v>74</v>
      </c>
      <c r="D23" s="151">
        <v>245240</v>
      </c>
      <c r="E23" s="170">
        <v>590</v>
      </c>
      <c r="F23" s="738" t="s">
        <v>287</v>
      </c>
      <c r="G23" s="683" t="s">
        <v>348</v>
      </c>
      <c r="H23" s="197">
        <v>245</v>
      </c>
      <c r="I23" s="341">
        <f t="shared" si="0"/>
        <v>159.005</v>
      </c>
      <c r="J23" s="443">
        <v>40969.25902777778</v>
      </c>
      <c r="K23" s="202">
        <v>40969.67013888889</v>
      </c>
      <c r="L23" s="445">
        <f t="shared" si="1"/>
        <v>9.86666666669771</v>
      </c>
      <c r="M23" s="446">
        <f t="shared" si="2"/>
        <v>592</v>
      </c>
      <c r="N23" s="179" t="s">
        <v>253</v>
      </c>
      <c r="O23" s="254" t="str">
        <f t="shared" si="3"/>
        <v>--</v>
      </c>
      <c r="P23" s="181" t="str">
        <f t="shared" si="4"/>
        <v>--</v>
      </c>
      <c r="Q23" s="739">
        <f t="shared" si="5"/>
        <v>2</v>
      </c>
      <c r="R23" s="740">
        <f t="shared" si="6"/>
        <v>3138.7587</v>
      </c>
      <c r="S23" s="734" t="str">
        <f t="shared" si="7"/>
        <v>--</v>
      </c>
      <c r="T23" s="735" t="str">
        <f t="shared" si="8"/>
        <v>--</v>
      </c>
      <c r="U23" s="352" t="str">
        <f t="shared" si="9"/>
        <v>--</v>
      </c>
      <c r="V23" s="353" t="str">
        <f t="shared" si="10"/>
        <v>--</v>
      </c>
      <c r="W23" s="736" t="str">
        <f t="shared" si="11"/>
        <v>--</v>
      </c>
      <c r="X23" s="687" t="str">
        <f t="shared" si="12"/>
        <v>--</v>
      </c>
      <c r="Y23" s="181" t="str">
        <f t="shared" si="13"/>
        <v>SI</v>
      </c>
      <c r="Z23" s="449">
        <f>IF(F23="","",SUM(R23:X23)*IF(Y23="SI",1,2)*IF(AND(O23&lt;&gt;"--",N23="RF"),O23/100,1))</f>
        <v>3138.7587</v>
      </c>
      <c r="AA23" s="60"/>
    </row>
    <row r="24" spans="2:27" s="8" customFormat="1" ht="16.5" customHeight="1">
      <c r="B24" s="55"/>
      <c r="C24" s="151">
        <v>75</v>
      </c>
      <c r="D24" s="151">
        <v>245243</v>
      </c>
      <c r="E24" s="170">
        <v>630</v>
      </c>
      <c r="F24" s="738" t="s">
        <v>351</v>
      </c>
      <c r="G24" s="683" t="s">
        <v>352</v>
      </c>
      <c r="H24" s="197">
        <v>25</v>
      </c>
      <c r="I24" s="341">
        <f t="shared" si="0"/>
        <v>16.225</v>
      </c>
      <c r="J24" s="443">
        <v>40969.407638888886</v>
      </c>
      <c r="K24" s="202">
        <v>40971.39375</v>
      </c>
      <c r="L24" s="445">
        <f t="shared" si="1"/>
        <v>47.666666666802485</v>
      </c>
      <c r="M24" s="446">
        <f t="shared" si="2"/>
        <v>2860</v>
      </c>
      <c r="N24" s="179" t="s">
        <v>256</v>
      </c>
      <c r="O24" s="254" t="str">
        <f t="shared" si="3"/>
        <v>--</v>
      </c>
      <c r="P24" s="181" t="s">
        <v>77</v>
      </c>
      <c r="Q24" s="739">
        <f t="shared" si="5"/>
        <v>20</v>
      </c>
      <c r="R24" s="740" t="str">
        <f t="shared" si="6"/>
        <v>--</v>
      </c>
      <c r="S24" s="734" t="str">
        <f t="shared" si="7"/>
        <v>--</v>
      </c>
      <c r="T24" s="735">
        <f t="shared" si="8"/>
        <v>15468.915</v>
      </c>
      <c r="U24" s="352" t="str">
        <f t="shared" si="9"/>
        <v>--</v>
      </c>
      <c r="V24" s="353" t="str">
        <f t="shared" si="10"/>
        <v>--</v>
      </c>
      <c r="W24" s="736" t="str">
        <f t="shared" si="11"/>
        <v>--</v>
      </c>
      <c r="X24" s="687" t="str">
        <f t="shared" si="12"/>
        <v>--</v>
      </c>
      <c r="Y24" s="181" t="str">
        <f t="shared" si="13"/>
        <v>SI</v>
      </c>
      <c r="Z24" s="449">
        <f>IF(F24="","",SUM(R24:X24)*IF(Y24="SI",1,2)*IF(AND(O24&lt;&gt;"--",N24="RF"),O24/100,1))</f>
        <v>15468.915</v>
      </c>
      <c r="AA24" s="60"/>
    </row>
    <row r="25" spans="2:27" s="8" customFormat="1" ht="16.5" customHeight="1">
      <c r="B25" s="55"/>
      <c r="C25" s="151">
        <v>76</v>
      </c>
      <c r="D25" s="151">
        <v>245247</v>
      </c>
      <c r="E25" s="170">
        <v>590</v>
      </c>
      <c r="F25" s="738" t="s">
        <v>287</v>
      </c>
      <c r="G25" s="683" t="s">
        <v>348</v>
      </c>
      <c r="H25" s="197">
        <v>245</v>
      </c>
      <c r="I25" s="341">
        <f t="shared" si="0"/>
        <v>159.005</v>
      </c>
      <c r="J25" s="443">
        <v>40970.354166666664</v>
      </c>
      <c r="K25" s="202">
        <v>40970.674305555556</v>
      </c>
      <c r="L25" s="445">
        <f t="shared" si="1"/>
        <v>7.683333333407063</v>
      </c>
      <c r="M25" s="446">
        <f t="shared" si="2"/>
        <v>461</v>
      </c>
      <c r="N25" s="179" t="s">
        <v>253</v>
      </c>
      <c r="O25" s="254" t="str">
        <f t="shared" si="3"/>
        <v>--</v>
      </c>
      <c r="P25" s="181" t="str">
        <f t="shared" si="4"/>
        <v>--</v>
      </c>
      <c r="Q25" s="739">
        <f t="shared" si="5"/>
        <v>2</v>
      </c>
      <c r="R25" s="740">
        <f t="shared" si="6"/>
        <v>2442.3168</v>
      </c>
      <c r="S25" s="734" t="str">
        <f t="shared" si="7"/>
        <v>--</v>
      </c>
      <c r="T25" s="735" t="str">
        <f t="shared" si="8"/>
        <v>--</v>
      </c>
      <c r="U25" s="352" t="str">
        <f t="shared" si="9"/>
        <v>--</v>
      </c>
      <c r="V25" s="353" t="str">
        <f t="shared" si="10"/>
        <v>--</v>
      </c>
      <c r="W25" s="736" t="str">
        <f t="shared" si="11"/>
        <v>--</v>
      </c>
      <c r="X25" s="687" t="str">
        <f t="shared" si="12"/>
        <v>--</v>
      </c>
      <c r="Y25" s="181" t="str">
        <f t="shared" si="13"/>
        <v>SI</v>
      </c>
      <c r="Z25" s="449">
        <f>IF(F25="","",SUM(R25:X25)*IF(Y25="SI",1,2)*IF(AND(O25&lt;&gt;"--",N25="RF"),O25/100,1))</f>
        <v>2442.3168</v>
      </c>
      <c r="AA25" s="60"/>
    </row>
    <row r="26" spans="2:27" s="8" customFormat="1" ht="16.5" customHeight="1">
      <c r="B26" s="55"/>
      <c r="C26" s="151">
        <v>77</v>
      </c>
      <c r="D26" s="151">
        <v>245319</v>
      </c>
      <c r="E26" s="151">
        <v>591</v>
      </c>
      <c r="F26" s="738" t="s">
        <v>287</v>
      </c>
      <c r="G26" s="683" t="s">
        <v>353</v>
      </c>
      <c r="H26" s="197">
        <v>245</v>
      </c>
      <c r="I26" s="341">
        <f t="shared" si="0"/>
        <v>159.005</v>
      </c>
      <c r="J26" s="443">
        <v>40974.248611111114</v>
      </c>
      <c r="K26" s="202">
        <v>40974.60138888889</v>
      </c>
      <c r="L26" s="445">
        <f t="shared" si="1"/>
        <v>8.466666666674428</v>
      </c>
      <c r="M26" s="446">
        <f t="shared" si="2"/>
        <v>508</v>
      </c>
      <c r="N26" s="179" t="s">
        <v>253</v>
      </c>
      <c r="O26" s="254" t="str">
        <f t="shared" si="3"/>
        <v>--</v>
      </c>
      <c r="P26" s="181" t="str">
        <f t="shared" si="4"/>
        <v>--</v>
      </c>
      <c r="Q26" s="739">
        <f t="shared" si="5"/>
        <v>2</v>
      </c>
      <c r="R26" s="740">
        <f t="shared" si="6"/>
        <v>2693.5447</v>
      </c>
      <c r="S26" s="734" t="str">
        <f t="shared" si="7"/>
        <v>--</v>
      </c>
      <c r="T26" s="735" t="str">
        <f t="shared" si="8"/>
        <v>--</v>
      </c>
      <c r="U26" s="352" t="str">
        <f t="shared" si="9"/>
        <v>--</v>
      </c>
      <c r="V26" s="353" t="str">
        <f t="shared" si="10"/>
        <v>--</v>
      </c>
      <c r="W26" s="736" t="str">
        <f t="shared" si="11"/>
        <v>--</v>
      </c>
      <c r="X26" s="687" t="str">
        <f t="shared" si="12"/>
        <v>--</v>
      </c>
      <c r="Y26" s="181" t="str">
        <f t="shared" si="13"/>
        <v>SI</v>
      </c>
      <c r="Z26" s="449">
        <f aca="true" t="shared" si="14" ref="Z26:Z31">IF(F26="","",SUM(R26:X26)*IF(Y26="SI",1,2)*IF(AND(O26&lt;&gt;"--",N26="RF"),O26/100,1))</f>
        <v>2693.5447</v>
      </c>
      <c r="AA26" s="60"/>
    </row>
    <row r="27" spans="2:27" s="8" customFormat="1" ht="16.5" customHeight="1">
      <c r="B27" s="55"/>
      <c r="C27" s="151">
        <v>78</v>
      </c>
      <c r="D27" s="151">
        <v>245327</v>
      </c>
      <c r="E27" s="170">
        <v>591</v>
      </c>
      <c r="F27" s="738" t="s">
        <v>287</v>
      </c>
      <c r="G27" s="683" t="s">
        <v>353</v>
      </c>
      <c r="H27" s="197">
        <v>245</v>
      </c>
      <c r="I27" s="341">
        <f t="shared" si="0"/>
        <v>159.005</v>
      </c>
      <c r="J27" s="443">
        <v>40975.25069444445</v>
      </c>
      <c r="K27" s="202">
        <v>40975.584027777775</v>
      </c>
      <c r="L27" s="445">
        <f t="shared" si="1"/>
        <v>7.999999999883585</v>
      </c>
      <c r="M27" s="446">
        <f t="shared" si="2"/>
        <v>480</v>
      </c>
      <c r="N27" s="179" t="s">
        <v>253</v>
      </c>
      <c r="O27" s="254" t="str">
        <f t="shared" si="3"/>
        <v>--</v>
      </c>
      <c r="P27" s="181" t="str">
        <f t="shared" si="4"/>
        <v>--</v>
      </c>
      <c r="Q27" s="739">
        <f t="shared" si="5"/>
        <v>2</v>
      </c>
      <c r="R27" s="740">
        <f t="shared" si="6"/>
        <v>2544.08</v>
      </c>
      <c r="S27" s="734" t="str">
        <f t="shared" si="7"/>
        <v>--</v>
      </c>
      <c r="T27" s="735" t="str">
        <f t="shared" si="8"/>
        <v>--</v>
      </c>
      <c r="U27" s="352" t="str">
        <f t="shared" si="9"/>
        <v>--</v>
      </c>
      <c r="V27" s="353" t="str">
        <f t="shared" si="10"/>
        <v>--</v>
      </c>
      <c r="W27" s="736" t="str">
        <f t="shared" si="11"/>
        <v>--</v>
      </c>
      <c r="X27" s="687" t="str">
        <f t="shared" si="12"/>
        <v>--</v>
      </c>
      <c r="Y27" s="181" t="str">
        <f t="shared" si="13"/>
        <v>SI</v>
      </c>
      <c r="Z27" s="449">
        <f t="shared" si="14"/>
        <v>2544.08</v>
      </c>
      <c r="AA27" s="60"/>
    </row>
    <row r="28" spans="2:27" s="8" customFormat="1" ht="16.5" customHeight="1">
      <c r="B28" s="55"/>
      <c r="C28" s="151">
        <v>79</v>
      </c>
      <c r="D28" s="151">
        <v>245332</v>
      </c>
      <c r="E28" s="151">
        <v>592</v>
      </c>
      <c r="F28" s="738" t="s">
        <v>287</v>
      </c>
      <c r="G28" s="683" t="s">
        <v>354</v>
      </c>
      <c r="H28" s="197">
        <v>245</v>
      </c>
      <c r="I28" s="341">
        <f t="shared" si="0"/>
        <v>159.005</v>
      </c>
      <c r="J28" s="443">
        <v>40976.245833333334</v>
      </c>
      <c r="K28" s="202">
        <v>40976.603472222225</v>
      </c>
      <c r="L28" s="445">
        <f t="shared" si="1"/>
        <v>8.583333333372138</v>
      </c>
      <c r="M28" s="446">
        <f t="shared" si="2"/>
        <v>515</v>
      </c>
      <c r="N28" s="179" t="s">
        <v>253</v>
      </c>
      <c r="O28" s="254" t="str">
        <f t="shared" si="3"/>
        <v>--</v>
      </c>
      <c r="P28" s="181" t="str">
        <f t="shared" si="4"/>
        <v>--</v>
      </c>
      <c r="Q28" s="739">
        <f t="shared" si="5"/>
        <v>2</v>
      </c>
      <c r="R28" s="740">
        <f t="shared" si="6"/>
        <v>2728.5258</v>
      </c>
      <c r="S28" s="734" t="str">
        <f t="shared" si="7"/>
        <v>--</v>
      </c>
      <c r="T28" s="735" t="str">
        <f t="shared" si="8"/>
        <v>--</v>
      </c>
      <c r="U28" s="352" t="str">
        <f t="shared" si="9"/>
        <v>--</v>
      </c>
      <c r="V28" s="353" t="str">
        <f t="shared" si="10"/>
        <v>--</v>
      </c>
      <c r="W28" s="736" t="str">
        <f t="shared" si="11"/>
        <v>--</v>
      </c>
      <c r="X28" s="687" t="str">
        <f t="shared" si="12"/>
        <v>--</v>
      </c>
      <c r="Y28" s="181" t="str">
        <f t="shared" si="13"/>
        <v>SI</v>
      </c>
      <c r="Z28" s="449">
        <f t="shared" si="14"/>
        <v>2728.5258</v>
      </c>
      <c r="AA28" s="741"/>
    </row>
    <row r="29" spans="2:27" s="8" customFormat="1" ht="16.5" customHeight="1">
      <c r="B29" s="55"/>
      <c r="C29" s="151">
        <v>80</v>
      </c>
      <c r="D29" s="151">
        <v>245635</v>
      </c>
      <c r="E29" s="170">
        <v>592</v>
      </c>
      <c r="F29" s="738" t="s">
        <v>287</v>
      </c>
      <c r="G29" s="683" t="s">
        <v>354</v>
      </c>
      <c r="H29" s="197">
        <v>245</v>
      </c>
      <c r="I29" s="341">
        <f t="shared" si="0"/>
        <v>159.005</v>
      </c>
      <c r="J29" s="443">
        <v>40980.25069444445</v>
      </c>
      <c r="K29" s="202">
        <v>40980.5875</v>
      </c>
      <c r="L29" s="445">
        <f t="shared" si="1"/>
        <v>8.08333333331393</v>
      </c>
      <c r="M29" s="446">
        <f t="shared" si="2"/>
        <v>485</v>
      </c>
      <c r="N29" s="179" t="s">
        <v>253</v>
      </c>
      <c r="O29" s="254" t="str">
        <f t="shared" si="3"/>
        <v>--</v>
      </c>
      <c r="P29" s="181" t="str">
        <f t="shared" si="4"/>
        <v>--</v>
      </c>
      <c r="Q29" s="739">
        <f t="shared" si="5"/>
        <v>2</v>
      </c>
      <c r="R29" s="740">
        <f t="shared" si="6"/>
        <v>2569.5208</v>
      </c>
      <c r="S29" s="734" t="str">
        <f t="shared" si="7"/>
        <v>--</v>
      </c>
      <c r="T29" s="735" t="str">
        <f t="shared" si="8"/>
        <v>--</v>
      </c>
      <c r="U29" s="352" t="str">
        <f t="shared" si="9"/>
        <v>--</v>
      </c>
      <c r="V29" s="353" t="str">
        <f t="shared" si="10"/>
        <v>--</v>
      </c>
      <c r="W29" s="736" t="str">
        <f t="shared" si="11"/>
        <v>--</v>
      </c>
      <c r="X29" s="687" t="str">
        <f t="shared" si="12"/>
        <v>--</v>
      </c>
      <c r="Y29" s="181" t="str">
        <f t="shared" si="13"/>
        <v>SI</v>
      </c>
      <c r="Z29" s="449">
        <f t="shared" si="14"/>
        <v>2569.5208</v>
      </c>
      <c r="AA29" s="741"/>
    </row>
    <row r="30" spans="2:27" s="8" customFormat="1" ht="16.5" customHeight="1">
      <c r="B30" s="55"/>
      <c r="C30" s="151">
        <v>81</v>
      </c>
      <c r="D30" s="151">
        <v>245636</v>
      </c>
      <c r="E30" s="151">
        <v>676</v>
      </c>
      <c r="F30" s="738" t="s">
        <v>357</v>
      </c>
      <c r="G30" s="683" t="s">
        <v>355</v>
      </c>
      <c r="H30" s="197">
        <v>247</v>
      </c>
      <c r="I30" s="341">
        <f t="shared" si="0"/>
        <v>160.303</v>
      </c>
      <c r="J30" s="443">
        <v>40980.35972222222</v>
      </c>
      <c r="K30" s="202">
        <v>40980.62013888889</v>
      </c>
      <c r="L30" s="445">
        <f t="shared" si="1"/>
        <v>6.249999999941792</v>
      </c>
      <c r="M30" s="446">
        <f t="shared" si="2"/>
        <v>375</v>
      </c>
      <c r="N30" s="179" t="s">
        <v>253</v>
      </c>
      <c r="O30" s="254" t="str">
        <f t="shared" si="3"/>
        <v>--</v>
      </c>
      <c r="P30" s="181" t="str">
        <f t="shared" si="4"/>
        <v>--</v>
      </c>
      <c r="Q30" s="739">
        <f t="shared" si="5"/>
        <v>2</v>
      </c>
      <c r="R30" s="740">
        <f t="shared" si="6"/>
        <v>2003.7875</v>
      </c>
      <c r="S30" s="734" t="str">
        <f t="shared" si="7"/>
        <v>--</v>
      </c>
      <c r="T30" s="735" t="str">
        <f t="shared" si="8"/>
        <v>--</v>
      </c>
      <c r="U30" s="352" t="str">
        <f t="shared" si="9"/>
        <v>--</v>
      </c>
      <c r="V30" s="353" t="str">
        <f t="shared" si="10"/>
        <v>--</v>
      </c>
      <c r="W30" s="736" t="str">
        <f t="shared" si="11"/>
        <v>--</v>
      </c>
      <c r="X30" s="687" t="str">
        <f t="shared" si="12"/>
        <v>--</v>
      </c>
      <c r="Y30" s="181" t="str">
        <f t="shared" si="13"/>
        <v>SI</v>
      </c>
      <c r="Z30" s="449">
        <v>0</v>
      </c>
      <c r="AA30" s="741"/>
    </row>
    <row r="31" spans="2:27" s="8" customFormat="1" ht="16.5" customHeight="1">
      <c r="B31" s="55"/>
      <c r="C31" s="151">
        <v>82</v>
      </c>
      <c r="D31" s="151">
        <v>245644</v>
      </c>
      <c r="E31" s="170">
        <v>591</v>
      </c>
      <c r="F31" s="738" t="s">
        <v>287</v>
      </c>
      <c r="G31" s="683" t="s">
        <v>353</v>
      </c>
      <c r="H31" s="197">
        <v>245</v>
      </c>
      <c r="I31" s="341">
        <f t="shared" si="0"/>
        <v>159.005</v>
      </c>
      <c r="J31" s="443">
        <v>40982.24722222222</v>
      </c>
      <c r="K31" s="202">
        <v>40982.604166666664</v>
      </c>
      <c r="L31" s="445">
        <f t="shared" si="1"/>
        <v>8.566666666651145</v>
      </c>
      <c r="M31" s="446">
        <f t="shared" si="2"/>
        <v>514</v>
      </c>
      <c r="N31" s="179" t="s">
        <v>253</v>
      </c>
      <c r="O31" s="254" t="str">
        <f t="shared" si="3"/>
        <v>--</v>
      </c>
      <c r="P31" s="181" t="str">
        <f t="shared" si="4"/>
        <v>--</v>
      </c>
      <c r="Q31" s="739">
        <f t="shared" si="5"/>
        <v>2</v>
      </c>
      <c r="R31" s="740">
        <f t="shared" si="6"/>
        <v>2725.3457</v>
      </c>
      <c r="S31" s="734" t="str">
        <f t="shared" si="7"/>
        <v>--</v>
      </c>
      <c r="T31" s="735" t="str">
        <f t="shared" si="8"/>
        <v>--</v>
      </c>
      <c r="U31" s="352" t="str">
        <f t="shared" si="9"/>
        <v>--</v>
      </c>
      <c r="V31" s="353" t="str">
        <f t="shared" si="10"/>
        <v>--</v>
      </c>
      <c r="W31" s="736" t="str">
        <f t="shared" si="11"/>
        <v>--</v>
      </c>
      <c r="X31" s="687" t="str">
        <f t="shared" si="12"/>
        <v>--</v>
      </c>
      <c r="Y31" s="181" t="str">
        <f t="shared" si="13"/>
        <v>SI</v>
      </c>
      <c r="Z31" s="449">
        <f t="shared" si="14"/>
        <v>2725.3457</v>
      </c>
      <c r="AA31" s="741"/>
    </row>
    <row r="32" spans="2:27" s="8" customFormat="1" ht="16.5" customHeight="1">
      <c r="B32" s="55"/>
      <c r="C32" s="151">
        <v>83</v>
      </c>
      <c r="D32" s="151">
        <v>245855</v>
      </c>
      <c r="E32" s="151">
        <v>587</v>
      </c>
      <c r="F32" s="738" t="s">
        <v>287</v>
      </c>
      <c r="G32" s="683" t="s">
        <v>347</v>
      </c>
      <c r="H32" s="197">
        <v>245</v>
      </c>
      <c r="I32" s="341">
        <f t="shared" si="0"/>
        <v>159.005</v>
      </c>
      <c r="J32" s="443">
        <v>40987.356944444444</v>
      </c>
      <c r="K32" s="202">
        <v>40992.73541666667</v>
      </c>
      <c r="L32" s="445">
        <f t="shared" si="1"/>
        <v>129.08333333343035</v>
      </c>
      <c r="M32" s="446">
        <f t="shared" si="2"/>
        <v>7745</v>
      </c>
      <c r="N32" s="179" t="s">
        <v>253</v>
      </c>
      <c r="O32" s="254" t="str">
        <f t="shared" si="3"/>
        <v>--</v>
      </c>
      <c r="P32" s="181" t="str">
        <f t="shared" si="4"/>
        <v>--</v>
      </c>
      <c r="Q32" s="739">
        <f t="shared" si="5"/>
        <v>2</v>
      </c>
      <c r="R32" s="740">
        <f t="shared" si="6"/>
        <v>41048.730800000005</v>
      </c>
      <c r="S32" s="734" t="str">
        <f t="shared" si="7"/>
        <v>--</v>
      </c>
      <c r="T32" s="735" t="str">
        <f t="shared" si="8"/>
        <v>--</v>
      </c>
      <c r="U32" s="352" t="str">
        <f t="shared" si="9"/>
        <v>--</v>
      </c>
      <c r="V32" s="353" t="str">
        <f t="shared" si="10"/>
        <v>--</v>
      </c>
      <c r="W32" s="736" t="str">
        <f t="shared" si="11"/>
        <v>--</v>
      </c>
      <c r="X32" s="687" t="str">
        <f t="shared" si="12"/>
        <v>--</v>
      </c>
      <c r="Y32" s="181" t="str">
        <f t="shared" si="13"/>
        <v>SI</v>
      </c>
      <c r="Z32" s="449">
        <f aca="true" t="shared" si="15" ref="Z32:Z44">IF(F32="","",SUM(R32:X32)*IF(Y32="SI",1,2)*IF(AND(O32&lt;&gt;"--",N32="RF"),O32/100,1))</f>
        <v>41048.730800000005</v>
      </c>
      <c r="AA32" s="741"/>
    </row>
    <row r="33" spans="2:27" s="8" customFormat="1" ht="16.5" customHeight="1">
      <c r="B33" s="55"/>
      <c r="C33" s="151">
        <v>84</v>
      </c>
      <c r="D33" s="151">
        <v>245861</v>
      </c>
      <c r="E33" s="170">
        <v>675</v>
      </c>
      <c r="F33" s="738" t="s">
        <v>357</v>
      </c>
      <c r="G33" s="683" t="s">
        <v>356</v>
      </c>
      <c r="H33" s="197">
        <v>312</v>
      </c>
      <c r="I33" s="341">
        <f t="shared" si="0"/>
        <v>202.488</v>
      </c>
      <c r="J33" s="443">
        <v>40989.34097222222</v>
      </c>
      <c r="K33" s="202">
        <v>40989.615277777775</v>
      </c>
      <c r="L33" s="445">
        <f t="shared" si="1"/>
        <v>6.583333333313931</v>
      </c>
      <c r="M33" s="446">
        <f t="shared" si="2"/>
        <v>395</v>
      </c>
      <c r="N33" s="179" t="s">
        <v>253</v>
      </c>
      <c r="O33" s="254" t="str">
        <f t="shared" si="3"/>
        <v>--</v>
      </c>
      <c r="P33" s="181" t="str">
        <f t="shared" si="4"/>
        <v>--</v>
      </c>
      <c r="Q33" s="739">
        <f t="shared" si="5"/>
        <v>2</v>
      </c>
      <c r="R33" s="740">
        <f t="shared" si="6"/>
        <v>2664.74208</v>
      </c>
      <c r="S33" s="734" t="str">
        <f t="shared" si="7"/>
        <v>--</v>
      </c>
      <c r="T33" s="735" t="str">
        <f t="shared" si="8"/>
        <v>--</v>
      </c>
      <c r="U33" s="352" t="str">
        <f t="shared" si="9"/>
        <v>--</v>
      </c>
      <c r="V33" s="353" t="str">
        <f t="shared" si="10"/>
        <v>--</v>
      </c>
      <c r="W33" s="736" t="str">
        <f t="shared" si="11"/>
        <v>--</v>
      </c>
      <c r="X33" s="687" t="str">
        <f t="shared" si="12"/>
        <v>--</v>
      </c>
      <c r="Y33" s="181" t="str">
        <f t="shared" si="13"/>
        <v>SI</v>
      </c>
      <c r="Z33" s="449">
        <v>0</v>
      </c>
      <c r="AA33" s="741"/>
    </row>
    <row r="34" spans="2:27" s="8" customFormat="1" ht="16.5" customHeight="1">
      <c r="B34" s="55"/>
      <c r="C34" s="151">
        <v>85</v>
      </c>
      <c r="D34" s="151">
        <v>245868</v>
      </c>
      <c r="E34" s="151">
        <v>587</v>
      </c>
      <c r="F34" s="738" t="s">
        <v>287</v>
      </c>
      <c r="G34" s="683" t="s">
        <v>347</v>
      </c>
      <c r="H34" s="197">
        <v>245</v>
      </c>
      <c r="I34" s="341">
        <f t="shared" si="0"/>
        <v>159.005</v>
      </c>
      <c r="J34" s="443">
        <v>40992.73611111111</v>
      </c>
      <c r="K34" s="202">
        <v>40994.38680555556</v>
      </c>
      <c r="L34" s="445">
        <f t="shared" si="1"/>
        <v>39.61666666675592</v>
      </c>
      <c r="M34" s="446">
        <f t="shared" si="2"/>
        <v>2377</v>
      </c>
      <c r="N34" s="179" t="s">
        <v>358</v>
      </c>
      <c r="O34" s="254">
        <v>92</v>
      </c>
      <c r="P34" s="181" t="str">
        <f t="shared" si="4"/>
        <v>--</v>
      </c>
      <c r="Q34" s="739">
        <f t="shared" si="5"/>
        <v>2</v>
      </c>
      <c r="R34" s="740" t="str">
        <f t="shared" si="6"/>
        <v>--</v>
      </c>
      <c r="S34" s="734" t="str">
        <f t="shared" si="7"/>
        <v>--</v>
      </c>
      <c r="T34" s="735" t="str">
        <f t="shared" si="8"/>
        <v>--</v>
      </c>
      <c r="U34" s="352" t="str">
        <f t="shared" si="9"/>
        <v>--</v>
      </c>
      <c r="V34" s="353" t="str">
        <f t="shared" si="10"/>
        <v>--</v>
      </c>
      <c r="W34" s="736" t="str">
        <f t="shared" si="11"/>
        <v>--</v>
      </c>
      <c r="X34" s="687">
        <f t="shared" si="12"/>
        <v>11591.591703999999</v>
      </c>
      <c r="Y34" s="181" t="str">
        <f t="shared" si="13"/>
        <v>SI</v>
      </c>
      <c r="Z34" s="449">
        <f t="shared" si="15"/>
        <v>11591.591703999999</v>
      </c>
      <c r="AA34" s="60"/>
    </row>
    <row r="35" spans="2:27" s="8" customFormat="1" ht="16.5" customHeight="1">
      <c r="B35" s="55"/>
      <c r="C35" s="151">
        <v>86</v>
      </c>
      <c r="D35" s="151">
        <v>246048</v>
      </c>
      <c r="E35" s="170">
        <v>587</v>
      </c>
      <c r="F35" s="738" t="s">
        <v>287</v>
      </c>
      <c r="G35" s="683" t="s">
        <v>347</v>
      </c>
      <c r="H35" s="197">
        <v>245</v>
      </c>
      <c r="I35" s="341">
        <f t="shared" si="0"/>
        <v>159.005</v>
      </c>
      <c r="J35" s="443">
        <v>40994.3875</v>
      </c>
      <c r="K35" s="202">
        <v>40998.788194444445</v>
      </c>
      <c r="L35" s="445">
        <f t="shared" si="1"/>
        <v>105.61666666675592</v>
      </c>
      <c r="M35" s="446">
        <f t="shared" si="2"/>
        <v>6337</v>
      </c>
      <c r="N35" s="179" t="s">
        <v>253</v>
      </c>
      <c r="O35" s="254" t="str">
        <f t="shared" si="3"/>
        <v>--</v>
      </c>
      <c r="P35" s="181" t="str">
        <f t="shared" si="4"/>
        <v>--</v>
      </c>
      <c r="Q35" s="739">
        <f t="shared" si="5"/>
        <v>2</v>
      </c>
      <c r="R35" s="740">
        <f t="shared" si="6"/>
        <v>33588.2162</v>
      </c>
      <c r="S35" s="734" t="str">
        <f t="shared" si="7"/>
        <v>--</v>
      </c>
      <c r="T35" s="735" t="str">
        <f t="shared" si="8"/>
        <v>--</v>
      </c>
      <c r="U35" s="352" t="str">
        <f t="shared" si="9"/>
        <v>--</v>
      </c>
      <c r="V35" s="353" t="str">
        <f t="shared" si="10"/>
        <v>--</v>
      </c>
      <c r="W35" s="736" t="str">
        <f t="shared" si="11"/>
        <v>--</v>
      </c>
      <c r="X35" s="687" t="str">
        <f t="shared" si="12"/>
        <v>--</v>
      </c>
      <c r="Y35" s="181" t="str">
        <f t="shared" si="13"/>
        <v>SI</v>
      </c>
      <c r="Z35" s="449">
        <f t="shared" si="15"/>
        <v>33588.2162</v>
      </c>
      <c r="AA35" s="60"/>
    </row>
    <row r="36" spans="2:27" s="8" customFormat="1" ht="16.5" customHeight="1">
      <c r="B36" s="55"/>
      <c r="C36" s="151">
        <v>87</v>
      </c>
      <c r="D36" s="151">
        <v>246051</v>
      </c>
      <c r="E36" s="151">
        <v>630</v>
      </c>
      <c r="F36" s="738" t="s">
        <v>351</v>
      </c>
      <c r="G36" s="683" t="s">
        <v>352</v>
      </c>
      <c r="H36" s="197">
        <v>25</v>
      </c>
      <c r="I36" s="341">
        <f t="shared" si="0"/>
        <v>16.225</v>
      </c>
      <c r="J36" s="443">
        <v>40995.36666666667</v>
      </c>
      <c r="K36" s="202">
        <v>40995.69930555556</v>
      </c>
      <c r="L36" s="445">
        <f t="shared" si="1"/>
        <v>7.983333333337214</v>
      </c>
      <c r="M36" s="446">
        <f t="shared" si="2"/>
        <v>479</v>
      </c>
      <c r="N36" s="179" t="s">
        <v>253</v>
      </c>
      <c r="O36" s="254" t="str">
        <f t="shared" si="3"/>
        <v>--</v>
      </c>
      <c r="P36" s="181" t="str">
        <f t="shared" si="4"/>
        <v>--</v>
      </c>
      <c r="Q36" s="739">
        <f t="shared" si="5"/>
        <v>2</v>
      </c>
      <c r="R36" s="740">
        <f t="shared" si="6"/>
        <v>258.951</v>
      </c>
      <c r="S36" s="734" t="str">
        <f t="shared" si="7"/>
        <v>--</v>
      </c>
      <c r="T36" s="735" t="str">
        <f t="shared" si="8"/>
        <v>--</v>
      </c>
      <c r="U36" s="352" t="str">
        <f t="shared" si="9"/>
        <v>--</v>
      </c>
      <c r="V36" s="353" t="str">
        <f t="shared" si="10"/>
        <v>--</v>
      </c>
      <c r="W36" s="736" t="str">
        <f t="shared" si="11"/>
        <v>--</v>
      </c>
      <c r="X36" s="687" t="str">
        <f t="shared" si="12"/>
        <v>--</v>
      </c>
      <c r="Y36" s="181" t="str">
        <f t="shared" si="13"/>
        <v>SI</v>
      </c>
      <c r="Z36" s="449">
        <f t="shared" si="15"/>
        <v>258.951</v>
      </c>
      <c r="AA36" s="60"/>
    </row>
    <row r="37" spans="2:27" s="8" customFormat="1" ht="16.5" customHeight="1">
      <c r="B37" s="55"/>
      <c r="C37" s="151">
        <v>88</v>
      </c>
      <c r="D37" s="151">
        <v>246057</v>
      </c>
      <c r="E37" s="170">
        <v>677</v>
      </c>
      <c r="F37" s="738" t="s">
        <v>359</v>
      </c>
      <c r="G37" s="683" t="s">
        <v>360</v>
      </c>
      <c r="H37" s="197">
        <v>299</v>
      </c>
      <c r="I37" s="341">
        <f t="shared" si="0"/>
        <v>194.05100000000002</v>
      </c>
      <c r="J37" s="443">
        <v>40996.385416666664</v>
      </c>
      <c r="K37" s="202">
        <v>40996.59861111111</v>
      </c>
      <c r="L37" s="445">
        <f t="shared" si="1"/>
        <v>5.116666666755918</v>
      </c>
      <c r="M37" s="446">
        <f t="shared" si="2"/>
        <v>307</v>
      </c>
      <c r="N37" s="179" t="s">
        <v>253</v>
      </c>
      <c r="O37" s="254" t="str">
        <f t="shared" si="3"/>
        <v>--</v>
      </c>
      <c r="P37" s="181" t="str">
        <f t="shared" si="4"/>
        <v>--</v>
      </c>
      <c r="Q37" s="739">
        <f t="shared" si="5"/>
        <v>2</v>
      </c>
      <c r="R37" s="740">
        <f t="shared" si="6"/>
        <v>1987.0822400000002</v>
      </c>
      <c r="S37" s="734" t="str">
        <f t="shared" si="7"/>
        <v>--</v>
      </c>
      <c r="T37" s="735" t="str">
        <f t="shared" si="8"/>
        <v>--</v>
      </c>
      <c r="U37" s="352" t="str">
        <f t="shared" si="9"/>
        <v>--</v>
      </c>
      <c r="V37" s="353" t="str">
        <f t="shared" si="10"/>
        <v>--</v>
      </c>
      <c r="W37" s="736" t="str">
        <f t="shared" si="11"/>
        <v>--</v>
      </c>
      <c r="X37" s="687" t="str">
        <f t="shared" si="12"/>
        <v>--</v>
      </c>
      <c r="Y37" s="181" t="str">
        <f t="shared" si="13"/>
        <v>SI</v>
      </c>
      <c r="Z37" s="449">
        <v>0</v>
      </c>
      <c r="AA37" s="60"/>
    </row>
    <row r="38" spans="2:27" s="8" customFormat="1" ht="16.5" customHeight="1">
      <c r="B38" s="55"/>
      <c r="C38" s="151"/>
      <c r="D38" s="151"/>
      <c r="E38" s="151"/>
      <c r="F38" s="483"/>
      <c r="G38" s="440"/>
      <c r="H38" s="484"/>
      <c r="I38" s="341">
        <f t="shared" si="0"/>
        <v>0</v>
      </c>
      <c r="J38" s="443"/>
      <c r="K38" s="202"/>
      <c r="L38" s="445">
        <f t="shared" si="1"/>
      </c>
      <c r="M38" s="446">
        <f t="shared" si="2"/>
      </c>
      <c r="N38" s="179"/>
      <c r="O38" s="254">
        <f t="shared" si="3"/>
      </c>
      <c r="P38" s="181">
        <f t="shared" si="4"/>
      </c>
      <c r="Q38" s="739">
        <f t="shared" si="5"/>
        <v>20</v>
      </c>
      <c r="R38" s="740" t="str">
        <f t="shared" si="6"/>
        <v>--</v>
      </c>
      <c r="S38" s="734" t="str">
        <f t="shared" si="7"/>
        <v>--</v>
      </c>
      <c r="T38" s="735" t="str">
        <f t="shared" si="8"/>
        <v>--</v>
      </c>
      <c r="U38" s="352" t="str">
        <f t="shared" si="9"/>
        <v>--</v>
      </c>
      <c r="V38" s="353" t="str">
        <f t="shared" si="10"/>
        <v>--</v>
      </c>
      <c r="W38" s="736" t="str">
        <f t="shared" si="11"/>
        <v>--</v>
      </c>
      <c r="X38" s="687" t="str">
        <f t="shared" si="12"/>
        <v>--</v>
      </c>
      <c r="Y38" s="181">
        <f t="shared" si="13"/>
      </c>
      <c r="Z38" s="449">
        <f t="shared" si="15"/>
      </c>
      <c r="AA38" s="60"/>
    </row>
    <row r="39" spans="2:27" s="8" customFormat="1" ht="16.5" customHeight="1">
      <c r="B39" s="55"/>
      <c r="C39" s="151"/>
      <c r="D39" s="151"/>
      <c r="E39" s="170"/>
      <c r="F39" s="483"/>
      <c r="G39" s="440"/>
      <c r="H39" s="484"/>
      <c r="I39" s="341">
        <f t="shared" si="0"/>
        <v>0</v>
      </c>
      <c r="J39" s="443"/>
      <c r="K39" s="202"/>
      <c r="L39" s="445">
        <f t="shared" si="1"/>
      </c>
      <c r="M39" s="446">
        <f t="shared" si="2"/>
      </c>
      <c r="N39" s="179"/>
      <c r="O39" s="254">
        <f t="shared" si="3"/>
      </c>
      <c r="P39" s="181">
        <f t="shared" si="4"/>
      </c>
      <c r="Q39" s="739">
        <f t="shared" si="5"/>
        <v>20</v>
      </c>
      <c r="R39" s="740" t="str">
        <f t="shared" si="6"/>
        <v>--</v>
      </c>
      <c r="S39" s="734" t="str">
        <f t="shared" si="7"/>
        <v>--</v>
      </c>
      <c r="T39" s="735" t="str">
        <f t="shared" si="8"/>
        <v>--</v>
      </c>
      <c r="U39" s="352" t="str">
        <f t="shared" si="9"/>
        <v>--</v>
      </c>
      <c r="V39" s="353" t="str">
        <f t="shared" si="10"/>
        <v>--</v>
      </c>
      <c r="W39" s="736" t="str">
        <f t="shared" si="11"/>
        <v>--</v>
      </c>
      <c r="X39" s="687" t="str">
        <f t="shared" si="12"/>
        <v>--</v>
      </c>
      <c r="Y39" s="181">
        <f t="shared" si="13"/>
      </c>
      <c r="Z39" s="449">
        <f t="shared" si="15"/>
      </c>
      <c r="AA39" s="60"/>
    </row>
    <row r="40" spans="2:27" s="8" customFormat="1" ht="16.5" customHeight="1">
      <c r="B40" s="55"/>
      <c r="C40" s="151"/>
      <c r="D40" s="151"/>
      <c r="E40" s="151"/>
      <c r="F40" s="483"/>
      <c r="G40" s="440"/>
      <c r="H40" s="484"/>
      <c r="I40" s="341">
        <f t="shared" si="0"/>
        <v>0</v>
      </c>
      <c r="J40" s="443"/>
      <c r="K40" s="202"/>
      <c r="L40" s="445">
        <f t="shared" si="1"/>
      </c>
      <c r="M40" s="446">
        <f t="shared" si="2"/>
      </c>
      <c r="N40" s="179"/>
      <c r="O40" s="254">
        <f t="shared" si="3"/>
      </c>
      <c r="P40" s="181">
        <f t="shared" si="4"/>
      </c>
      <c r="Q40" s="739">
        <f t="shared" si="5"/>
        <v>20</v>
      </c>
      <c r="R40" s="740" t="str">
        <f t="shared" si="6"/>
        <v>--</v>
      </c>
      <c r="S40" s="734" t="str">
        <f t="shared" si="7"/>
        <v>--</v>
      </c>
      <c r="T40" s="735" t="str">
        <f t="shared" si="8"/>
        <v>--</v>
      </c>
      <c r="U40" s="352" t="str">
        <f t="shared" si="9"/>
        <v>--</v>
      </c>
      <c r="V40" s="353" t="str">
        <f t="shared" si="10"/>
        <v>--</v>
      </c>
      <c r="W40" s="736" t="str">
        <f t="shared" si="11"/>
        <v>--</v>
      </c>
      <c r="X40" s="687" t="str">
        <f t="shared" si="12"/>
        <v>--</v>
      </c>
      <c r="Y40" s="181">
        <f t="shared" si="13"/>
      </c>
      <c r="Z40" s="449">
        <f t="shared" si="15"/>
      </c>
      <c r="AA40" s="60"/>
    </row>
    <row r="41" spans="2:27" s="8" customFormat="1" ht="16.5" customHeight="1">
      <c r="B41" s="55"/>
      <c r="C41" s="151"/>
      <c r="D41" s="151"/>
      <c r="E41" s="170"/>
      <c r="F41" s="483"/>
      <c r="G41" s="440"/>
      <c r="H41" s="484"/>
      <c r="I41" s="341">
        <f t="shared" si="0"/>
        <v>0</v>
      </c>
      <c r="J41" s="443"/>
      <c r="K41" s="202"/>
      <c r="L41" s="445">
        <f t="shared" si="1"/>
      </c>
      <c r="M41" s="446">
        <f t="shared" si="2"/>
      </c>
      <c r="N41" s="179"/>
      <c r="O41" s="254">
        <f t="shared" si="3"/>
      </c>
      <c r="P41" s="181">
        <f t="shared" si="4"/>
      </c>
      <c r="Q41" s="739">
        <f t="shared" si="5"/>
        <v>20</v>
      </c>
      <c r="R41" s="740" t="str">
        <f t="shared" si="6"/>
        <v>--</v>
      </c>
      <c r="S41" s="734" t="str">
        <f t="shared" si="7"/>
        <v>--</v>
      </c>
      <c r="T41" s="735" t="str">
        <f t="shared" si="8"/>
        <v>--</v>
      </c>
      <c r="U41" s="352" t="str">
        <f t="shared" si="9"/>
        <v>--</v>
      </c>
      <c r="V41" s="353" t="str">
        <f t="shared" si="10"/>
        <v>--</v>
      </c>
      <c r="W41" s="736" t="str">
        <f t="shared" si="11"/>
        <v>--</v>
      </c>
      <c r="X41" s="687" t="str">
        <f t="shared" si="12"/>
        <v>--</v>
      </c>
      <c r="Y41" s="181">
        <f t="shared" si="13"/>
      </c>
      <c r="Z41" s="449">
        <f t="shared" si="15"/>
      </c>
      <c r="AA41" s="60"/>
    </row>
    <row r="42" spans="2:27" s="8" customFormat="1" ht="16.5" customHeight="1">
      <c r="B42" s="55"/>
      <c r="C42" s="151"/>
      <c r="D42" s="151"/>
      <c r="E42" s="151"/>
      <c r="F42" s="483"/>
      <c r="G42" s="440"/>
      <c r="H42" s="484"/>
      <c r="I42" s="341">
        <f t="shared" si="0"/>
        <v>0</v>
      </c>
      <c r="J42" s="443"/>
      <c r="K42" s="202"/>
      <c r="L42" s="445">
        <f t="shared" si="1"/>
      </c>
      <c r="M42" s="446">
        <f t="shared" si="2"/>
      </c>
      <c r="N42" s="179"/>
      <c r="O42" s="254">
        <f t="shared" si="3"/>
      </c>
      <c r="P42" s="181">
        <f t="shared" si="4"/>
      </c>
      <c r="Q42" s="739">
        <f t="shared" si="5"/>
        <v>20</v>
      </c>
      <c r="R42" s="740" t="str">
        <f t="shared" si="6"/>
        <v>--</v>
      </c>
      <c r="S42" s="734" t="str">
        <f t="shared" si="7"/>
        <v>--</v>
      </c>
      <c r="T42" s="735" t="str">
        <f t="shared" si="8"/>
        <v>--</v>
      </c>
      <c r="U42" s="352" t="str">
        <f t="shared" si="9"/>
        <v>--</v>
      </c>
      <c r="V42" s="353" t="str">
        <f t="shared" si="10"/>
        <v>--</v>
      </c>
      <c r="W42" s="736" t="str">
        <f t="shared" si="11"/>
        <v>--</v>
      </c>
      <c r="X42" s="687" t="str">
        <f t="shared" si="12"/>
        <v>--</v>
      </c>
      <c r="Y42" s="181">
        <f t="shared" si="13"/>
      </c>
      <c r="Z42" s="449">
        <f t="shared" si="15"/>
      </c>
      <c r="AA42" s="60"/>
    </row>
    <row r="43" spans="2:27" s="8" customFormat="1" ht="16.5" customHeight="1">
      <c r="B43" s="55"/>
      <c r="C43" s="151"/>
      <c r="D43" s="151"/>
      <c r="E43" s="170"/>
      <c r="F43" s="483"/>
      <c r="G43" s="440"/>
      <c r="H43" s="484"/>
      <c r="I43" s="341">
        <f t="shared" si="0"/>
        <v>0</v>
      </c>
      <c r="J43" s="443"/>
      <c r="K43" s="202"/>
      <c r="L43" s="445">
        <f t="shared" si="1"/>
      </c>
      <c r="M43" s="446">
        <f t="shared" si="2"/>
      </c>
      <c r="N43" s="179"/>
      <c r="O43" s="254">
        <f t="shared" si="3"/>
      </c>
      <c r="P43" s="181">
        <f t="shared" si="4"/>
      </c>
      <c r="Q43" s="739">
        <f t="shared" si="5"/>
        <v>20</v>
      </c>
      <c r="R43" s="740" t="str">
        <f t="shared" si="6"/>
        <v>--</v>
      </c>
      <c r="S43" s="734" t="str">
        <f t="shared" si="7"/>
        <v>--</v>
      </c>
      <c r="T43" s="735" t="str">
        <f t="shared" si="8"/>
        <v>--</v>
      </c>
      <c r="U43" s="352" t="str">
        <f t="shared" si="9"/>
        <v>--</v>
      </c>
      <c r="V43" s="353" t="str">
        <f t="shared" si="10"/>
        <v>--</v>
      </c>
      <c r="W43" s="736" t="str">
        <f t="shared" si="11"/>
        <v>--</v>
      </c>
      <c r="X43" s="687" t="str">
        <f t="shared" si="12"/>
        <v>--</v>
      </c>
      <c r="Y43" s="181">
        <f t="shared" si="13"/>
      </c>
      <c r="Z43" s="449">
        <f t="shared" si="15"/>
      </c>
      <c r="AA43" s="60"/>
    </row>
    <row r="44" spans="2:27" s="8" customFormat="1" ht="16.5" customHeight="1">
      <c r="B44" s="55"/>
      <c r="C44" s="151"/>
      <c r="D44" s="151"/>
      <c r="E44" s="151"/>
      <c r="F44" s="483"/>
      <c r="G44" s="440"/>
      <c r="H44" s="484"/>
      <c r="I44" s="341">
        <f t="shared" si="0"/>
        <v>0</v>
      </c>
      <c r="J44" s="443"/>
      <c r="K44" s="202"/>
      <c r="L44" s="445">
        <f t="shared" si="1"/>
      </c>
      <c r="M44" s="446">
        <f t="shared" si="2"/>
      </c>
      <c r="N44" s="179"/>
      <c r="O44" s="254">
        <f t="shared" si="3"/>
      </c>
      <c r="P44" s="181">
        <f t="shared" si="4"/>
      </c>
      <c r="Q44" s="739">
        <f t="shared" si="5"/>
        <v>20</v>
      </c>
      <c r="R44" s="740" t="str">
        <f t="shared" si="6"/>
        <v>--</v>
      </c>
      <c r="S44" s="734" t="str">
        <f t="shared" si="7"/>
        <v>--</v>
      </c>
      <c r="T44" s="735" t="str">
        <f t="shared" si="8"/>
        <v>--</v>
      </c>
      <c r="U44" s="352" t="str">
        <f t="shared" si="9"/>
        <v>--</v>
      </c>
      <c r="V44" s="353" t="str">
        <f t="shared" si="10"/>
        <v>--</v>
      </c>
      <c r="W44" s="736" t="str">
        <f t="shared" si="11"/>
        <v>--</v>
      </c>
      <c r="X44" s="687" t="str">
        <f t="shared" si="12"/>
        <v>--</v>
      </c>
      <c r="Y44" s="181">
        <f t="shared" si="13"/>
      </c>
      <c r="Z44" s="449">
        <f t="shared" si="15"/>
      </c>
      <c r="AA44" s="60"/>
    </row>
    <row r="45" spans="2:27" s="8" customFormat="1" ht="16.5" customHeight="1" thickBot="1">
      <c r="B45" s="55"/>
      <c r="C45" s="485"/>
      <c r="D45" s="485"/>
      <c r="E45" s="485"/>
      <c r="F45" s="485"/>
      <c r="G45" s="485"/>
      <c r="H45" s="485"/>
      <c r="I45" s="361"/>
      <c r="J45" s="450"/>
      <c r="K45" s="450"/>
      <c r="L45" s="451"/>
      <c r="M45" s="451"/>
      <c r="N45" s="450"/>
      <c r="O45" s="213"/>
      <c r="P45" s="212"/>
      <c r="Q45" s="742"/>
      <c r="R45" s="743"/>
      <c r="S45" s="744"/>
      <c r="T45" s="745"/>
      <c r="U45" s="373"/>
      <c r="V45" s="374"/>
      <c r="W45" s="746"/>
      <c r="X45" s="746"/>
      <c r="Y45" s="212"/>
      <c r="Z45" s="747"/>
      <c r="AA45" s="60"/>
    </row>
    <row r="46" spans="2:27" s="8" customFormat="1" ht="16.5" customHeight="1" thickBot="1" thickTop="1">
      <c r="B46" s="55"/>
      <c r="C46" s="661" t="s">
        <v>324</v>
      </c>
      <c r="D46" s="252" t="s">
        <v>361</v>
      </c>
      <c r="E46" s="226"/>
      <c r="F46" s="227"/>
      <c r="I46" s="11"/>
      <c r="J46" s="11"/>
      <c r="K46" s="11"/>
      <c r="L46" s="11"/>
      <c r="M46" s="11"/>
      <c r="N46" s="11"/>
      <c r="O46" s="11"/>
      <c r="P46" s="11"/>
      <c r="Q46" s="11"/>
      <c r="R46" s="748">
        <f aca="true" t="shared" si="16" ref="R46:X46">SUM(R20:R45)</f>
        <v>100393.60232000002</v>
      </c>
      <c r="S46" s="749">
        <f t="shared" si="16"/>
        <v>324.5</v>
      </c>
      <c r="T46" s="750">
        <f t="shared" si="16"/>
        <v>17156.315000000002</v>
      </c>
      <c r="U46" s="383">
        <f t="shared" si="16"/>
        <v>0</v>
      </c>
      <c r="V46" s="384">
        <f t="shared" si="16"/>
        <v>0</v>
      </c>
      <c r="W46" s="751">
        <f t="shared" si="16"/>
        <v>0</v>
      </c>
      <c r="X46" s="751">
        <f t="shared" si="16"/>
        <v>11591.591703999999</v>
      </c>
      <c r="Z46" s="463">
        <f>ROUND(SUM(Z20:Z45),2)</f>
        <v>122810.4</v>
      </c>
      <c r="AA46" s="752"/>
    </row>
    <row r="47" spans="2:27" s="8" customFormat="1" ht="16.5" customHeight="1" thickBot="1" thickTop="1">
      <c r="B47" s="241"/>
      <c r="C47" s="753" t="s">
        <v>349</v>
      </c>
      <c r="D47" s="754" t="s">
        <v>350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3"/>
    </row>
    <row r="48" spans="6:29" ht="16.5" customHeight="1" thickTop="1">
      <c r="F48" s="486"/>
      <c r="G48" s="486"/>
      <c r="H48" s="486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</row>
    <row r="49" spans="6:29" ht="16.5" customHeight="1">
      <c r="F49" s="486"/>
      <c r="G49" s="486"/>
      <c r="H49" s="486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</row>
    <row r="50" spans="6:29" ht="16.5" customHeight="1">
      <c r="F50" s="486"/>
      <c r="G50" s="486"/>
      <c r="H50" s="486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</row>
    <row r="51" spans="6:29" ht="16.5" customHeight="1">
      <c r="F51" s="486"/>
      <c r="G51" s="486"/>
      <c r="H51" s="486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</row>
    <row r="52" spans="6:29" ht="16.5" customHeight="1">
      <c r="F52" s="486"/>
      <c r="G52" s="486"/>
      <c r="H52" s="486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</row>
    <row r="53" spans="6:29" ht="16.5" customHeight="1">
      <c r="F53" s="486"/>
      <c r="G53" s="486"/>
      <c r="H53" s="486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</row>
    <row r="54" spans="6:29" ht="16.5" customHeight="1"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</row>
    <row r="55" spans="6:29" ht="16.5" customHeight="1"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</row>
    <row r="56" spans="6:29" ht="16.5" customHeight="1"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</row>
    <row r="57" spans="6:29" ht="16.5" customHeight="1"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</row>
    <row r="58" spans="6:29" ht="16.5" customHeight="1"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</row>
    <row r="59" spans="6:29" ht="16.5" customHeight="1"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</row>
    <row r="60" spans="6:29" ht="16.5" customHeight="1"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</row>
    <row r="61" spans="6:29" ht="16.5" customHeight="1"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</row>
    <row r="62" spans="6:29" ht="16.5" customHeight="1"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</row>
    <row r="63" spans="6:29" ht="16.5" customHeight="1"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</row>
    <row r="64" spans="6:29" ht="16.5" customHeight="1"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</row>
    <row r="65" spans="6:29" ht="16.5" customHeight="1"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</row>
    <row r="66" spans="6:29" ht="16.5" customHeight="1"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</row>
    <row r="67" spans="6:29" ht="16.5" customHeight="1"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</row>
    <row r="68" spans="6:29" ht="16.5" customHeight="1"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</row>
    <row r="69" spans="6:29" ht="16.5" customHeight="1"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</row>
    <row r="70" spans="6:29" ht="16.5" customHeight="1"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</row>
    <row r="71" spans="6:29" ht="16.5" customHeight="1"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</row>
    <row r="72" spans="6:29" ht="16.5" customHeight="1"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</row>
    <row r="73" spans="6:29" ht="16.5" customHeight="1"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</row>
    <row r="74" spans="6:29" ht="16.5" customHeight="1"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</row>
    <row r="75" spans="6:29" ht="16.5" customHeight="1"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</row>
    <row r="76" spans="6:29" ht="16.5" customHeight="1"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</row>
    <row r="77" spans="6:29" ht="16.5" customHeight="1"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</row>
    <row r="78" spans="6:29" ht="16.5" customHeight="1"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</row>
    <row r="79" spans="6:29" ht="16.5" customHeight="1"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</row>
    <row r="80" spans="6:29" ht="16.5" customHeight="1"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</row>
    <row r="81" spans="6:29" ht="16.5" customHeight="1"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</row>
    <row r="82" spans="6:29" ht="16.5" customHeight="1"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</row>
    <row r="83" spans="6:29" ht="16.5" customHeight="1"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</row>
    <row r="84" spans="6:29" ht="16.5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</row>
    <row r="85" spans="6:29" ht="16.5" customHeight="1"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</row>
    <row r="86" spans="6:29" ht="16.5" customHeight="1"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</row>
    <row r="87" spans="6:29" ht="16.5" customHeight="1"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</row>
    <row r="88" spans="6:29" ht="16.5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</row>
    <row r="89" spans="6:29" ht="16.5" customHeight="1"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</row>
    <row r="90" spans="6:29" ht="16.5" customHeight="1"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</row>
    <row r="91" spans="6:29" ht="16.5" customHeight="1"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</row>
    <row r="92" spans="6:29" ht="16.5" customHeight="1"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</row>
    <row r="93" spans="6:29" ht="16.5" customHeight="1"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</row>
    <row r="94" spans="6:29" ht="16.5" customHeight="1"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</row>
    <row r="95" spans="6:29" ht="16.5" customHeight="1"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</row>
    <row r="96" spans="6:29" ht="16.5" customHeight="1"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</row>
    <row r="97" spans="6:29" ht="16.5" customHeight="1"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</row>
    <row r="98" spans="6:29" ht="16.5" customHeight="1"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</row>
    <row r="99" spans="6:29" ht="16.5" customHeight="1"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</row>
    <row r="100" spans="6:29" ht="16.5" customHeight="1"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</row>
    <row r="101" spans="6:29" ht="16.5" customHeight="1"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  <c r="AA101" s="392"/>
      <c r="AB101" s="392"/>
      <c r="AC101" s="392"/>
    </row>
    <row r="102" spans="6:29" ht="16.5" customHeight="1"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</row>
    <row r="103" spans="6:29" ht="16.5" customHeight="1"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</row>
    <row r="104" spans="6:29" ht="16.5" customHeight="1"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  <c r="Z104" s="392"/>
      <c r="AA104" s="392"/>
      <c r="AB104" s="392"/>
      <c r="AC104" s="392"/>
    </row>
    <row r="105" spans="6:29" ht="16.5" customHeight="1"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</row>
    <row r="106" spans="6:29" ht="16.5" customHeight="1"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</row>
    <row r="107" spans="6:29" ht="16.5" customHeight="1"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392"/>
    </row>
    <row r="108" spans="6:29" ht="16.5" customHeight="1"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  <c r="AB108" s="392"/>
      <c r="AC108" s="392"/>
    </row>
    <row r="109" spans="6:29" ht="16.5" customHeight="1"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392"/>
    </row>
    <row r="110" spans="6:29" ht="16.5" customHeight="1"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</row>
    <row r="111" spans="6:29" ht="16.5" customHeight="1"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2"/>
    </row>
    <row r="112" spans="6:29" ht="16.5" customHeight="1"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  <c r="Z112" s="392"/>
      <c r="AA112" s="392"/>
      <c r="AB112" s="392"/>
      <c r="AC112" s="392"/>
    </row>
    <row r="113" spans="6:29" ht="16.5" customHeight="1"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</row>
    <row r="114" spans="6:29" ht="16.5" customHeight="1"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</row>
    <row r="115" spans="6:29" ht="16.5" customHeight="1"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</row>
    <row r="116" spans="6:29" ht="16.5" customHeight="1"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  <c r="Z116" s="392"/>
      <c r="AA116" s="392"/>
      <c r="AB116" s="392"/>
      <c r="AC116" s="392"/>
    </row>
    <row r="117" spans="6:29" ht="16.5" customHeight="1"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</row>
    <row r="118" spans="6:29" ht="16.5" customHeight="1"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</row>
    <row r="119" spans="6:29" ht="16.5" customHeight="1"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392"/>
    </row>
    <row r="120" spans="6:29" ht="16.5" customHeight="1"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</row>
    <row r="121" spans="6:29" ht="16.5" customHeight="1"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</row>
    <row r="122" spans="6:29" ht="16.5" customHeight="1"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</row>
    <row r="123" spans="6:29" ht="16.5" customHeight="1"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392"/>
    </row>
    <row r="124" spans="6:29" ht="16.5" customHeight="1"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392"/>
    </row>
    <row r="125" spans="6:29" ht="16.5" customHeight="1"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2"/>
      <c r="AC125" s="392"/>
    </row>
    <row r="126" spans="6:29" ht="16.5" customHeight="1"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  <c r="Z126" s="392"/>
      <c r="AA126" s="392"/>
      <c r="AB126" s="392"/>
      <c r="AC126" s="392"/>
    </row>
    <row r="127" spans="6:29" ht="16.5" customHeight="1"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392"/>
    </row>
    <row r="128" spans="6:29" ht="16.5" customHeight="1"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  <c r="Z128" s="392"/>
      <c r="AA128" s="392"/>
      <c r="AB128" s="392"/>
      <c r="AC128" s="392"/>
    </row>
    <row r="129" spans="6:29" ht="16.5" customHeight="1"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392"/>
    </row>
    <row r="130" spans="6:29" ht="16.5" customHeight="1"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2"/>
      <c r="AC130" s="392"/>
    </row>
    <row r="131" spans="6:29" ht="16.5" customHeight="1"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  <c r="Z131" s="392"/>
      <c r="AA131" s="392"/>
      <c r="AB131" s="392"/>
      <c r="AC131" s="392"/>
    </row>
    <row r="132" spans="6:29" ht="16.5" customHeight="1"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392"/>
    </row>
    <row r="133" spans="6:29" ht="16.5" customHeight="1"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  <c r="Z133" s="392"/>
      <c r="AA133" s="392"/>
      <c r="AB133" s="392"/>
      <c r="AC133" s="392"/>
    </row>
    <row r="134" spans="6:29" ht="16.5" customHeight="1"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392"/>
    </row>
    <row r="135" spans="6:29" ht="16.5" customHeight="1"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</row>
    <row r="136" spans="6:29" ht="16.5" customHeight="1"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  <c r="Z136" s="392"/>
      <c r="AA136" s="392"/>
      <c r="AB136" s="392"/>
      <c r="AC136" s="392"/>
    </row>
    <row r="137" spans="6:29" ht="16.5" customHeight="1"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</row>
    <row r="138" spans="6:29" ht="16.5" customHeight="1"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392"/>
    </row>
    <row r="139" spans="6:29" ht="16.5" customHeight="1"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92"/>
    </row>
    <row r="140" spans="6:29" ht="16.5" customHeight="1"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</row>
    <row r="141" spans="6:29" ht="16.5" customHeight="1"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92"/>
      <c r="AA141" s="392"/>
      <c r="AB141" s="392"/>
      <c r="AC141" s="392"/>
    </row>
    <row r="142" spans="6:29" ht="16.5" customHeight="1"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/>
    </row>
    <row r="143" spans="6:29" ht="16.5" customHeight="1"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92"/>
      <c r="AA143" s="392"/>
      <c r="AB143" s="392"/>
      <c r="AC143" s="392"/>
    </row>
    <row r="144" spans="6:29" ht="16.5" customHeight="1"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  <c r="AB144" s="392"/>
      <c r="AC144" s="392"/>
    </row>
    <row r="145" spans="6:29" ht="16.5" customHeight="1"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</row>
    <row r="146" spans="6:29" ht="16.5" customHeight="1"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</row>
    <row r="147" spans="6:29" ht="16.5" customHeight="1"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  <c r="AB147" s="392"/>
      <c r="AC147" s="392"/>
    </row>
    <row r="148" spans="6:29" ht="16.5" customHeight="1"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  <c r="AB148" s="392"/>
      <c r="AC148" s="392"/>
    </row>
    <row r="149" spans="6:29" ht="16.5" customHeight="1"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92"/>
      <c r="AA149" s="392"/>
      <c r="AB149" s="392"/>
      <c r="AC149" s="392"/>
    </row>
    <row r="150" spans="6:29" ht="16.5" customHeight="1"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  <c r="Z150" s="392"/>
      <c r="AA150" s="392"/>
      <c r="AB150" s="392"/>
      <c r="AC150" s="392"/>
    </row>
    <row r="151" spans="6:29" ht="16.5" customHeight="1"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  <c r="Z151" s="392"/>
      <c r="AA151" s="392"/>
      <c r="AB151" s="392"/>
      <c r="AC151" s="392"/>
    </row>
    <row r="152" spans="6:29" ht="16.5" customHeight="1">
      <c r="F152" s="392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392"/>
      <c r="V152" s="392"/>
      <c r="W152" s="392"/>
      <c r="X152" s="392"/>
      <c r="Y152" s="392"/>
      <c r="Z152" s="392"/>
      <c r="AA152" s="392"/>
      <c r="AB152" s="392"/>
      <c r="AC152" s="392"/>
    </row>
    <row r="153" spans="6:29" ht="16.5" customHeight="1"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  <c r="Z153" s="392"/>
      <c r="AA153" s="392"/>
      <c r="AB153" s="392"/>
      <c r="AC153" s="392"/>
    </row>
    <row r="154" spans="6:29" ht="16.5" customHeight="1"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  <c r="Z154" s="392"/>
      <c r="AA154" s="392"/>
      <c r="AB154" s="392"/>
      <c r="AC154" s="392"/>
    </row>
    <row r="155" spans="6:29" ht="16.5" customHeight="1">
      <c r="F155" s="392"/>
      <c r="G155" s="392"/>
      <c r="H155" s="392"/>
      <c r="AB155" s="392"/>
      <c r="AC155" s="392"/>
    </row>
    <row r="156" spans="6:8" ht="16.5" customHeight="1">
      <c r="F156" s="392"/>
      <c r="G156" s="392"/>
      <c r="H156" s="392"/>
    </row>
    <row r="157" spans="6:8" ht="16.5" customHeight="1">
      <c r="F157" s="392"/>
      <c r="G157" s="392"/>
      <c r="H157" s="392"/>
    </row>
    <row r="158" spans="6:8" ht="16.5" customHeight="1">
      <c r="F158" s="392"/>
      <c r="G158" s="392"/>
      <c r="H158" s="392"/>
    </row>
    <row r="159" spans="6:8" ht="16.5" customHeight="1">
      <c r="F159" s="392"/>
      <c r="G159" s="392"/>
      <c r="H159" s="392"/>
    </row>
    <row r="160" spans="6:8" ht="16.5" customHeight="1">
      <c r="F160" s="392"/>
      <c r="G160" s="392"/>
      <c r="H160" s="392"/>
    </row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59" r:id="rId3"/>
  <headerFooter alignWithMargins="0">
    <oddFooter>&amp;L&amp;"Times New Roman,Normal"&amp;8&amp;F-&amp;A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AA158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2.75"/>
  <cols>
    <col min="1" max="2" width="4.140625" style="781" customWidth="1"/>
    <col min="3" max="3" width="5.421875" style="781" customWidth="1"/>
    <col min="4" max="5" width="13.57421875" style="781" customWidth="1"/>
    <col min="6" max="6" width="37.8515625" style="781" customWidth="1"/>
    <col min="7" max="7" width="36.8515625" style="781" customWidth="1"/>
    <col min="8" max="8" width="12.00390625" style="781" customWidth="1"/>
    <col min="9" max="9" width="6.8515625" style="781" hidden="1" customWidth="1"/>
    <col min="10" max="11" width="16.7109375" style="781" customWidth="1"/>
    <col min="12" max="15" width="9.7109375" style="781" customWidth="1"/>
    <col min="16" max="16" width="5.7109375" style="781" bestFit="1" customWidth="1"/>
    <col min="17" max="17" width="5.7109375" style="781" hidden="1" customWidth="1"/>
    <col min="18" max="18" width="12.8515625" style="781" hidden="1" customWidth="1"/>
    <col min="19" max="20" width="6.00390625" style="781" hidden="1" customWidth="1"/>
    <col min="21" max="21" width="11.7109375" style="781" hidden="1" customWidth="1"/>
    <col min="22" max="22" width="9.7109375" style="781" customWidth="1"/>
    <col min="23" max="23" width="13.00390625" style="781" hidden="1" customWidth="1"/>
    <col min="24" max="24" width="15.7109375" style="781" customWidth="1"/>
    <col min="25" max="25" width="4.140625" style="781" customWidth="1"/>
    <col min="26" max="16384" width="11.421875" style="781" customWidth="1"/>
  </cols>
  <sheetData>
    <row r="1" s="755" customFormat="1" ht="26.25">
      <c r="Y1" s="756"/>
    </row>
    <row r="2" spans="1:25" s="755" customFormat="1" ht="26.25">
      <c r="A2" s="757"/>
      <c r="B2" s="758" t="str">
        <f>'TOT-0312'!B2</f>
        <v>ANEXO IV al Memorándum D.T.E.E.  N° 783/ 2013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</row>
    <row r="3" s="760" customFormat="1" ht="15.75" customHeight="1">
      <c r="A3" s="759"/>
    </row>
    <row r="4" spans="1:4" s="763" customFormat="1" ht="11.25">
      <c r="A4" s="761" t="s">
        <v>2</v>
      </c>
      <c r="B4" s="762"/>
      <c r="C4" s="762"/>
      <c r="D4" s="762"/>
    </row>
    <row r="5" spans="1:4" s="763" customFormat="1" ht="11.25">
      <c r="A5" s="761" t="s">
        <v>3</v>
      </c>
      <c r="B5" s="762"/>
      <c r="C5" s="762"/>
      <c r="D5" s="762"/>
    </row>
    <row r="6" s="760" customFormat="1" ht="13.5" thickBot="1"/>
    <row r="7" spans="2:25" s="760" customFormat="1" ht="13.5" thickTop="1">
      <c r="B7" s="764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766"/>
    </row>
    <row r="8" spans="2:25" s="767" customFormat="1" ht="20.25">
      <c r="B8" s="768"/>
      <c r="C8" s="769"/>
      <c r="D8" s="769"/>
      <c r="F8" s="770" t="s">
        <v>76</v>
      </c>
      <c r="G8" s="771"/>
      <c r="H8" s="772"/>
      <c r="I8" s="773"/>
      <c r="J8" s="773"/>
      <c r="K8" s="773"/>
      <c r="L8" s="773"/>
      <c r="M8" s="773"/>
      <c r="N8" s="773"/>
      <c r="O8" s="773"/>
      <c r="P8" s="772"/>
      <c r="Q8" s="772"/>
      <c r="R8" s="772"/>
      <c r="S8" s="772"/>
      <c r="T8" s="772"/>
      <c r="U8" s="772"/>
      <c r="V8" s="772"/>
      <c r="W8" s="772"/>
      <c r="X8" s="772"/>
      <c r="Y8" s="774"/>
    </row>
    <row r="9" spans="2:25" s="760" customFormat="1" ht="12.75">
      <c r="B9" s="775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7"/>
    </row>
    <row r="10" spans="2:25" s="767" customFormat="1" ht="20.25">
      <c r="B10" s="768"/>
      <c r="C10" s="769"/>
      <c r="D10" s="769"/>
      <c r="F10" s="778" t="s">
        <v>342</v>
      </c>
      <c r="H10" s="779"/>
      <c r="I10" s="780"/>
      <c r="J10" s="780"/>
      <c r="K10" s="780"/>
      <c r="L10" s="780"/>
      <c r="M10" s="780"/>
      <c r="N10" s="780"/>
      <c r="O10" s="780"/>
      <c r="P10" s="780"/>
      <c r="Q10" s="780"/>
      <c r="R10" s="769"/>
      <c r="S10" s="769"/>
      <c r="T10" s="769"/>
      <c r="U10" s="769"/>
      <c r="V10" s="769"/>
      <c r="W10" s="769"/>
      <c r="X10" s="781"/>
      <c r="Y10" s="782"/>
    </row>
    <row r="11" spans="2:25" s="760" customFormat="1" ht="16.5" customHeight="1">
      <c r="B11" s="775"/>
      <c r="C11" s="776"/>
      <c r="D11" s="776"/>
      <c r="E11" s="776"/>
      <c r="F11" s="783"/>
      <c r="H11" s="784"/>
      <c r="I11" s="785"/>
      <c r="J11" s="785"/>
      <c r="K11" s="785"/>
      <c r="L11" s="785"/>
      <c r="M11" s="785"/>
      <c r="N11" s="785"/>
      <c r="O11" s="785"/>
      <c r="P11" s="785"/>
      <c r="Q11" s="785"/>
      <c r="R11" s="776"/>
      <c r="S11" s="776"/>
      <c r="T11" s="776"/>
      <c r="U11" s="776"/>
      <c r="V11" s="776"/>
      <c r="W11" s="776"/>
      <c r="X11" s="781"/>
      <c r="Y11" s="777"/>
    </row>
    <row r="12" spans="2:25" s="767" customFormat="1" ht="20.25">
      <c r="B12" s="768"/>
      <c r="C12" s="769"/>
      <c r="D12" s="769"/>
      <c r="F12" s="778" t="s">
        <v>369</v>
      </c>
      <c r="H12" s="779"/>
      <c r="I12" s="780"/>
      <c r="J12" s="780"/>
      <c r="K12" s="780"/>
      <c r="L12" s="780"/>
      <c r="M12" s="780"/>
      <c r="N12" s="780"/>
      <c r="O12" s="780"/>
      <c r="P12" s="780"/>
      <c r="Q12" s="780"/>
      <c r="R12" s="769"/>
      <c r="S12" s="769"/>
      <c r="T12" s="769"/>
      <c r="U12" s="769"/>
      <c r="V12" s="769"/>
      <c r="W12" s="769"/>
      <c r="X12" s="769"/>
      <c r="Y12" s="782"/>
    </row>
    <row r="13" spans="2:25" s="760" customFormat="1" ht="16.5" customHeight="1">
      <c r="B13" s="775"/>
      <c r="C13" s="776"/>
      <c r="D13" s="776"/>
      <c r="E13" s="776"/>
      <c r="F13" s="783"/>
      <c r="H13" s="784"/>
      <c r="I13" s="785"/>
      <c r="J13" s="785"/>
      <c r="K13" s="785"/>
      <c r="L13" s="785"/>
      <c r="M13" s="785"/>
      <c r="N13" s="785"/>
      <c r="O13" s="785"/>
      <c r="P13" s="785"/>
      <c r="Q13" s="785"/>
      <c r="R13" s="776"/>
      <c r="S13" s="776"/>
      <c r="T13" s="776"/>
      <c r="U13" s="776"/>
      <c r="V13" s="776"/>
      <c r="W13" s="776"/>
      <c r="X13" s="776"/>
      <c r="Y13" s="777"/>
    </row>
    <row r="14" spans="2:25" s="786" customFormat="1" ht="16.5" customHeight="1">
      <c r="B14" s="787" t="str">
        <f>'TOT-0312'!B14</f>
        <v>Desde el 01 al 31 de Marzo de 2012</v>
      </c>
      <c r="C14" s="788"/>
      <c r="D14" s="788"/>
      <c r="E14" s="789"/>
      <c r="F14" s="790"/>
      <c r="G14" s="790"/>
      <c r="H14" s="790"/>
      <c r="I14" s="790"/>
      <c r="J14" s="790"/>
      <c r="K14" s="790"/>
      <c r="L14" s="790"/>
      <c r="M14" s="790"/>
      <c r="N14" s="790"/>
      <c r="O14" s="790"/>
      <c r="P14" s="790"/>
      <c r="Q14" s="790"/>
      <c r="R14" s="789"/>
      <c r="S14" s="789"/>
      <c r="T14" s="789"/>
      <c r="U14" s="789"/>
      <c r="V14" s="789"/>
      <c r="W14" s="789"/>
      <c r="X14" s="789"/>
      <c r="Y14" s="791"/>
    </row>
    <row r="15" spans="2:25" s="760" customFormat="1" ht="16.5" customHeight="1">
      <c r="B15" s="775"/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R15" s="776"/>
      <c r="S15" s="776"/>
      <c r="T15" s="776"/>
      <c r="U15" s="776"/>
      <c r="V15" s="776"/>
      <c r="W15" s="776"/>
      <c r="X15" s="776"/>
      <c r="Y15" s="777"/>
    </row>
    <row r="16" spans="2:25" s="760" customFormat="1" ht="16.5" customHeight="1" thickBot="1">
      <c r="B16" s="775"/>
      <c r="C16" s="776"/>
      <c r="D16" s="776"/>
      <c r="E16" s="776"/>
      <c r="F16" s="776"/>
      <c r="G16" s="776"/>
      <c r="H16" s="776"/>
      <c r="I16" s="776"/>
      <c r="J16" s="776"/>
      <c r="K16" s="776"/>
      <c r="L16" s="792"/>
      <c r="M16" s="792"/>
      <c r="N16" s="792"/>
      <c r="O16" s="792"/>
      <c r="P16" s="792"/>
      <c r="Q16" s="793"/>
      <c r="R16" s="793"/>
      <c r="S16" s="793"/>
      <c r="T16" s="776"/>
      <c r="U16" s="776"/>
      <c r="V16" s="776"/>
      <c r="W16" s="776"/>
      <c r="X16" s="776"/>
      <c r="Y16" s="777"/>
    </row>
    <row r="17" spans="2:25" s="760" customFormat="1" ht="16.5" customHeight="1" thickBot="1" thickTop="1">
      <c r="B17" s="775"/>
      <c r="C17" s="776"/>
      <c r="D17" s="776"/>
      <c r="E17" s="776"/>
      <c r="F17" s="794" t="s">
        <v>58</v>
      </c>
      <c r="G17" s="795"/>
      <c r="H17" s="796">
        <v>0.3894</v>
      </c>
      <c r="I17" s="797"/>
      <c r="J17" s="781"/>
      <c r="K17" s="776"/>
      <c r="L17" s="776"/>
      <c r="M17" s="776"/>
      <c r="N17" s="776"/>
      <c r="O17" s="776"/>
      <c r="P17" s="798"/>
      <c r="Q17" s="793"/>
      <c r="R17" s="793"/>
      <c r="S17" s="793"/>
      <c r="T17" s="776"/>
      <c r="U17" s="776"/>
      <c r="V17" s="776"/>
      <c r="W17" s="776"/>
      <c r="X17" s="776"/>
      <c r="Y17" s="777"/>
    </row>
    <row r="18" spans="2:25" s="760" customFormat="1" ht="16.5" customHeight="1" thickBot="1" thickTop="1">
      <c r="B18" s="775"/>
      <c r="C18" s="776"/>
      <c r="D18" s="776"/>
      <c r="E18" s="776"/>
      <c r="F18" s="799" t="s">
        <v>59</v>
      </c>
      <c r="G18" s="800"/>
      <c r="H18" s="801">
        <v>20</v>
      </c>
      <c r="I18" s="797"/>
      <c r="J18" s="802"/>
      <c r="K18" s="803"/>
      <c r="L18" s="776"/>
      <c r="M18" s="776"/>
      <c r="N18" s="776"/>
      <c r="O18" s="776"/>
      <c r="P18" s="798"/>
      <c r="Q18" s="793"/>
      <c r="R18" s="793"/>
      <c r="S18" s="793"/>
      <c r="T18" s="804"/>
      <c r="U18" s="804"/>
      <c r="V18" s="804"/>
      <c r="W18" s="804"/>
      <c r="X18" s="804"/>
      <c r="Y18" s="777"/>
    </row>
    <row r="19" spans="2:25" s="760" customFormat="1" ht="16.5" customHeight="1" thickTop="1">
      <c r="B19" s="775"/>
      <c r="C19" s="776"/>
      <c r="D19" s="776"/>
      <c r="E19" s="776"/>
      <c r="F19" s="805"/>
      <c r="G19" s="806"/>
      <c r="H19" s="807"/>
      <c r="I19" s="797"/>
      <c r="J19" s="802"/>
      <c r="K19" s="803"/>
      <c r="L19" s="776"/>
      <c r="M19" s="776"/>
      <c r="N19" s="776"/>
      <c r="O19" s="776"/>
      <c r="P19" s="798"/>
      <c r="Q19" s="793"/>
      <c r="R19" s="793"/>
      <c r="S19" s="793"/>
      <c r="T19" s="804"/>
      <c r="U19" s="804"/>
      <c r="V19" s="804"/>
      <c r="W19" s="804"/>
      <c r="X19" s="804"/>
      <c r="Y19" s="777"/>
    </row>
    <row r="20" spans="2:25" s="760" customFormat="1" ht="16.5" customHeight="1" thickBot="1">
      <c r="B20" s="775"/>
      <c r="C20" s="808">
        <v>3</v>
      </c>
      <c r="D20" s="808">
        <v>4</v>
      </c>
      <c r="E20" s="808">
        <v>5</v>
      </c>
      <c r="F20" s="808">
        <v>6</v>
      </c>
      <c r="G20" s="808">
        <v>7</v>
      </c>
      <c r="H20" s="808">
        <v>8</v>
      </c>
      <c r="I20" s="808">
        <v>9</v>
      </c>
      <c r="J20" s="808">
        <v>10</v>
      </c>
      <c r="K20" s="808">
        <v>11</v>
      </c>
      <c r="L20" s="808">
        <v>12</v>
      </c>
      <c r="M20" s="808">
        <v>13</v>
      </c>
      <c r="N20" s="808">
        <v>14</v>
      </c>
      <c r="O20" s="808">
        <v>15</v>
      </c>
      <c r="P20" s="808">
        <v>16</v>
      </c>
      <c r="Q20" s="808">
        <v>17</v>
      </c>
      <c r="R20" s="808">
        <v>18</v>
      </c>
      <c r="S20" s="808">
        <v>19</v>
      </c>
      <c r="T20" s="808">
        <v>20</v>
      </c>
      <c r="U20" s="808">
        <v>21</v>
      </c>
      <c r="V20" s="808">
        <v>22</v>
      </c>
      <c r="W20" s="808">
        <v>23</v>
      </c>
      <c r="X20" s="808">
        <v>24</v>
      </c>
      <c r="Y20" s="777"/>
    </row>
    <row r="21" spans="2:25" s="760" customFormat="1" ht="33.75" customHeight="1" thickBot="1" thickTop="1">
      <c r="B21" s="775"/>
      <c r="C21" s="809" t="s">
        <v>32</v>
      </c>
      <c r="D21" s="810" t="s">
        <v>33</v>
      </c>
      <c r="E21" s="810" t="s">
        <v>34</v>
      </c>
      <c r="F21" s="811" t="s">
        <v>60</v>
      </c>
      <c r="G21" s="812" t="s">
        <v>61</v>
      </c>
      <c r="H21" s="813" t="s">
        <v>62</v>
      </c>
      <c r="I21" s="814" t="s">
        <v>39</v>
      </c>
      <c r="J21" s="812" t="s">
        <v>40</v>
      </c>
      <c r="K21" s="812" t="s">
        <v>41</v>
      </c>
      <c r="L21" s="811" t="s">
        <v>42</v>
      </c>
      <c r="M21" s="811" t="s">
        <v>43</v>
      </c>
      <c r="N21" s="815" t="s">
        <v>251</v>
      </c>
      <c r="O21" s="815" t="s">
        <v>44</v>
      </c>
      <c r="P21" s="812" t="s">
        <v>46</v>
      </c>
      <c r="Q21" s="814" t="s">
        <v>362</v>
      </c>
      <c r="R21" s="816" t="s">
        <v>73</v>
      </c>
      <c r="S21" s="817" t="s">
        <v>363</v>
      </c>
      <c r="T21" s="818"/>
      <c r="U21" s="819" t="s">
        <v>51</v>
      </c>
      <c r="V21" s="820" t="s">
        <v>53</v>
      </c>
      <c r="W21" s="821" t="s">
        <v>54</v>
      </c>
      <c r="X21" s="822" t="s">
        <v>54</v>
      </c>
      <c r="Y21" s="777"/>
    </row>
    <row r="22" spans="2:25" s="760" customFormat="1" ht="16.5" customHeight="1" thickTop="1">
      <c r="B22" s="775"/>
      <c r="C22" s="823"/>
      <c r="D22" s="823"/>
      <c r="E22" s="823"/>
      <c r="F22" s="824"/>
      <c r="G22" s="824"/>
      <c r="H22" s="824"/>
      <c r="I22" s="825"/>
      <c r="J22" s="826"/>
      <c r="K22" s="826"/>
      <c r="L22" s="824"/>
      <c r="M22" s="824"/>
      <c r="N22" s="827"/>
      <c r="O22" s="828"/>
      <c r="P22" s="824"/>
      <c r="Q22" s="829"/>
      <c r="R22" s="830"/>
      <c r="S22" s="831"/>
      <c r="T22" s="832"/>
      <c r="U22" s="833"/>
      <c r="V22" s="834"/>
      <c r="W22" s="835"/>
      <c r="X22" s="836"/>
      <c r="Y22" s="777"/>
    </row>
    <row r="23" spans="2:25" s="760" customFormat="1" ht="16.5" customHeight="1">
      <c r="B23" s="775"/>
      <c r="C23" s="837"/>
      <c r="D23" s="837"/>
      <c r="E23" s="837"/>
      <c r="F23" s="838"/>
      <c r="G23" s="838"/>
      <c r="H23" s="838"/>
      <c r="I23" s="839"/>
      <c r="J23" s="840"/>
      <c r="K23" s="841"/>
      <c r="L23" s="842"/>
      <c r="M23" s="843"/>
      <c r="N23" s="844"/>
      <c r="O23" s="845"/>
      <c r="P23" s="846"/>
      <c r="Q23" s="847"/>
      <c r="R23" s="848"/>
      <c r="S23" s="849"/>
      <c r="T23" s="850"/>
      <c r="U23" s="851"/>
      <c r="V23" s="852"/>
      <c r="W23" s="853"/>
      <c r="X23" s="854"/>
      <c r="Y23" s="777"/>
    </row>
    <row r="24" spans="2:25" s="760" customFormat="1" ht="16.5" customHeight="1">
      <c r="B24" s="775"/>
      <c r="C24" s="837">
        <v>89</v>
      </c>
      <c r="D24" s="837">
        <v>244113</v>
      </c>
      <c r="E24" s="837">
        <v>5127</v>
      </c>
      <c r="F24" s="855" t="s">
        <v>364</v>
      </c>
      <c r="G24" s="855" t="s">
        <v>365</v>
      </c>
      <c r="H24" s="855">
        <v>120</v>
      </c>
      <c r="I24" s="856">
        <f aca="true" t="shared" si="0" ref="I24:I42">H24*$H$17</f>
        <v>46.728</v>
      </c>
      <c r="J24" s="857">
        <v>40969</v>
      </c>
      <c r="K24" s="858">
        <v>40973.39791666667</v>
      </c>
      <c r="L24" s="859">
        <f aca="true" t="shared" si="1" ref="L24:L42">IF(F24="","",(K24-J24)*24)</f>
        <v>105.55000000004657</v>
      </c>
      <c r="M24" s="860">
        <f aca="true" t="shared" si="2" ref="M24:M42">IF(F24="","",ROUND((K24-J24)*24*60,0))</f>
        <v>6333</v>
      </c>
      <c r="N24" s="861" t="s">
        <v>256</v>
      </c>
      <c r="O24" s="862" t="str">
        <f aca="true" t="shared" si="3" ref="O24:O42">IF(F24="","","--")</f>
        <v>--</v>
      </c>
      <c r="P24" s="863" t="s">
        <v>77</v>
      </c>
      <c r="Q24" s="864">
        <f aca="true" t="shared" si="4" ref="Q24:Q42">IF(N24="P",$H$18*0.1,$H$18)</f>
        <v>20</v>
      </c>
      <c r="R24" s="865" t="str">
        <f aca="true" t="shared" si="5" ref="R24:R42">IF(N24="P",I24*Q24*ROUND(M24/60,2),"--")</f>
        <v>--</v>
      </c>
      <c r="S24" s="849" t="str">
        <f aca="true" t="shared" si="6" ref="S24:S42">IF(AND(N24="F",P24="NO"),I24*Q24,"--")</f>
        <v>--</v>
      </c>
      <c r="T24" s="850">
        <f aca="true" t="shared" si="7" ref="T24:T42">IF(N24="F",I24*Q24*ROUND(M24/60,2),"--")</f>
        <v>98642.808</v>
      </c>
      <c r="U24" s="851" t="str">
        <f aca="true" t="shared" si="8" ref="U24:U42">IF(N24="RF",I24*Q24*ROUND(M24/60,2),"--")</f>
        <v>--</v>
      </c>
      <c r="V24" s="866" t="str">
        <f aca="true" t="shared" si="9" ref="V24:V42">IF(F24="","","SI")</f>
        <v>SI</v>
      </c>
      <c r="W24" s="867">
        <f aca="true" t="shared" si="10" ref="W24:W42">SUM(R24:U24)*IF(V24="SI",1,2)</f>
        <v>98642.808</v>
      </c>
      <c r="X24" s="868">
        <f>IF(F24="","",W24*IF(AND(O23&lt;&gt;"--",N23="RF"),O23/100,1))</f>
        <v>98642.808</v>
      </c>
      <c r="Y24" s="777"/>
    </row>
    <row r="25" spans="2:25" s="760" customFormat="1" ht="16.5" customHeight="1">
      <c r="B25" s="775"/>
      <c r="C25" s="837">
        <v>90</v>
      </c>
      <c r="D25" s="837">
        <v>245325</v>
      </c>
      <c r="E25" s="837">
        <v>5126</v>
      </c>
      <c r="F25" s="855" t="s">
        <v>366</v>
      </c>
      <c r="G25" s="855" t="s">
        <v>367</v>
      </c>
      <c r="H25" s="855">
        <v>120</v>
      </c>
      <c r="I25" s="856">
        <f t="shared" si="0"/>
        <v>46.728</v>
      </c>
      <c r="J25" s="857">
        <v>40974.364583333336</v>
      </c>
      <c r="K25" s="858">
        <v>40981.634722222225</v>
      </c>
      <c r="L25" s="859">
        <f t="shared" si="1"/>
        <v>174.4833333333372</v>
      </c>
      <c r="M25" s="860">
        <f t="shared" si="2"/>
        <v>10469</v>
      </c>
      <c r="N25" s="861" t="s">
        <v>253</v>
      </c>
      <c r="O25" s="862" t="str">
        <f t="shared" si="3"/>
        <v>--</v>
      </c>
      <c r="P25" s="863" t="str">
        <f>IF(F25="","",IF(N25="P","--","NO"))</f>
        <v>--</v>
      </c>
      <c r="Q25" s="864">
        <f t="shared" si="4"/>
        <v>2</v>
      </c>
      <c r="R25" s="865">
        <f t="shared" si="5"/>
        <v>16306.202879999999</v>
      </c>
      <c r="S25" s="849" t="str">
        <f t="shared" si="6"/>
        <v>--</v>
      </c>
      <c r="T25" s="850" t="str">
        <f t="shared" si="7"/>
        <v>--</v>
      </c>
      <c r="U25" s="851" t="str">
        <f t="shared" si="8"/>
        <v>--</v>
      </c>
      <c r="V25" s="866" t="str">
        <f t="shared" si="9"/>
        <v>SI</v>
      </c>
      <c r="W25" s="867">
        <f t="shared" si="10"/>
        <v>16306.202879999999</v>
      </c>
      <c r="X25" s="868">
        <f>IF(F25="","",W25*IF(AND(O24&lt;&gt;"--",N24="RF"),O24/100,1))</f>
        <v>16306.202879999999</v>
      </c>
      <c r="Y25" s="777"/>
    </row>
    <row r="26" spans="2:25" s="760" customFormat="1" ht="16.5" customHeight="1">
      <c r="B26" s="775"/>
      <c r="C26" s="837"/>
      <c r="D26" s="837"/>
      <c r="E26" s="837"/>
      <c r="F26" s="855"/>
      <c r="G26" s="855"/>
      <c r="H26" s="855"/>
      <c r="I26" s="856"/>
      <c r="J26" s="857"/>
      <c r="K26" s="858"/>
      <c r="L26" s="859"/>
      <c r="M26" s="860"/>
      <c r="N26" s="861"/>
      <c r="O26" s="862"/>
      <c r="P26" s="863"/>
      <c r="Q26" s="864"/>
      <c r="R26" s="865"/>
      <c r="S26" s="849"/>
      <c r="T26" s="850"/>
      <c r="U26" s="851"/>
      <c r="V26" s="866"/>
      <c r="W26" s="867"/>
      <c r="X26" s="868"/>
      <c r="Y26" s="869"/>
    </row>
    <row r="27" spans="2:25" s="760" customFormat="1" ht="16.5" customHeight="1">
      <c r="B27" s="775"/>
      <c r="C27" s="837"/>
      <c r="D27" s="837"/>
      <c r="E27" s="837"/>
      <c r="F27" s="870"/>
      <c r="G27" s="870"/>
      <c r="H27" s="870"/>
      <c r="I27" s="856">
        <f t="shared" si="0"/>
        <v>0</v>
      </c>
      <c r="J27" s="857"/>
      <c r="K27" s="858"/>
      <c r="L27" s="859">
        <f t="shared" si="1"/>
      </c>
      <c r="M27" s="860">
        <f t="shared" si="2"/>
      </c>
      <c r="N27" s="861"/>
      <c r="O27" s="862">
        <f t="shared" si="3"/>
      </c>
      <c r="P27" s="863">
        <f aca="true" t="shared" si="11" ref="P27:P42">IF(F27="","",IF(N27="P","--","NO"))</f>
      </c>
      <c r="Q27" s="864">
        <f t="shared" si="4"/>
        <v>20</v>
      </c>
      <c r="R27" s="865" t="str">
        <f t="shared" si="5"/>
        <v>--</v>
      </c>
      <c r="S27" s="849" t="str">
        <f t="shared" si="6"/>
        <v>--</v>
      </c>
      <c r="T27" s="850" t="str">
        <f t="shared" si="7"/>
        <v>--</v>
      </c>
      <c r="U27" s="851" t="str">
        <f t="shared" si="8"/>
        <v>--</v>
      </c>
      <c r="V27" s="866">
        <f t="shared" si="9"/>
      </c>
      <c r="W27" s="867">
        <f t="shared" si="10"/>
        <v>0</v>
      </c>
      <c r="X27" s="868">
        <f aca="true" t="shared" si="12" ref="X27:X42">IF(F27="","",W27*$K$18*IF(AND(O25&lt;&gt;"--",N25="RF"),O25/100,1))</f>
      </c>
      <c r="Y27" s="869"/>
    </row>
    <row r="28" spans="2:25" s="760" customFormat="1" ht="16.5" customHeight="1">
      <c r="B28" s="775"/>
      <c r="C28" s="837"/>
      <c r="D28" s="837"/>
      <c r="E28" s="837"/>
      <c r="F28" s="870"/>
      <c r="G28" s="870"/>
      <c r="H28" s="870"/>
      <c r="I28" s="856">
        <f t="shared" si="0"/>
        <v>0</v>
      </c>
      <c r="J28" s="857"/>
      <c r="K28" s="858"/>
      <c r="L28" s="859">
        <f t="shared" si="1"/>
      </c>
      <c r="M28" s="860">
        <f t="shared" si="2"/>
      </c>
      <c r="N28" s="861"/>
      <c r="O28" s="862">
        <f t="shared" si="3"/>
      </c>
      <c r="P28" s="863">
        <f t="shared" si="11"/>
      </c>
      <c r="Q28" s="864">
        <f t="shared" si="4"/>
        <v>20</v>
      </c>
      <c r="R28" s="865" t="str">
        <f t="shared" si="5"/>
        <v>--</v>
      </c>
      <c r="S28" s="849" t="str">
        <f t="shared" si="6"/>
        <v>--</v>
      </c>
      <c r="T28" s="850" t="str">
        <f t="shared" si="7"/>
        <v>--</v>
      </c>
      <c r="U28" s="851" t="str">
        <f t="shared" si="8"/>
        <v>--</v>
      </c>
      <c r="V28" s="866">
        <f t="shared" si="9"/>
      </c>
      <c r="W28" s="867">
        <f t="shared" si="10"/>
        <v>0</v>
      </c>
      <c r="X28" s="868">
        <f t="shared" si="12"/>
      </c>
      <c r="Y28" s="869"/>
    </row>
    <row r="29" spans="2:25" s="760" customFormat="1" ht="16.5" customHeight="1">
      <c r="B29" s="775"/>
      <c r="C29" s="837"/>
      <c r="D29" s="837"/>
      <c r="E29" s="837"/>
      <c r="F29" s="870"/>
      <c r="G29" s="870"/>
      <c r="H29" s="870"/>
      <c r="I29" s="856">
        <f t="shared" si="0"/>
        <v>0</v>
      </c>
      <c r="J29" s="857"/>
      <c r="K29" s="858"/>
      <c r="L29" s="859">
        <f t="shared" si="1"/>
      </c>
      <c r="M29" s="860">
        <f t="shared" si="2"/>
      </c>
      <c r="N29" s="861"/>
      <c r="O29" s="862">
        <f t="shared" si="3"/>
      </c>
      <c r="P29" s="863">
        <f t="shared" si="11"/>
      </c>
      <c r="Q29" s="864">
        <f t="shared" si="4"/>
        <v>20</v>
      </c>
      <c r="R29" s="865" t="str">
        <f t="shared" si="5"/>
        <v>--</v>
      </c>
      <c r="S29" s="849" t="str">
        <f t="shared" si="6"/>
        <v>--</v>
      </c>
      <c r="T29" s="850" t="str">
        <f t="shared" si="7"/>
        <v>--</v>
      </c>
      <c r="U29" s="851" t="str">
        <f t="shared" si="8"/>
        <v>--</v>
      </c>
      <c r="V29" s="866">
        <f t="shared" si="9"/>
      </c>
      <c r="W29" s="867">
        <f t="shared" si="10"/>
        <v>0</v>
      </c>
      <c r="X29" s="868">
        <f t="shared" si="12"/>
      </c>
      <c r="Y29" s="869"/>
    </row>
    <row r="30" spans="2:25" s="760" customFormat="1" ht="16.5" customHeight="1">
      <c r="B30" s="775"/>
      <c r="C30" s="837"/>
      <c r="D30" s="837"/>
      <c r="E30" s="837"/>
      <c r="F30" s="870"/>
      <c r="G30" s="870"/>
      <c r="H30" s="870"/>
      <c r="I30" s="856">
        <f t="shared" si="0"/>
        <v>0</v>
      </c>
      <c r="J30" s="857"/>
      <c r="K30" s="858"/>
      <c r="L30" s="859">
        <f t="shared" si="1"/>
      </c>
      <c r="M30" s="860">
        <f t="shared" si="2"/>
      </c>
      <c r="N30" s="861"/>
      <c r="O30" s="862">
        <f t="shared" si="3"/>
      </c>
      <c r="P30" s="863">
        <f t="shared" si="11"/>
      </c>
      <c r="Q30" s="864">
        <f t="shared" si="4"/>
        <v>20</v>
      </c>
      <c r="R30" s="865" t="str">
        <f t="shared" si="5"/>
        <v>--</v>
      </c>
      <c r="S30" s="849" t="str">
        <f t="shared" si="6"/>
        <v>--</v>
      </c>
      <c r="T30" s="850" t="str">
        <f t="shared" si="7"/>
        <v>--</v>
      </c>
      <c r="U30" s="851" t="str">
        <f t="shared" si="8"/>
        <v>--</v>
      </c>
      <c r="V30" s="866">
        <f t="shared" si="9"/>
      </c>
      <c r="W30" s="867">
        <f t="shared" si="10"/>
        <v>0</v>
      </c>
      <c r="X30" s="868">
        <f t="shared" si="12"/>
      </c>
      <c r="Y30" s="869"/>
    </row>
    <row r="31" spans="2:25" s="760" customFormat="1" ht="16.5" customHeight="1">
      <c r="B31" s="775"/>
      <c r="C31" s="837"/>
      <c r="D31" s="837"/>
      <c r="E31" s="837"/>
      <c r="F31" s="870"/>
      <c r="G31" s="870"/>
      <c r="H31" s="870"/>
      <c r="I31" s="856">
        <f t="shared" si="0"/>
        <v>0</v>
      </c>
      <c r="J31" s="857"/>
      <c r="K31" s="858"/>
      <c r="L31" s="859">
        <f t="shared" si="1"/>
      </c>
      <c r="M31" s="860">
        <f t="shared" si="2"/>
      </c>
      <c r="N31" s="861"/>
      <c r="O31" s="862">
        <f t="shared" si="3"/>
      </c>
      <c r="P31" s="863">
        <f t="shared" si="11"/>
      </c>
      <c r="Q31" s="864">
        <f t="shared" si="4"/>
        <v>20</v>
      </c>
      <c r="R31" s="865" t="str">
        <f t="shared" si="5"/>
        <v>--</v>
      </c>
      <c r="S31" s="849" t="str">
        <f t="shared" si="6"/>
        <v>--</v>
      </c>
      <c r="T31" s="850" t="str">
        <f t="shared" si="7"/>
        <v>--</v>
      </c>
      <c r="U31" s="851" t="str">
        <f t="shared" si="8"/>
        <v>--</v>
      </c>
      <c r="V31" s="866">
        <f t="shared" si="9"/>
      </c>
      <c r="W31" s="867">
        <f t="shared" si="10"/>
        <v>0</v>
      </c>
      <c r="X31" s="868">
        <f t="shared" si="12"/>
      </c>
      <c r="Y31" s="869"/>
    </row>
    <row r="32" spans="2:25" s="760" customFormat="1" ht="16.5" customHeight="1">
      <c r="B32" s="775"/>
      <c r="C32" s="837"/>
      <c r="D32" s="837"/>
      <c r="E32" s="837"/>
      <c r="F32" s="870"/>
      <c r="G32" s="870"/>
      <c r="H32" s="870"/>
      <c r="I32" s="856">
        <f t="shared" si="0"/>
        <v>0</v>
      </c>
      <c r="J32" s="857"/>
      <c r="K32" s="858"/>
      <c r="L32" s="859">
        <f t="shared" si="1"/>
      </c>
      <c r="M32" s="860">
        <f t="shared" si="2"/>
      </c>
      <c r="N32" s="861"/>
      <c r="O32" s="862">
        <f t="shared" si="3"/>
      </c>
      <c r="P32" s="863">
        <f t="shared" si="11"/>
      </c>
      <c r="Q32" s="864">
        <f t="shared" si="4"/>
        <v>20</v>
      </c>
      <c r="R32" s="865" t="str">
        <f t="shared" si="5"/>
        <v>--</v>
      </c>
      <c r="S32" s="849" t="str">
        <f t="shared" si="6"/>
        <v>--</v>
      </c>
      <c r="T32" s="850" t="str">
        <f t="shared" si="7"/>
        <v>--</v>
      </c>
      <c r="U32" s="851" t="str">
        <f t="shared" si="8"/>
        <v>--</v>
      </c>
      <c r="V32" s="866">
        <f t="shared" si="9"/>
      </c>
      <c r="W32" s="867">
        <f t="shared" si="10"/>
        <v>0</v>
      </c>
      <c r="X32" s="868">
        <f t="shared" si="12"/>
      </c>
      <c r="Y32" s="777"/>
    </row>
    <row r="33" spans="2:25" s="760" customFormat="1" ht="16.5" customHeight="1">
      <c r="B33" s="775"/>
      <c r="C33" s="837"/>
      <c r="D33" s="837"/>
      <c r="E33" s="837"/>
      <c r="F33" s="870"/>
      <c r="G33" s="870"/>
      <c r="H33" s="870"/>
      <c r="I33" s="856">
        <f t="shared" si="0"/>
        <v>0</v>
      </c>
      <c r="J33" s="857"/>
      <c r="K33" s="858"/>
      <c r="L33" s="859">
        <f t="shared" si="1"/>
      </c>
      <c r="M33" s="860">
        <f t="shared" si="2"/>
      </c>
      <c r="N33" s="861"/>
      <c r="O33" s="862">
        <f t="shared" si="3"/>
      </c>
      <c r="P33" s="863">
        <f t="shared" si="11"/>
      </c>
      <c r="Q33" s="864">
        <f t="shared" si="4"/>
        <v>20</v>
      </c>
      <c r="R33" s="865" t="str">
        <f t="shared" si="5"/>
        <v>--</v>
      </c>
      <c r="S33" s="849" t="str">
        <f t="shared" si="6"/>
        <v>--</v>
      </c>
      <c r="T33" s="850" t="str">
        <f t="shared" si="7"/>
        <v>--</v>
      </c>
      <c r="U33" s="851" t="str">
        <f t="shared" si="8"/>
        <v>--</v>
      </c>
      <c r="V33" s="866">
        <f t="shared" si="9"/>
      </c>
      <c r="W33" s="867">
        <f t="shared" si="10"/>
        <v>0</v>
      </c>
      <c r="X33" s="868">
        <f t="shared" si="12"/>
      </c>
      <c r="Y33" s="777"/>
    </row>
    <row r="34" spans="2:25" s="760" customFormat="1" ht="16.5" customHeight="1">
      <c r="B34" s="775"/>
      <c r="C34" s="837"/>
      <c r="D34" s="837"/>
      <c r="E34" s="837"/>
      <c r="F34" s="870"/>
      <c r="G34" s="870"/>
      <c r="H34" s="870"/>
      <c r="I34" s="856">
        <f t="shared" si="0"/>
        <v>0</v>
      </c>
      <c r="J34" s="857"/>
      <c r="K34" s="858"/>
      <c r="L34" s="859">
        <f t="shared" si="1"/>
      </c>
      <c r="M34" s="860">
        <f t="shared" si="2"/>
      </c>
      <c r="N34" s="861"/>
      <c r="O34" s="862">
        <f t="shared" si="3"/>
      </c>
      <c r="P34" s="863">
        <f t="shared" si="11"/>
      </c>
      <c r="Q34" s="864">
        <f t="shared" si="4"/>
        <v>20</v>
      </c>
      <c r="R34" s="865" t="str">
        <f t="shared" si="5"/>
        <v>--</v>
      </c>
      <c r="S34" s="849" t="str">
        <f t="shared" si="6"/>
        <v>--</v>
      </c>
      <c r="T34" s="850" t="str">
        <f t="shared" si="7"/>
        <v>--</v>
      </c>
      <c r="U34" s="851" t="str">
        <f t="shared" si="8"/>
        <v>--</v>
      </c>
      <c r="V34" s="866">
        <f t="shared" si="9"/>
      </c>
      <c r="W34" s="867">
        <f t="shared" si="10"/>
        <v>0</v>
      </c>
      <c r="X34" s="868">
        <f t="shared" si="12"/>
      </c>
      <c r="Y34" s="777"/>
    </row>
    <row r="35" spans="2:25" s="760" customFormat="1" ht="16.5" customHeight="1">
      <c r="B35" s="775"/>
      <c r="C35" s="837"/>
      <c r="D35" s="837"/>
      <c r="E35" s="837"/>
      <c r="F35" s="870"/>
      <c r="G35" s="870"/>
      <c r="H35" s="870"/>
      <c r="I35" s="856">
        <f t="shared" si="0"/>
        <v>0</v>
      </c>
      <c r="J35" s="857"/>
      <c r="K35" s="858"/>
      <c r="L35" s="859">
        <f t="shared" si="1"/>
      </c>
      <c r="M35" s="860">
        <f t="shared" si="2"/>
      </c>
      <c r="N35" s="861"/>
      <c r="O35" s="862">
        <f t="shared" si="3"/>
      </c>
      <c r="P35" s="863">
        <f t="shared" si="11"/>
      </c>
      <c r="Q35" s="864">
        <f t="shared" si="4"/>
        <v>20</v>
      </c>
      <c r="R35" s="865" t="str">
        <f t="shared" si="5"/>
        <v>--</v>
      </c>
      <c r="S35" s="849" t="str">
        <f t="shared" si="6"/>
        <v>--</v>
      </c>
      <c r="T35" s="850" t="str">
        <f t="shared" si="7"/>
        <v>--</v>
      </c>
      <c r="U35" s="851" t="str">
        <f t="shared" si="8"/>
        <v>--</v>
      </c>
      <c r="V35" s="866">
        <f t="shared" si="9"/>
      </c>
      <c r="W35" s="867">
        <f t="shared" si="10"/>
        <v>0</v>
      </c>
      <c r="X35" s="868">
        <f t="shared" si="12"/>
      </c>
      <c r="Y35" s="777"/>
    </row>
    <row r="36" spans="2:25" s="760" customFormat="1" ht="16.5" customHeight="1">
      <c r="B36" s="775"/>
      <c r="C36" s="837"/>
      <c r="D36" s="837"/>
      <c r="E36" s="837"/>
      <c r="F36" s="870"/>
      <c r="G36" s="870"/>
      <c r="H36" s="870"/>
      <c r="I36" s="856">
        <f t="shared" si="0"/>
        <v>0</v>
      </c>
      <c r="J36" s="857"/>
      <c r="K36" s="858"/>
      <c r="L36" s="859">
        <f t="shared" si="1"/>
      </c>
      <c r="M36" s="860">
        <f t="shared" si="2"/>
      </c>
      <c r="N36" s="861"/>
      <c r="O36" s="862">
        <f t="shared" si="3"/>
      </c>
      <c r="P36" s="863">
        <f t="shared" si="11"/>
      </c>
      <c r="Q36" s="864">
        <f t="shared" si="4"/>
        <v>20</v>
      </c>
      <c r="R36" s="865" t="str">
        <f t="shared" si="5"/>
        <v>--</v>
      </c>
      <c r="S36" s="849" t="str">
        <f t="shared" si="6"/>
        <v>--</v>
      </c>
      <c r="T36" s="850" t="str">
        <f t="shared" si="7"/>
        <v>--</v>
      </c>
      <c r="U36" s="851" t="str">
        <f t="shared" si="8"/>
        <v>--</v>
      </c>
      <c r="V36" s="866">
        <f t="shared" si="9"/>
      </c>
      <c r="W36" s="867">
        <f t="shared" si="10"/>
        <v>0</v>
      </c>
      <c r="X36" s="868">
        <f t="shared" si="12"/>
      </c>
      <c r="Y36" s="777"/>
    </row>
    <row r="37" spans="2:25" s="760" customFormat="1" ht="16.5" customHeight="1">
      <c r="B37" s="775"/>
      <c r="C37" s="837"/>
      <c r="D37" s="837"/>
      <c r="E37" s="837"/>
      <c r="F37" s="870"/>
      <c r="G37" s="870"/>
      <c r="H37" s="870"/>
      <c r="I37" s="856">
        <f t="shared" si="0"/>
        <v>0</v>
      </c>
      <c r="J37" s="857"/>
      <c r="K37" s="858"/>
      <c r="L37" s="859">
        <f t="shared" si="1"/>
      </c>
      <c r="M37" s="860">
        <f t="shared" si="2"/>
      </c>
      <c r="N37" s="861"/>
      <c r="O37" s="862">
        <f t="shared" si="3"/>
      </c>
      <c r="P37" s="863">
        <f t="shared" si="11"/>
      </c>
      <c r="Q37" s="864">
        <f t="shared" si="4"/>
        <v>20</v>
      </c>
      <c r="R37" s="865" t="str">
        <f t="shared" si="5"/>
        <v>--</v>
      </c>
      <c r="S37" s="849" t="str">
        <f t="shared" si="6"/>
        <v>--</v>
      </c>
      <c r="T37" s="850" t="str">
        <f t="shared" si="7"/>
        <v>--</v>
      </c>
      <c r="U37" s="851" t="str">
        <f t="shared" si="8"/>
        <v>--</v>
      </c>
      <c r="V37" s="866">
        <f t="shared" si="9"/>
      </c>
      <c r="W37" s="867">
        <f t="shared" si="10"/>
        <v>0</v>
      </c>
      <c r="X37" s="868">
        <f t="shared" si="12"/>
      </c>
      <c r="Y37" s="777"/>
    </row>
    <row r="38" spans="2:25" s="760" customFormat="1" ht="16.5" customHeight="1">
      <c r="B38" s="775"/>
      <c r="C38" s="837"/>
      <c r="D38" s="837"/>
      <c r="E38" s="837"/>
      <c r="F38" s="870"/>
      <c r="G38" s="870"/>
      <c r="H38" s="870"/>
      <c r="I38" s="856">
        <f t="shared" si="0"/>
        <v>0</v>
      </c>
      <c r="J38" s="857"/>
      <c r="K38" s="858"/>
      <c r="L38" s="859">
        <f t="shared" si="1"/>
      </c>
      <c r="M38" s="860">
        <f t="shared" si="2"/>
      </c>
      <c r="N38" s="861"/>
      <c r="O38" s="862">
        <f t="shared" si="3"/>
      </c>
      <c r="P38" s="863">
        <f t="shared" si="11"/>
      </c>
      <c r="Q38" s="864">
        <f t="shared" si="4"/>
        <v>20</v>
      </c>
      <c r="R38" s="865" t="str">
        <f t="shared" si="5"/>
        <v>--</v>
      </c>
      <c r="S38" s="849" t="str">
        <f t="shared" si="6"/>
        <v>--</v>
      </c>
      <c r="T38" s="850" t="str">
        <f t="shared" si="7"/>
        <v>--</v>
      </c>
      <c r="U38" s="851" t="str">
        <f t="shared" si="8"/>
        <v>--</v>
      </c>
      <c r="V38" s="866">
        <f t="shared" si="9"/>
      </c>
      <c r="W38" s="867">
        <f t="shared" si="10"/>
        <v>0</v>
      </c>
      <c r="X38" s="868">
        <f t="shared" si="12"/>
      </c>
      <c r="Y38" s="777"/>
    </row>
    <row r="39" spans="2:25" s="760" customFormat="1" ht="16.5" customHeight="1">
      <c r="B39" s="775"/>
      <c r="C39" s="837"/>
      <c r="D39" s="837"/>
      <c r="E39" s="837"/>
      <c r="F39" s="870"/>
      <c r="G39" s="870"/>
      <c r="H39" s="870"/>
      <c r="I39" s="856">
        <f t="shared" si="0"/>
        <v>0</v>
      </c>
      <c r="J39" s="857"/>
      <c r="K39" s="858"/>
      <c r="L39" s="859">
        <f t="shared" si="1"/>
      </c>
      <c r="M39" s="860">
        <f t="shared" si="2"/>
      </c>
      <c r="N39" s="861"/>
      <c r="O39" s="862">
        <f t="shared" si="3"/>
      </c>
      <c r="P39" s="863">
        <f t="shared" si="11"/>
      </c>
      <c r="Q39" s="864">
        <f t="shared" si="4"/>
        <v>20</v>
      </c>
      <c r="R39" s="865" t="str">
        <f t="shared" si="5"/>
        <v>--</v>
      </c>
      <c r="S39" s="849" t="str">
        <f t="shared" si="6"/>
        <v>--</v>
      </c>
      <c r="T39" s="850" t="str">
        <f t="shared" si="7"/>
        <v>--</v>
      </c>
      <c r="U39" s="851" t="str">
        <f t="shared" si="8"/>
        <v>--</v>
      </c>
      <c r="V39" s="866">
        <f t="shared" si="9"/>
      </c>
      <c r="W39" s="867">
        <f t="shared" si="10"/>
        <v>0</v>
      </c>
      <c r="X39" s="868">
        <f t="shared" si="12"/>
      </c>
      <c r="Y39" s="777"/>
    </row>
    <row r="40" spans="2:25" s="760" customFormat="1" ht="16.5" customHeight="1">
      <c r="B40" s="775"/>
      <c r="C40" s="837"/>
      <c r="D40" s="837"/>
      <c r="E40" s="837"/>
      <c r="F40" s="870"/>
      <c r="G40" s="870"/>
      <c r="H40" s="870"/>
      <c r="I40" s="856">
        <f t="shared" si="0"/>
        <v>0</v>
      </c>
      <c r="J40" s="857"/>
      <c r="K40" s="858"/>
      <c r="L40" s="859">
        <f t="shared" si="1"/>
      </c>
      <c r="M40" s="860">
        <f t="shared" si="2"/>
      </c>
      <c r="N40" s="861"/>
      <c r="O40" s="862">
        <f t="shared" si="3"/>
      </c>
      <c r="P40" s="863">
        <f t="shared" si="11"/>
      </c>
      <c r="Q40" s="864">
        <f t="shared" si="4"/>
        <v>20</v>
      </c>
      <c r="R40" s="865" t="str">
        <f t="shared" si="5"/>
        <v>--</v>
      </c>
      <c r="S40" s="849" t="str">
        <f t="shared" si="6"/>
        <v>--</v>
      </c>
      <c r="T40" s="850" t="str">
        <f t="shared" si="7"/>
        <v>--</v>
      </c>
      <c r="U40" s="851" t="str">
        <f t="shared" si="8"/>
        <v>--</v>
      </c>
      <c r="V40" s="866">
        <f t="shared" si="9"/>
      </c>
      <c r="W40" s="867">
        <f t="shared" si="10"/>
        <v>0</v>
      </c>
      <c r="X40" s="868">
        <f t="shared" si="12"/>
      </c>
      <c r="Y40" s="777"/>
    </row>
    <row r="41" spans="2:25" s="760" customFormat="1" ht="16.5" customHeight="1">
      <c r="B41" s="775"/>
      <c r="C41" s="837"/>
      <c r="D41" s="837"/>
      <c r="E41" s="837"/>
      <c r="F41" s="870"/>
      <c r="G41" s="870"/>
      <c r="H41" s="870"/>
      <c r="I41" s="856">
        <f t="shared" si="0"/>
        <v>0</v>
      </c>
      <c r="J41" s="857"/>
      <c r="K41" s="858"/>
      <c r="L41" s="859">
        <f t="shared" si="1"/>
      </c>
      <c r="M41" s="860">
        <f t="shared" si="2"/>
      </c>
      <c r="N41" s="861"/>
      <c r="O41" s="862">
        <f t="shared" si="3"/>
      </c>
      <c r="P41" s="863">
        <f t="shared" si="11"/>
      </c>
      <c r="Q41" s="864">
        <f t="shared" si="4"/>
        <v>20</v>
      </c>
      <c r="R41" s="865" t="str">
        <f t="shared" si="5"/>
        <v>--</v>
      </c>
      <c r="S41" s="849" t="str">
        <f t="shared" si="6"/>
        <v>--</v>
      </c>
      <c r="T41" s="850" t="str">
        <f t="shared" si="7"/>
        <v>--</v>
      </c>
      <c r="U41" s="851" t="str">
        <f t="shared" si="8"/>
        <v>--</v>
      </c>
      <c r="V41" s="866">
        <f t="shared" si="9"/>
      </c>
      <c r="W41" s="867">
        <f t="shared" si="10"/>
        <v>0</v>
      </c>
      <c r="X41" s="868">
        <f t="shared" si="12"/>
      </c>
      <c r="Y41" s="777"/>
    </row>
    <row r="42" spans="2:25" s="760" customFormat="1" ht="16.5" customHeight="1">
      <c r="B42" s="775"/>
      <c r="C42" s="837"/>
      <c r="D42" s="837"/>
      <c r="E42" s="837"/>
      <c r="F42" s="870"/>
      <c r="G42" s="870"/>
      <c r="H42" s="870"/>
      <c r="I42" s="856">
        <f t="shared" si="0"/>
        <v>0</v>
      </c>
      <c r="J42" s="857"/>
      <c r="K42" s="858"/>
      <c r="L42" s="859">
        <f t="shared" si="1"/>
      </c>
      <c r="M42" s="860">
        <f t="shared" si="2"/>
      </c>
      <c r="N42" s="861"/>
      <c r="O42" s="862">
        <f t="shared" si="3"/>
      </c>
      <c r="P42" s="863">
        <f t="shared" si="11"/>
      </c>
      <c r="Q42" s="864">
        <f t="shared" si="4"/>
        <v>20</v>
      </c>
      <c r="R42" s="865" t="str">
        <f t="shared" si="5"/>
        <v>--</v>
      </c>
      <c r="S42" s="849" t="str">
        <f t="shared" si="6"/>
        <v>--</v>
      </c>
      <c r="T42" s="850" t="str">
        <f t="shared" si="7"/>
        <v>--</v>
      </c>
      <c r="U42" s="851" t="str">
        <f t="shared" si="8"/>
        <v>--</v>
      </c>
      <c r="V42" s="866">
        <f t="shared" si="9"/>
      </c>
      <c r="W42" s="867">
        <f t="shared" si="10"/>
        <v>0</v>
      </c>
      <c r="X42" s="868">
        <f t="shared" si="12"/>
      </c>
      <c r="Y42" s="777"/>
    </row>
    <row r="43" spans="2:25" s="760" customFormat="1" ht="16.5" customHeight="1" thickBot="1">
      <c r="B43" s="775"/>
      <c r="C43" s="871"/>
      <c r="D43" s="871"/>
      <c r="E43" s="871"/>
      <c r="F43" s="871"/>
      <c r="G43" s="871"/>
      <c r="H43" s="871"/>
      <c r="I43" s="872"/>
      <c r="J43" s="873"/>
      <c r="K43" s="873"/>
      <c r="L43" s="874"/>
      <c r="M43" s="874"/>
      <c r="N43" s="873"/>
      <c r="O43" s="875"/>
      <c r="P43" s="876"/>
      <c r="Q43" s="877"/>
      <c r="R43" s="878"/>
      <c r="S43" s="879"/>
      <c r="T43" s="880"/>
      <c r="U43" s="881"/>
      <c r="V43" s="882"/>
      <c r="W43" s="883"/>
      <c r="X43" s="884"/>
      <c r="Y43" s="777"/>
    </row>
    <row r="44" spans="2:25" s="760" customFormat="1" ht="16.5" customHeight="1" thickBot="1" thickTop="1">
      <c r="B44" s="775"/>
      <c r="C44" s="680" t="s">
        <v>324</v>
      </c>
      <c r="D44" s="681" t="s">
        <v>368</v>
      </c>
      <c r="E44" s="885"/>
      <c r="F44" s="886"/>
      <c r="I44" s="776"/>
      <c r="J44" s="776"/>
      <c r="K44" s="776"/>
      <c r="L44" s="776"/>
      <c r="M44" s="776"/>
      <c r="N44" s="776"/>
      <c r="O44" s="776"/>
      <c r="P44" s="776"/>
      <c r="Q44" s="776"/>
      <c r="R44" s="887">
        <f>SUM(R22:R43)</f>
        <v>16306.202879999999</v>
      </c>
      <c r="S44" s="888">
        <f>SUM(S22:S43)</f>
        <v>0</v>
      </c>
      <c r="T44" s="889">
        <f>SUM(T22:T43)</f>
        <v>98642.808</v>
      </c>
      <c r="U44" s="890">
        <f>SUM(U22:U43)</f>
        <v>0</v>
      </c>
      <c r="W44" s="891">
        <f>ROUND(SUM(W22:W43),2)</f>
        <v>114949.01</v>
      </c>
      <c r="X44" s="892">
        <f>ROUND(SUM(X22:X43),2)</f>
        <v>114949.01</v>
      </c>
      <c r="Y44" s="893"/>
    </row>
    <row r="45" spans="2:25" s="760" customFormat="1" ht="16.5" customHeight="1" thickBot="1" thickTop="1">
      <c r="B45" s="894"/>
      <c r="C45" s="895"/>
      <c r="D45" s="895"/>
      <c r="E45" s="895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  <c r="Q45" s="895"/>
      <c r="R45" s="895"/>
      <c r="S45" s="895"/>
      <c r="T45" s="895"/>
      <c r="U45" s="895"/>
      <c r="V45" s="895"/>
      <c r="W45" s="895"/>
      <c r="X45" s="895"/>
      <c r="Y45" s="896"/>
    </row>
    <row r="46" spans="6:27" ht="16.5" customHeight="1" thickTop="1">
      <c r="F46" s="897"/>
      <c r="G46" s="897"/>
      <c r="H46" s="897"/>
      <c r="I46" s="898"/>
      <c r="J46" s="898"/>
      <c r="K46" s="898"/>
      <c r="L46" s="898"/>
      <c r="M46" s="898"/>
      <c r="N46" s="898"/>
      <c r="O46" s="898"/>
      <c r="P46" s="898"/>
      <c r="Q46" s="898"/>
      <c r="R46" s="898"/>
      <c r="S46" s="898"/>
      <c r="T46" s="898"/>
      <c r="U46" s="898"/>
      <c r="V46" s="898"/>
      <c r="W46" s="898"/>
      <c r="X46" s="898"/>
      <c r="Y46" s="898"/>
      <c r="Z46" s="898"/>
      <c r="AA46" s="898"/>
    </row>
    <row r="47" spans="6:27" ht="16.5" customHeight="1">
      <c r="F47" s="897"/>
      <c r="G47" s="897"/>
      <c r="H47" s="897"/>
      <c r="I47" s="898"/>
      <c r="J47" s="898"/>
      <c r="K47" s="898"/>
      <c r="L47" s="898"/>
      <c r="M47" s="898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</row>
    <row r="48" spans="6:27" ht="16.5" customHeight="1">
      <c r="F48" s="897"/>
      <c r="G48" s="897"/>
      <c r="H48" s="897"/>
      <c r="I48" s="898"/>
      <c r="J48" s="898"/>
      <c r="K48" s="898"/>
      <c r="L48" s="898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</row>
    <row r="49" spans="6:27" ht="16.5" customHeight="1">
      <c r="F49" s="897"/>
      <c r="G49" s="897"/>
      <c r="H49" s="897"/>
      <c r="I49" s="898"/>
      <c r="J49" s="898"/>
      <c r="K49" s="898"/>
      <c r="L49" s="898"/>
      <c r="M49" s="898"/>
      <c r="N49" s="898"/>
      <c r="O49" s="898"/>
      <c r="P49" s="898"/>
      <c r="Q49" s="898"/>
      <c r="R49" s="898"/>
      <c r="S49" s="898"/>
      <c r="T49" s="898"/>
      <c r="U49" s="898"/>
      <c r="V49" s="898"/>
      <c r="W49" s="898"/>
      <c r="X49" s="898"/>
      <c r="Y49" s="898"/>
      <c r="Z49" s="898"/>
      <c r="AA49" s="898"/>
    </row>
    <row r="50" spans="6:27" ht="16.5" customHeight="1">
      <c r="F50" s="897"/>
      <c r="G50" s="897"/>
      <c r="H50" s="897"/>
      <c r="I50" s="898"/>
      <c r="J50" s="898"/>
      <c r="K50" s="898"/>
      <c r="L50" s="898"/>
      <c r="M50" s="898"/>
      <c r="N50" s="898"/>
      <c r="O50" s="898"/>
      <c r="P50" s="898"/>
      <c r="Q50" s="898"/>
      <c r="R50" s="898"/>
      <c r="S50" s="898"/>
      <c r="T50" s="898"/>
      <c r="U50" s="898"/>
      <c r="V50" s="898"/>
      <c r="W50" s="898"/>
      <c r="X50" s="898"/>
      <c r="Y50" s="898"/>
      <c r="Z50" s="898"/>
      <c r="AA50" s="898"/>
    </row>
    <row r="51" spans="6:27" ht="16.5" customHeight="1">
      <c r="F51" s="897"/>
      <c r="G51" s="897"/>
      <c r="H51" s="897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</row>
    <row r="52" spans="6:27" ht="16.5" customHeight="1"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</row>
    <row r="53" spans="6:27" ht="16.5" customHeight="1">
      <c r="F53" s="898"/>
      <c r="G53" s="898"/>
      <c r="H53" s="898"/>
      <c r="I53" s="898"/>
      <c r="J53" s="898"/>
      <c r="K53" s="898"/>
      <c r="L53" s="898"/>
      <c r="M53" s="898"/>
      <c r="N53" s="898"/>
      <c r="O53" s="898"/>
      <c r="P53" s="898"/>
      <c r="Q53" s="898"/>
      <c r="R53" s="898"/>
      <c r="S53" s="898"/>
      <c r="T53" s="898"/>
      <c r="U53" s="898"/>
      <c r="V53" s="898"/>
      <c r="W53" s="898"/>
      <c r="X53" s="898"/>
      <c r="Y53" s="898"/>
      <c r="Z53" s="898"/>
      <c r="AA53" s="898"/>
    </row>
    <row r="54" spans="6:27" ht="16.5" customHeight="1">
      <c r="F54" s="898"/>
      <c r="G54" s="898"/>
      <c r="H54" s="898"/>
      <c r="I54" s="898"/>
      <c r="J54" s="898"/>
      <c r="K54" s="898"/>
      <c r="L54" s="898"/>
      <c r="M54" s="898"/>
      <c r="N54" s="898"/>
      <c r="O54" s="898"/>
      <c r="P54" s="898"/>
      <c r="Q54" s="898"/>
      <c r="R54" s="898"/>
      <c r="S54" s="898"/>
      <c r="T54" s="898"/>
      <c r="U54" s="898"/>
      <c r="V54" s="898"/>
      <c r="W54" s="898"/>
      <c r="X54" s="898"/>
      <c r="Y54" s="898"/>
      <c r="Z54" s="898"/>
      <c r="AA54" s="898"/>
    </row>
    <row r="55" spans="6:27" ht="16.5" customHeight="1">
      <c r="F55" s="898"/>
      <c r="G55" s="898"/>
      <c r="H55" s="898"/>
      <c r="I55" s="898"/>
      <c r="J55" s="898"/>
      <c r="K55" s="898"/>
      <c r="L55" s="898"/>
      <c r="M55" s="898"/>
      <c r="N55" s="898"/>
      <c r="O55" s="898"/>
      <c r="P55" s="898"/>
      <c r="Q55" s="898"/>
      <c r="R55" s="898"/>
      <c r="S55" s="898"/>
      <c r="T55" s="898"/>
      <c r="U55" s="898"/>
      <c r="V55" s="898"/>
      <c r="W55" s="898"/>
      <c r="X55" s="898"/>
      <c r="Y55" s="898"/>
      <c r="Z55" s="898"/>
      <c r="AA55" s="898"/>
    </row>
    <row r="56" spans="6:27" ht="16.5" customHeight="1">
      <c r="F56" s="898"/>
      <c r="G56" s="898"/>
      <c r="H56" s="898"/>
      <c r="I56" s="898"/>
      <c r="J56" s="898"/>
      <c r="K56" s="898"/>
      <c r="L56" s="898"/>
      <c r="M56" s="898"/>
      <c r="N56" s="898"/>
      <c r="O56" s="898"/>
      <c r="P56" s="898"/>
      <c r="Q56" s="898"/>
      <c r="R56" s="898"/>
      <c r="S56" s="898"/>
      <c r="T56" s="898"/>
      <c r="U56" s="898"/>
      <c r="V56" s="898"/>
      <c r="W56" s="898"/>
      <c r="X56" s="898"/>
      <c r="Y56" s="898"/>
      <c r="Z56" s="898"/>
      <c r="AA56" s="898"/>
    </row>
    <row r="57" spans="6:27" ht="16.5" customHeight="1">
      <c r="F57" s="898"/>
      <c r="G57" s="898"/>
      <c r="H57" s="898"/>
      <c r="I57" s="898"/>
      <c r="J57" s="898"/>
      <c r="K57" s="898"/>
      <c r="L57" s="898"/>
      <c r="M57" s="898"/>
      <c r="N57" s="898"/>
      <c r="O57" s="898"/>
      <c r="P57" s="898"/>
      <c r="Q57" s="898"/>
      <c r="R57" s="898"/>
      <c r="S57" s="898"/>
      <c r="T57" s="898"/>
      <c r="U57" s="898"/>
      <c r="V57" s="898"/>
      <c r="W57" s="898"/>
      <c r="X57" s="898"/>
      <c r="Y57" s="898"/>
      <c r="Z57" s="898"/>
      <c r="AA57" s="898"/>
    </row>
    <row r="58" spans="6:27" ht="16.5" customHeight="1">
      <c r="F58" s="898"/>
      <c r="G58" s="898"/>
      <c r="H58" s="898"/>
      <c r="I58" s="898"/>
      <c r="J58" s="898"/>
      <c r="K58" s="898"/>
      <c r="L58" s="898"/>
      <c r="M58" s="898"/>
      <c r="N58" s="898"/>
      <c r="O58" s="898"/>
      <c r="P58" s="898"/>
      <c r="Q58" s="898"/>
      <c r="R58" s="898"/>
      <c r="S58" s="898"/>
      <c r="T58" s="898"/>
      <c r="U58" s="898"/>
      <c r="V58" s="898"/>
      <c r="W58" s="898"/>
      <c r="X58" s="898"/>
      <c r="Y58" s="898"/>
      <c r="Z58" s="898"/>
      <c r="AA58" s="898"/>
    </row>
    <row r="59" spans="6:27" ht="16.5" customHeight="1"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  <c r="S59" s="898"/>
      <c r="T59" s="898"/>
      <c r="U59" s="898"/>
      <c r="V59" s="898"/>
      <c r="W59" s="898"/>
      <c r="X59" s="898"/>
      <c r="Y59" s="898"/>
      <c r="Z59" s="898"/>
      <c r="AA59" s="898"/>
    </row>
    <row r="60" spans="6:27" ht="16.5" customHeight="1"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  <c r="S60" s="898"/>
      <c r="T60" s="898"/>
      <c r="U60" s="898"/>
      <c r="V60" s="898"/>
      <c r="W60" s="898"/>
      <c r="X60" s="898"/>
      <c r="Y60" s="898"/>
      <c r="Z60" s="898"/>
      <c r="AA60" s="898"/>
    </row>
    <row r="61" spans="6:27" ht="16.5" customHeight="1"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  <c r="S61" s="898"/>
      <c r="T61" s="898"/>
      <c r="U61" s="898"/>
      <c r="V61" s="898"/>
      <c r="W61" s="898"/>
      <c r="X61" s="898"/>
      <c r="Y61" s="898"/>
      <c r="Z61" s="898"/>
      <c r="AA61" s="898"/>
    </row>
    <row r="62" spans="6:27" ht="16.5" customHeight="1"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  <c r="S62" s="898"/>
      <c r="T62" s="898"/>
      <c r="U62" s="898"/>
      <c r="V62" s="898"/>
      <c r="W62" s="898"/>
      <c r="X62" s="898"/>
      <c r="Y62" s="898"/>
      <c r="Z62" s="898"/>
      <c r="AA62" s="898"/>
    </row>
    <row r="63" spans="6:27" ht="16.5" customHeight="1">
      <c r="F63" s="898"/>
      <c r="G63" s="898"/>
      <c r="H63" s="898"/>
      <c r="I63" s="898"/>
      <c r="J63" s="898"/>
      <c r="K63" s="898"/>
      <c r="L63" s="898"/>
      <c r="M63" s="898"/>
      <c r="N63" s="898"/>
      <c r="O63" s="898"/>
      <c r="P63" s="898"/>
      <c r="Q63" s="898"/>
      <c r="R63" s="898"/>
      <c r="S63" s="898"/>
      <c r="T63" s="898"/>
      <c r="U63" s="898"/>
      <c r="V63" s="898"/>
      <c r="W63" s="898"/>
      <c r="X63" s="898"/>
      <c r="Y63" s="898"/>
      <c r="Z63" s="898"/>
      <c r="AA63" s="898"/>
    </row>
    <row r="64" spans="6:27" ht="16.5" customHeight="1">
      <c r="F64" s="898"/>
      <c r="G64" s="898"/>
      <c r="H64" s="898"/>
      <c r="I64" s="898"/>
      <c r="J64" s="898"/>
      <c r="K64" s="898"/>
      <c r="L64" s="898"/>
      <c r="M64" s="898"/>
      <c r="N64" s="898"/>
      <c r="O64" s="898"/>
      <c r="P64" s="898"/>
      <c r="Q64" s="898"/>
      <c r="R64" s="898"/>
      <c r="S64" s="898"/>
      <c r="T64" s="898"/>
      <c r="U64" s="898"/>
      <c r="V64" s="898"/>
      <c r="W64" s="898"/>
      <c r="X64" s="898"/>
      <c r="Y64" s="898"/>
      <c r="Z64" s="898"/>
      <c r="AA64" s="898"/>
    </row>
    <row r="65" spans="6:27" ht="16.5" customHeight="1">
      <c r="F65" s="898"/>
      <c r="G65" s="898"/>
      <c r="H65" s="898"/>
      <c r="I65" s="898"/>
      <c r="J65" s="898"/>
      <c r="K65" s="898"/>
      <c r="L65" s="898"/>
      <c r="M65" s="898"/>
      <c r="N65" s="898"/>
      <c r="O65" s="898"/>
      <c r="P65" s="898"/>
      <c r="Q65" s="898"/>
      <c r="R65" s="898"/>
      <c r="S65" s="898"/>
      <c r="T65" s="898"/>
      <c r="U65" s="898"/>
      <c r="V65" s="898"/>
      <c r="W65" s="898"/>
      <c r="X65" s="898"/>
      <c r="Y65" s="898"/>
      <c r="Z65" s="898"/>
      <c r="AA65" s="898"/>
    </row>
    <row r="66" spans="6:27" ht="16.5" customHeight="1">
      <c r="F66" s="898"/>
      <c r="G66" s="898"/>
      <c r="H66" s="898"/>
      <c r="I66" s="898"/>
      <c r="J66" s="898"/>
      <c r="K66" s="898"/>
      <c r="L66" s="898"/>
      <c r="M66" s="898"/>
      <c r="N66" s="898"/>
      <c r="O66" s="898"/>
      <c r="P66" s="898"/>
      <c r="Q66" s="898"/>
      <c r="R66" s="898"/>
      <c r="S66" s="898"/>
      <c r="T66" s="898"/>
      <c r="U66" s="898"/>
      <c r="V66" s="898"/>
      <c r="W66" s="898"/>
      <c r="X66" s="898"/>
      <c r="Y66" s="898"/>
      <c r="Z66" s="898"/>
      <c r="AA66" s="898"/>
    </row>
    <row r="67" spans="6:27" ht="16.5" customHeight="1">
      <c r="F67" s="898"/>
      <c r="G67" s="898"/>
      <c r="H67" s="898"/>
      <c r="I67" s="898"/>
      <c r="J67" s="898"/>
      <c r="K67" s="898"/>
      <c r="L67" s="898"/>
      <c r="M67" s="898"/>
      <c r="N67" s="898"/>
      <c r="O67" s="898"/>
      <c r="P67" s="898"/>
      <c r="Q67" s="898"/>
      <c r="R67" s="898"/>
      <c r="S67" s="898"/>
      <c r="T67" s="898"/>
      <c r="U67" s="898"/>
      <c r="V67" s="898"/>
      <c r="W67" s="898"/>
      <c r="X67" s="898"/>
      <c r="Y67" s="898"/>
      <c r="Z67" s="898"/>
      <c r="AA67" s="898"/>
    </row>
    <row r="68" spans="6:27" ht="16.5" customHeight="1">
      <c r="F68" s="898"/>
      <c r="G68" s="898"/>
      <c r="H68" s="898"/>
      <c r="I68" s="898"/>
      <c r="J68" s="898"/>
      <c r="K68" s="898"/>
      <c r="L68" s="898"/>
      <c r="M68" s="898"/>
      <c r="N68" s="898"/>
      <c r="O68" s="898"/>
      <c r="P68" s="898"/>
      <c r="Q68" s="898"/>
      <c r="R68" s="898"/>
      <c r="S68" s="898"/>
      <c r="T68" s="898"/>
      <c r="U68" s="898"/>
      <c r="V68" s="898"/>
      <c r="W68" s="898"/>
      <c r="X68" s="898"/>
      <c r="Y68" s="898"/>
      <c r="Z68" s="898"/>
      <c r="AA68" s="898"/>
    </row>
    <row r="69" spans="6:27" ht="16.5" customHeight="1">
      <c r="F69" s="898"/>
      <c r="G69" s="898"/>
      <c r="H69" s="898"/>
      <c r="I69" s="898"/>
      <c r="J69" s="898"/>
      <c r="K69" s="898"/>
      <c r="L69" s="898"/>
      <c r="M69" s="898"/>
      <c r="N69" s="898"/>
      <c r="O69" s="898"/>
      <c r="P69" s="898"/>
      <c r="Q69" s="898"/>
      <c r="R69" s="898"/>
      <c r="S69" s="898"/>
      <c r="T69" s="898"/>
      <c r="U69" s="898"/>
      <c r="V69" s="898"/>
      <c r="W69" s="898"/>
      <c r="X69" s="898"/>
      <c r="Y69" s="898"/>
      <c r="Z69" s="898"/>
      <c r="AA69" s="898"/>
    </row>
    <row r="70" spans="6:27" ht="16.5" customHeight="1">
      <c r="F70" s="898"/>
      <c r="G70" s="898"/>
      <c r="H70" s="898"/>
      <c r="I70" s="898"/>
      <c r="J70" s="898"/>
      <c r="K70" s="898"/>
      <c r="L70" s="898"/>
      <c r="M70" s="898"/>
      <c r="N70" s="898"/>
      <c r="O70" s="898"/>
      <c r="P70" s="898"/>
      <c r="Q70" s="898"/>
      <c r="R70" s="898"/>
      <c r="S70" s="898"/>
      <c r="T70" s="898"/>
      <c r="U70" s="898"/>
      <c r="V70" s="898"/>
      <c r="W70" s="898"/>
      <c r="X70" s="898"/>
      <c r="Y70" s="898"/>
      <c r="Z70" s="898"/>
      <c r="AA70" s="898"/>
    </row>
    <row r="71" spans="6:27" ht="16.5" customHeight="1">
      <c r="F71" s="898"/>
      <c r="G71" s="898"/>
      <c r="H71" s="898"/>
      <c r="I71" s="898"/>
      <c r="J71" s="898"/>
      <c r="K71" s="898"/>
      <c r="L71" s="898"/>
      <c r="M71" s="898"/>
      <c r="N71" s="898"/>
      <c r="O71" s="898"/>
      <c r="P71" s="898"/>
      <c r="Q71" s="898"/>
      <c r="R71" s="898"/>
      <c r="S71" s="898"/>
      <c r="T71" s="898"/>
      <c r="U71" s="898"/>
      <c r="V71" s="898"/>
      <c r="W71" s="898"/>
      <c r="X71" s="898"/>
      <c r="Y71" s="898"/>
      <c r="Z71" s="898"/>
      <c r="AA71" s="898"/>
    </row>
    <row r="72" spans="6:27" ht="16.5" customHeight="1">
      <c r="F72" s="898"/>
      <c r="G72" s="898"/>
      <c r="H72" s="898"/>
      <c r="I72" s="898"/>
      <c r="J72" s="898"/>
      <c r="K72" s="898"/>
      <c r="L72" s="898"/>
      <c r="M72" s="898"/>
      <c r="N72" s="898"/>
      <c r="O72" s="898"/>
      <c r="P72" s="898"/>
      <c r="Q72" s="898"/>
      <c r="R72" s="898"/>
      <c r="S72" s="898"/>
      <c r="T72" s="898"/>
      <c r="U72" s="898"/>
      <c r="V72" s="898"/>
      <c r="W72" s="898"/>
      <c r="X72" s="898"/>
      <c r="Y72" s="898"/>
      <c r="Z72" s="898"/>
      <c r="AA72" s="898"/>
    </row>
    <row r="73" spans="6:27" ht="16.5" customHeight="1">
      <c r="F73" s="898"/>
      <c r="G73" s="898"/>
      <c r="H73" s="898"/>
      <c r="I73" s="898"/>
      <c r="J73" s="898"/>
      <c r="K73" s="898"/>
      <c r="L73" s="898"/>
      <c r="M73" s="898"/>
      <c r="N73" s="898"/>
      <c r="O73" s="898"/>
      <c r="P73" s="898"/>
      <c r="Q73" s="898"/>
      <c r="R73" s="898"/>
      <c r="S73" s="898"/>
      <c r="T73" s="898"/>
      <c r="U73" s="898"/>
      <c r="V73" s="898"/>
      <c r="W73" s="898"/>
      <c r="X73" s="898"/>
      <c r="Y73" s="898"/>
      <c r="Z73" s="898"/>
      <c r="AA73" s="898"/>
    </row>
    <row r="74" spans="6:27" ht="16.5" customHeight="1">
      <c r="F74" s="898"/>
      <c r="G74" s="898"/>
      <c r="H74" s="898"/>
      <c r="I74" s="898"/>
      <c r="J74" s="898"/>
      <c r="K74" s="898"/>
      <c r="L74" s="898"/>
      <c r="M74" s="898"/>
      <c r="N74" s="898"/>
      <c r="O74" s="898"/>
      <c r="P74" s="898"/>
      <c r="Q74" s="898"/>
      <c r="R74" s="898"/>
      <c r="S74" s="898"/>
      <c r="T74" s="898"/>
      <c r="U74" s="898"/>
      <c r="V74" s="898"/>
      <c r="W74" s="898"/>
      <c r="X74" s="898"/>
      <c r="Y74" s="898"/>
      <c r="Z74" s="898"/>
      <c r="AA74" s="898"/>
    </row>
    <row r="75" spans="6:27" ht="16.5" customHeight="1">
      <c r="F75" s="898"/>
      <c r="G75" s="898"/>
      <c r="H75" s="898"/>
      <c r="I75" s="898"/>
      <c r="J75" s="898"/>
      <c r="K75" s="898"/>
      <c r="L75" s="898"/>
      <c r="M75" s="898"/>
      <c r="N75" s="898"/>
      <c r="O75" s="898"/>
      <c r="P75" s="898"/>
      <c r="Q75" s="898"/>
      <c r="R75" s="898"/>
      <c r="S75" s="898"/>
      <c r="T75" s="898"/>
      <c r="U75" s="898"/>
      <c r="V75" s="898"/>
      <c r="W75" s="898"/>
      <c r="X75" s="898"/>
      <c r="Y75" s="898"/>
      <c r="Z75" s="898"/>
      <c r="AA75" s="898"/>
    </row>
    <row r="76" spans="6:27" ht="16.5" customHeight="1">
      <c r="F76" s="898"/>
      <c r="G76" s="898"/>
      <c r="H76" s="898"/>
      <c r="I76" s="898"/>
      <c r="J76" s="898"/>
      <c r="K76" s="898"/>
      <c r="L76" s="898"/>
      <c r="M76" s="898"/>
      <c r="N76" s="898"/>
      <c r="O76" s="898"/>
      <c r="P76" s="898"/>
      <c r="Q76" s="898"/>
      <c r="R76" s="898"/>
      <c r="S76" s="898"/>
      <c r="T76" s="898"/>
      <c r="U76" s="898"/>
      <c r="V76" s="898"/>
      <c r="W76" s="898"/>
      <c r="X76" s="898"/>
      <c r="Y76" s="898"/>
      <c r="Z76" s="898"/>
      <c r="AA76" s="898"/>
    </row>
    <row r="77" spans="6:27" ht="16.5" customHeight="1">
      <c r="F77" s="898"/>
      <c r="G77" s="898"/>
      <c r="H77" s="898"/>
      <c r="I77" s="898"/>
      <c r="J77" s="898"/>
      <c r="K77" s="898"/>
      <c r="L77" s="898"/>
      <c r="M77" s="898"/>
      <c r="N77" s="898"/>
      <c r="O77" s="898"/>
      <c r="P77" s="898"/>
      <c r="Q77" s="898"/>
      <c r="R77" s="898"/>
      <c r="S77" s="898"/>
      <c r="T77" s="898"/>
      <c r="U77" s="898"/>
      <c r="V77" s="898"/>
      <c r="W77" s="898"/>
      <c r="X77" s="898"/>
      <c r="Y77" s="898"/>
      <c r="Z77" s="898"/>
      <c r="AA77" s="898"/>
    </row>
    <row r="78" spans="6:27" ht="16.5" customHeight="1"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898"/>
      <c r="AA78" s="898"/>
    </row>
    <row r="79" spans="6:27" ht="16.5" customHeight="1">
      <c r="F79" s="898"/>
      <c r="G79" s="898"/>
      <c r="H79" s="898"/>
      <c r="I79" s="898"/>
      <c r="J79" s="898"/>
      <c r="K79" s="898"/>
      <c r="L79" s="898"/>
      <c r="M79" s="898"/>
      <c r="N79" s="898"/>
      <c r="O79" s="898"/>
      <c r="P79" s="898"/>
      <c r="Q79" s="898"/>
      <c r="R79" s="898"/>
      <c r="S79" s="898"/>
      <c r="T79" s="898"/>
      <c r="U79" s="898"/>
      <c r="V79" s="898"/>
      <c r="W79" s="898"/>
      <c r="X79" s="898"/>
      <c r="Y79" s="898"/>
      <c r="Z79" s="898"/>
      <c r="AA79" s="898"/>
    </row>
    <row r="80" spans="6:27" ht="16.5" customHeight="1"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</row>
    <row r="81" spans="6:27" ht="16.5" customHeight="1">
      <c r="F81" s="898"/>
      <c r="G81" s="898"/>
      <c r="H81" s="898"/>
      <c r="I81" s="898"/>
      <c r="J81" s="898"/>
      <c r="K81" s="898"/>
      <c r="L81" s="898"/>
      <c r="M81" s="898"/>
      <c r="N81" s="898"/>
      <c r="O81" s="898"/>
      <c r="P81" s="898"/>
      <c r="Q81" s="898"/>
      <c r="R81" s="898"/>
      <c r="S81" s="898"/>
      <c r="T81" s="898"/>
      <c r="U81" s="898"/>
      <c r="V81" s="898"/>
      <c r="W81" s="898"/>
      <c r="X81" s="898"/>
      <c r="Y81" s="898"/>
      <c r="Z81" s="898"/>
      <c r="AA81" s="898"/>
    </row>
    <row r="82" spans="6:27" ht="16.5" customHeight="1">
      <c r="F82" s="898"/>
      <c r="G82" s="898"/>
      <c r="H82" s="898"/>
      <c r="I82" s="898"/>
      <c r="J82" s="898"/>
      <c r="K82" s="898"/>
      <c r="L82" s="898"/>
      <c r="M82" s="898"/>
      <c r="N82" s="898"/>
      <c r="O82" s="898"/>
      <c r="P82" s="898"/>
      <c r="Q82" s="898"/>
      <c r="R82" s="898"/>
      <c r="S82" s="898"/>
      <c r="T82" s="898"/>
      <c r="U82" s="898"/>
      <c r="V82" s="898"/>
      <c r="W82" s="898"/>
      <c r="X82" s="898"/>
      <c r="Y82" s="898"/>
      <c r="Z82" s="898"/>
      <c r="AA82" s="898"/>
    </row>
    <row r="83" spans="6:27" ht="16.5" customHeight="1">
      <c r="F83" s="898"/>
      <c r="G83" s="898"/>
      <c r="H83" s="898"/>
      <c r="I83" s="898"/>
      <c r="J83" s="898"/>
      <c r="K83" s="898"/>
      <c r="L83" s="898"/>
      <c r="M83" s="898"/>
      <c r="N83" s="898"/>
      <c r="O83" s="898"/>
      <c r="P83" s="898"/>
      <c r="Q83" s="898"/>
      <c r="R83" s="898"/>
      <c r="S83" s="898"/>
      <c r="T83" s="898"/>
      <c r="U83" s="898"/>
      <c r="V83" s="898"/>
      <c r="W83" s="898"/>
      <c r="X83" s="898"/>
      <c r="Y83" s="898"/>
      <c r="Z83" s="898"/>
      <c r="AA83" s="898"/>
    </row>
    <row r="84" spans="6:27" ht="16.5" customHeight="1">
      <c r="F84" s="898"/>
      <c r="G84" s="898"/>
      <c r="H84" s="898"/>
      <c r="I84" s="898"/>
      <c r="J84" s="898"/>
      <c r="K84" s="898"/>
      <c r="L84" s="898"/>
      <c r="M84" s="898"/>
      <c r="N84" s="898"/>
      <c r="O84" s="898"/>
      <c r="P84" s="898"/>
      <c r="Q84" s="898"/>
      <c r="R84" s="898"/>
      <c r="S84" s="898"/>
      <c r="T84" s="898"/>
      <c r="U84" s="898"/>
      <c r="V84" s="898"/>
      <c r="W84" s="898"/>
      <c r="X84" s="898"/>
      <c r="Y84" s="898"/>
      <c r="Z84" s="898"/>
      <c r="AA84" s="898"/>
    </row>
    <row r="85" spans="6:27" ht="16.5" customHeight="1">
      <c r="F85" s="898"/>
      <c r="G85" s="898"/>
      <c r="H85" s="898"/>
      <c r="I85" s="898"/>
      <c r="J85" s="898"/>
      <c r="K85" s="898"/>
      <c r="L85" s="898"/>
      <c r="M85" s="898"/>
      <c r="N85" s="898"/>
      <c r="O85" s="898"/>
      <c r="P85" s="898"/>
      <c r="Q85" s="898"/>
      <c r="R85" s="898"/>
      <c r="S85" s="898"/>
      <c r="T85" s="898"/>
      <c r="U85" s="898"/>
      <c r="V85" s="898"/>
      <c r="W85" s="898"/>
      <c r="X85" s="898"/>
      <c r="Y85" s="898"/>
      <c r="Z85" s="898"/>
      <c r="AA85" s="898"/>
    </row>
    <row r="86" spans="6:27" ht="16.5" customHeight="1">
      <c r="F86" s="898"/>
      <c r="G86" s="898"/>
      <c r="H86" s="898"/>
      <c r="I86" s="898"/>
      <c r="J86" s="898"/>
      <c r="K86" s="898"/>
      <c r="L86" s="898"/>
      <c r="M86" s="898"/>
      <c r="N86" s="898"/>
      <c r="O86" s="898"/>
      <c r="P86" s="898"/>
      <c r="Q86" s="898"/>
      <c r="R86" s="898"/>
      <c r="S86" s="898"/>
      <c r="T86" s="898"/>
      <c r="U86" s="898"/>
      <c r="V86" s="898"/>
      <c r="W86" s="898"/>
      <c r="X86" s="898"/>
      <c r="Y86" s="898"/>
      <c r="Z86" s="898"/>
      <c r="AA86" s="898"/>
    </row>
    <row r="87" spans="6:27" ht="16.5" customHeight="1">
      <c r="F87" s="898"/>
      <c r="G87" s="898"/>
      <c r="H87" s="898"/>
      <c r="I87" s="898"/>
      <c r="J87" s="898"/>
      <c r="K87" s="898"/>
      <c r="L87" s="898"/>
      <c r="M87" s="898"/>
      <c r="N87" s="898"/>
      <c r="O87" s="898"/>
      <c r="P87" s="898"/>
      <c r="Q87" s="898"/>
      <c r="R87" s="898"/>
      <c r="S87" s="898"/>
      <c r="T87" s="898"/>
      <c r="U87" s="898"/>
      <c r="V87" s="898"/>
      <c r="W87" s="898"/>
      <c r="X87" s="898"/>
      <c r="Y87" s="898"/>
      <c r="Z87" s="898"/>
      <c r="AA87" s="898"/>
    </row>
    <row r="88" spans="6:27" ht="16.5" customHeight="1">
      <c r="F88" s="898"/>
      <c r="G88" s="898"/>
      <c r="H88" s="898"/>
      <c r="I88" s="898"/>
      <c r="J88" s="898"/>
      <c r="K88" s="898"/>
      <c r="L88" s="898"/>
      <c r="M88" s="898"/>
      <c r="N88" s="898"/>
      <c r="O88" s="898"/>
      <c r="P88" s="898"/>
      <c r="Q88" s="898"/>
      <c r="R88" s="898"/>
      <c r="S88" s="898"/>
      <c r="T88" s="898"/>
      <c r="U88" s="898"/>
      <c r="V88" s="898"/>
      <c r="W88" s="898"/>
      <c r="X88" s="898"/>
      <c r="Y88" s="898"/>
      <c r="Z88" s="898"/>
      <c r="AA88" s="898"/>
    </row>
    <row r="89" spans="6:27" ht="16.5" customHeight="1">
      <c r="F89" s="898"/>
      <c r="G89" s="898"/>
      <c r="H89" s="898"/>
      <c r="I89" s="898"/>
      <c r="J89" s="898"/>
      <c r="K89" s="898"/>
      <c r="L89" s="898"/>
      <c r="M89" s="898"/>
      <c r="N89" s="898"/>
      <c r="O89" s="898"/>
      <c r="P89" s="898"/>
      <c r="Q89" s="898"/>
      <c r="R89" s="898"/>
      <c r="S89" s="898"/>
      <c r="T89" s="898"/>
      <c r="U89" s="898"/>
      <c r="V89" s="898"/>
      <c r="W89" s="898"/>
      <c r="X89" s="898"/>
      <c r="Y89" s="898"/>
      <c r="Z89" s="898"/>
      <c r="AA89" s="898"/>
    </row>
    <row r="90" spans="6:27" ht="16.5" customHeight="1">
      <c r="F90" s="898"/>
      <c r="G90" s="898"/>
      <c r="H90" s="898"/>
      <c r="I90" s="898"/>
      <c r="J90" s="898"/>
      <c r="K90" s="898"/>
      <c r="L90" s="898"/>
      <c r="M90" s="898"/>
      <c r="N90" s="898"/>
      <c r="O90" s="898"/>
      <c r="P90" s="898"/>
      <c r="Q90" s="898"/>
      <c r="R90" s="898"/>
      <c r="S90" s="898"/>
      <c r="T90" s="898"/>
      <c r="U90" s="898"/>
      <c r="V90" s="898"/>
      <c r="W90" s="898"/>
      <c r="X90" s="898"/>
      <c r="Y90" s="898"/>
      <c r="Z90" s="898"/>
      <c r="AA90" s="898"/>
    </row>
    <row r="91" spans="6:27" ht="16.5" customHeight="1">
      <c r="F91" s="898"/>
      <c r="G91" s="898"/>
      <c r="H91" s="898"/>
      <c r="I91" s="898"/>
      <c r="J91" s="898"/>
      <c r="K91" s="898"/>
      <c r="L91" s="898"/>
      <c r="M91" s="898"/>
      <c r="N91" s="898"/>
      <c r="O91" s="898"/>
      <c r="P91" s="898"/>
      <c r="Q91" s="898"/>
      <c r="R91" s="898"/>
      <c r="S91" s="898"/>
      <c r="T91" s="898"/>
      <c r="U91" s="898"/>
      <c r="V91" s="898"/>
      <c r="W91" s="898"/>
      <c r="X91" s="898"/>
      <c r="Y91" s="898"/>
      <c r="Z91" s="898"/>
      <c r="AA91" s="898"/>
    </row>
    <row r="92" spans="6:27" ht="16.5" customHeight="1">
      <c r="F92" s="898"/>
      <c r="G92" s="898"/>
      <c r="H92" s="898"/>
      <c r="I92" s="898"/>
      <c r="J92" s="898"/>
      <c r="K92" s="898"/>
      <c r="L92" s="898"/>
      <c r="M92" s="898"/>
      <c r="N92" s="898"/>
      <c r="O92" s="898"/>
      <c r="P92" s="898"/>
      <c r="Q92" s="898"/>
      <c r="R92" s="898"/>
      <c r="S92" s="898"/>
      <c r="T92" s="898"/>
      <c r="U92" s="898"/>
      <c r="V92" s="898"/>
      <c r="W92" s="898"/>
      <c r="X92" s="898"/>
      <c r="Y92" s="898"/>
      <c r="Z92" s="898"/>
      <c r="AA92" s="898"/>
    </row>
    <row r="93" spans="6:27" ht="16.5" customHeight="1">
      <c r="F93" s="898"/>
      <c r="G93" s="898"/>
      <c r="H93" s="898"/>
      <c r="I93" s="898"/>
      <c r="J93" s="898"/>
      <c r="K93" s="898"/>
      <c r="L93" s="898"/>
      <c r="M93" s="898"/>
      <c r="N93" s="898"/>
      <c r="O93" s="898"/>
      <c r="P93" s="898"/>
      <c r="Q93" s="898"/>
      <c r="R93" s="898"/>
      <c r="S93" s="898"/>
      <c r="T93" s="898"/>
      <c r="U93" s="898"/>
      <c r="V93" s="898"/>
      <c r="W93" s="898"/>
      <c r="X93" s="898"/>
      <c r="Y93" s="898"/>
      <c r="Z93" s="898"/>
      <c r="AA93" s="898"/>
    </row>
    <row r="94" spans="6:27" ht="16.5" customHeight="1">
      <c r="F94" s="898"/>
      <c r="G94" s="898"/>
      <c r="H94" s="898"/>
      <c r="I94" s="898"/>
      <c r="J94" s="898"/>
      <c r="K94" s="898"/>
      <c r="L94" s="898"/>
      <c r="M94" s="898"/>
      <c r="N94" s="898"/>
      <c r="O94" s="898"/>
      <c r="P94" s="898"/>
      <c r="Q94" s="898"/>
      <c r="R94" s="898"/>
      <c r="S94" s="898"/>
      <c r="T94" s="898"/>
      <c r="U94" s="898"/>
      <c r="V94" s="898"/>
      <c r="W94" s="898"/>
      <c r="X94" s="898"/>
      <c r="Y94" s="898"/>
      <c r="Z94" s="898"/>
      <c r="AA94" s="898"/>
    </row>
    <row r="95" spans="6:27" ht="16.5" customHeight="1">
      <c r="F95" s="898"/>
      <c r="G95" s="898"/>
      <c r="H95" s="898"/>
      <c r="I95" s="898"/>
      <c r="J95" s="898"/>
      <c r="K95" s="898"/>
      <c r="L95" s="898"/>
      <c r="M95" s="898"/>
      <c r="N95" s="898"/>
      <c r="O95" s="898"/>
      <c r="P95" s="898"/>
      <c r="Q95" s="898"/>
      <c r="R95" s="898"/>
      <c r="S95" s="898"/>
      <c r="T95" s="898"/>
      <c r="U95" s="898"/>
      <c r="V95" s="898"/>
      <c r="W95" s="898"/>
      <c r="X95" s="898"/>
      <c r="Y95" s="898"/>
      <c r="Z95" s="898"/>
      <c r="AA95" s="898"/>
    </row>
    <row r="96" spans="6:27" ht="16.5" customHeight="1">
      <c r="F96" s="898"/>
      <c r="G96" s="898"/>
      <c r="H96" s="898"/>
      <c r="I96" s="898"/>
      <c r="J96" s="898"/>
      <c r="K96" s="898"/>
      <c r="L96" s="898"/>
      <c r="M96" s="898"/>
      <c r="N96" s="898"/>
      <c r="O96" s="898"/>
      <c r="P96" s="898"/>
      <c r="Q96" s="898"/>
      <c r="R96" s="898"/>
      <c r="S96" s="898"/>
      <c r="T96" s="898"/>
      <c r="U96" s="898"/>
      <c r="V96" s="898"/>
      <c r="W96" s="898"/>
      <c r="X96" s="898"/>
      <c r="Y96" s="898"/>
      <c r="Z96" s="898"/>
      <c r="AA96" s="898"/>
    </row>
    <row r="97" spans="6:27" ht="16.5" customHeight="1">
      <c r="F97" s="898"/>
      <c r="G97" s="898"/>
      <c r="H97" s="898"/>
      <c r="I97" s="898"/>
      <c r="J97" s="898"/>
      <c r="K97" s="898"/>
      <c r="L97" s="898"/>
      <c r="M97" s="898"/>
      <c r="N97" s="898"/>
      <c r="O97" s="898"/>
      <c r="P97" s="898"/>
      <c r="Q97" s="898"/>
      <c r="R97" s="898"/>
      <c r="S97" s="898"/>
      <c r="T97" s="898"/>
      <c r="U97" s="898"/>
      <c r="V97" s="898"/>
      <c r="W97" s="898"/>
      <c r="X97" s="898"/>
      <c r="Y97" s="898"/>
      <c r="Z97" s="898"/>
      <c r="AA97" s="898"/>
    </row>
    <row r="98" spans="6:27" ht="16.5" customHeight="1">
      <c r="F98" s="898"/>
      <c r="G98" s="898"/>
      <c r="H98" s="898"/>
      <c r="I98" s="898"/>
      <c r="J98" s="898"/>
      <c r="K98" s="898"/>
      <c r="L98" s="898"/>
      <c r="M98" s="898"/>
      <c r="N98" s="898"/>
      <c r="O98" s="898"/>
      <c r="P98" s="898"/>
      <c r="Q98" s="898"/>
      <c r="R98" s="898"/>
      <c r="S98" s="898"/>
      <c r="T98" s="898"/>
      <c r="U98" s="898"/>
      <c r="V98" s="898"/>
      <c r="W98" s="898"/>
      <c r="X98" s="898"/>
      <c r="Y98" s="898"/>
      <c r="Z98" s="898"/>
      <c r="AA98" s="898"/>
    </row>
    <row r="99" spans="6:27" ht="16.5" customHeight="1">
      <c r="F99" s="898"/>
      <c r="G99" s="898"/>
      <c r="H99" s="898"/>
      <c r="I99" s="898"/>
      <c r="J99" s="898"/>
      <c r="K99" s="898"/>
      <c r="L99" s="898"/>
      <c r="M99" s="898"/>
      <c r="N99" s="898"/>
      <c r="O99" s="898"/>
      <c r="P99" s="898"/>
      <c r="Q99" s="898"/>
      <c r="R99" s="898"/>
      <c r="S99" s="898"/>
      <c r="T99" s="898"/>
      <c r="U99" s="898"/>
      <c r="V99" s="898"/>
      <c r="W99" s="898"/>
      <c r="X99" s="898"/>
      <c r="Y99" s="898"/>
      <c r="Z99" s="898"/>
      <c r="AA99" s="898"/>
    </row>
    <row r="100" spans="6:27" ht="16.5" customHeight="1">
      <c r="F100" s="898"/>
      <c r="G100" s="898"/>
      <c r="H100" s="898"/>
      <c r="I100" s="898"/>
      <c r="J100" s="898"/>
      <c r="K100" s="898"/>
      <c r="L100" s="898"/>
      <c r="M100" s="898"/>
      <c r="N100" s="898"/>
      <c r="O100" s="898"/>
      <c r="P100" s="898"/>
      <c r="Q100" s="898"/>
      <c r="R100" s="898"/>
      <c r="S100" s="898"/>
      <c r="T100" s="898"/>
      <c r="U100" s="898"/>
      <c r="V100" s="898"/>
      <c r="W100" s="898"/>
      <c r="X100" s="898"/>
      <c r="Y100" s="898"/>
      <c r="Z100" s="898"/>
      <c r="AA100" s="898"/>
    </row>
    <row r="101" spans="6:27" ht="16.5" customHeight="1">
      <c r="F101" s="898"/>
      <c r="G101" s="898"/>
      <c r="H101" s="898"/>
      <c r="I101" s="898"/>
      <c r="J101" s="898"/>
      <c r="K101" s="898"/>
      <c r="L101" s="898"/>
      <c r="M101" s="898"/>
      <c r="N101" s="898"/>
      <c r="O101" s="898"/>
      <c r="P101" s="898"/>
      <c r="Q101" s="898"/>
      <c r="R101" s="898"/>
      <c r="S101" s="898"/>
      <c r="T101" s="898"/>
      <c r="U101" s="898"/>
      <c r="V101" s="898"/>
      <c r="W101" s="898"/>
      <c r="X101" s="898"/>
      <c r="Y101" s="898"/>
      <c r="Z101" s="898"/>
      <c r="AA101" s="898"/>
    </row>
    <row r="102" spans="6:27" ht="16.5" customHeight="1">
      <c r="F102" s="898"/>
      <c r="G102" s="898"/>
      <c r="H102" s="898"/>
      <c r="I102" s="898"/>
      <c r="J102" s="898"/>
      <c r="K102" s="898"/>
      <c r="L102" s="898"/>
      <c r="M102" s="898"/>
      <c r="N102" s="898"/>
      <c r="O102" s="898"/>
      <c r="P102" s="898"/>
      <c r="Q102" s="898"/>
      <c r="R102" s="898"/>
      <c r="S102" s="898"/>
      <c r="T102" s="898"/>
      <c r="U102" s="898"/>
      <c r="V102" s="898"/>
      <c r="W102" s="898"/>
      <c r="X102" s="898"/>
      <c r="Y102" s="898"/>
      <c r="Z102" s="898"/>
      <c r="AA102" s="898"/>
    </row>
    <row r="103" spans="6:27" ht="16.5" customHeight="1">
      <c r="F103" s="898"/>
      <c r="G103" s="898"/>
      <c r="H103" s="898"/>
      <c r="I103" s="898"/>
      <c r="J103" s="898"/>
      <c r="K103" s="898"/>
      <c r="L103" s="898"/>
      <c r="M103" s="898"/>
      <c r="N103" s="898"/>
      <c r="O103" s="898"/>
      <c r="P103" s="898"/>
      <c r="Q103" s="898"/>
      <c r="R103" s="898"/>
      <c r="S103" s="898"/>
      <c r="T103" s="898"/>
      <c r="U103" s="898"/>
      <c r="V103" s="898"/>
      <c r="W103" s="898"/>
      <c r="X103" s="898"/>
      <c r="Y103" s="898"/>
      <c r="Z103" s="898"/>
      <c r="AA103" s="898"/>
    </row>
    <row r="104" spans="6:27" ht="16.5" customHeight="1">
      <c r="F104" s="898"/>
      <c r="G104" s="898"/>
      <c r="H104" s="898"/>
      <c r="I104" s="898"/>
      <c r="J104" s="898"/>
      <c r="K104" s="898"/>
      <c r="L104" s="898"/>
      <c r="M104" s="898"/>
      <c r="N104" s="898"/>
      <c r="O104" s="898"/>
      <c r="P104" s="898"/>
      <c r="Q104" s="898"/>
      <c r="R104" s="898"/>
      <c r="S104" s="898"/>
      <c r="T104" s="898"/>
      <c r="U104" s="898"/>
      <c r="V104" s="898"/>
      <c r="W104" s="898"/>
      <c r="X104" s="898"/>
      <c r="Y104" s="898"/>
      <c r="Z104" s="898"/>
      <c r="AA104" s="898"/>
    </row>
    <row r="105" spans="6:27" ht="16.5" customHeight="1">
      <c r="F105" s="898"/>
      <c r="G105" s="898"/>
      <c r="H105" s="898"/>
      <c r="I105" s="898"/>
      <c r="J105" s="898"/>
      <c r="K105" s="898"/>
      <c r="L105" s="898"/>
      <c r="M105" s="898"/>
      <c r="N105" s="898"/>
      <c r="O105" s="898"/>
      <c r="P105" s="898"/>
      <c r="Q105" s="898"/>
      <c r="R105" s="898"/>
      <c r="S105" s="898"/>
      <c r="T105" s="898"/>
      <c r="U105" s="898"/>
      <c r="V105" s="898"/>
      <c r="W105" s="898"/>
      <c r="X105" s="898"/>
      <c r="Y105" s="898"/>
      <c r="Z105" s="898"/>
      <c r="AA105" s="898"/>
    </row>
    <row r="106" spans="6:27" ht="16.5" customHeight="1">
      <c r="F106" s="898"/>
      <c r="G106" s="898"/>
      <c r="H106" s="898"/>
      <c r="I106" s="898"/>
      <c r="J106" s="898"/>
      <c r="K106" s="898"/>
      <c r="L106" s="898"/>
      <c r="M106" s="898"/>
      <c r="N106" s="898"/>
      <c r="O106" s="898"/>
      <c r="P106" s="898"/>
      <c r="Q106" s="898"/>
      <c r="R106" s="898"/>
      <c r="S106" s="898"/>
      <c r="T106" s="898"/>
      <c r="U106" s="898"/>
      <c r="V106" s="898"/>
      <c r="W106" s="898"/>
      <c r="X106" s="898"/>
      <c r="Y106" s="898"/>
      <c r="Z106" s="898"/>
      <c r="AA106" s="898"/>
    </row>
    <row r="107" spans="6:27" ht="16.5" customHeight="1">
      <c r="F107" s="898"/>
      <c r="G107" s="898"/>
      <c r="H107" s="898"/>
      <c r="I107" s="898"/>
      <c r="J107" s="898"/>
      <c r="K107" s="898"/>
      <c r="L107" s="898"/>
      <c r="M107" s="898"/>
      <c r="N107" s="898"/>
      <c r="O107" s="898"/>
      <c r="P107" s="898"/>
      <c r="Q107" s="898"/>
      <c r="R107" s="898"/>
      <c r="S107" s="898"/>
      <c r="T107" s="898"/>
      <c r="U107" s="898"/>
      <c r="V107" s="898"/>
      <c r="W107" s="898"/>
      <c r="X107" s="898"/>
      <c r="Y107" s="898"/>
      <c r="Z107" s="898"/>
      <c r="AA107" s="898"/>
    </row>
    <row r="108" spans="6:27" ht="16.5" customHeight="1">
      <c r="F108" s="898"/>
      <c r="G108" s="898"/>
      <c r="H108" s="898"/>
      <c r="I108" s="898"/>
      <c r="J108" s="898"/>
      <c r="K108" s="898"/>
      <c r="L108" s="898"/>
      <c r="M108" s="898"/>
      <c r="N108" s="898"/>
      <c r="O108" s="898"/>
      <c r="P108" s="898"/>
      <c r="Q108" s="898"/>
      <c r="R108" s="898"/>
      <c r="S108" s="898"/>
      <c r="T108" s="898"/>
      <c r="U108" s="898"/>
      <c r="V108" s="898"/>
      <c r="W108" s="898"/>
      <c r="X108" s="898"/>
      <c r="Y108" s="898"/>
      <c r="Z108" s="898"/>
      <c r="AA108" s="898"/>
    </row>
    <row r="109" spans="6:27" ht="16.5" customHeight="1">
      <c r="F109" s="898"/>
      <c r="G109" s="898"/>
      <c r="H109" s="898"/>
      <c r="I109" s="898"/>
      <c r="J109" s="898"/>
      <c r="K109" s="898"/>
      <c r="L109" s="898"/>
      <c r="M109" s="898"/>
      <c r="N109" s="898"/>
      <c r="O109" s="898"/>
      <c r="P109" s="898"/>
      <c r="Q109" s="898"/>
      <c r="R109" s="898"/>
      <c r="S109" s="898"/>
      <c r="T109" s="898"/>
      <c r="U109" s="898"/>
      <c r="V109" s="898"/>
      <c r="W109" s="898"/>
      <c r="X109" s="898"/>
      <c r="Y109" s="898"/>
      <c r="Z109" s="898"/>
      <c r="AA109" s="898"/>
    </row>
    <row r="110" spans="6:27" ht="16.5" customHeight="1">
      <c r="F110" s="898"/>
      <c r="G110" s="898"/>
      <c r="H110" s="898"/>
      <c r="I110" s="898"/>
      <c r="J110" s="898"/>
      <c r="K110" s="898"/>
      <c r="L110" s="898"/>
      <c r="M110" s="898"/>
      <c r="N110" s="898"/>
      <c r="O110" s="898"/>
      <c r="P110" s="898"/>
      <c r="Q110" s="898"/>
      <c r="R110" s="898"/>
      <c r="S110" s="898"/>
      <c r="T110" s="898"/>
      <c r="U110" s="898"/>
      <c r="V110" s="898"/>
      <c r="W110" s="898"/>
      <c r="X110" s="898"/>
      <c r="Y110" s="898"/>
      <c r="Z110" s="898"/>
      <c r="AA110" s="898"/>
    </row>
    <row r="111" spans="6:27" ht="16.5" customHeight="1">
      <c r="F111" s="898"/>
      <c r="G111" s="898"/>
      <c r="H111" s="898"/>
      <c r="I111" s="898"/>
      <c r="J111" s="898"/>
      <c r="K111" s="898"/>
      <c r="L111" s="898"/>
      <c r="M111" s="898"/>
      <c r="N111" s="898"/>
      <c r="O111" s="898"/>
      <c r="P111" s="898"/>
      <c r="Q111" s="898"/>
      <c r="R111" s="898"/>
      <c r="S111" s="898"/>
      <c r="T111" s="898"/>
      <c r="U111" s="898"/>
      <c r="V111" s="898"/>
      <c r="W111" s="898"/>
      <c r="X111" s="898"/>
      <c r="Y111" s="898"/>
      <c r="Z111" s="898"/>
      <c r="AA111" s="898"/>
    </row>
    <row r="112" spans="6:27" ht="16.5" customHeight="1">
      <c r="F112" s="898"/>
      <c r="G112" s="898"/>
      <c r="H112" s="898"/>
      <c r="I112" s="898"/>
      <c r="J112" s="898"/>
      <c r="K112" s="898"/>
      <c r="L112" s="898"/>
      <c r="M112" s="898"/>
      <c r="N112" s="898"/>
      <c r="O112" s="898"/>
      <c r="P112" s="898"/>
      <c r="Q112" s="898"/>
      <c r="R112" s="898"/>
      <c r="S112" s="898"/>
      <c r="T112" s="898"/>
      <c r="U112" s="898"/>
      <c r="V112" s="898"/>
      <c r="W112" s="898"/>
      <c r="X112" s="898"/>
      <c r="Y112" s="898"/>
      <c r="Z112" s="898"/>
      <c r="AA112" s="898"/>
    </row>
    <row r="113" spans="6:27" ht="16.5" customHeight="1">
      <c r="F113" s="898"/>
      <c r="G113" s="898"/>
      <c r="H113" s="898"/>
      <c r="I113" s="898"/>
      <c r="J113" s="898"/>
      <c r="K113" s="898"/>
      <c r="L113" s="898"/>
      <c r="M113" s="898"/>
      <c r="N113" s="898"/>
      <c r="O113" s="898"/>
      <c r="P113" s="898"/>
      <c r="Q113" s="898"/>
      <c r="R113" s="898"/>
      <c r="S113" s="898"/>
      <c r="T113" s="898"/>
      <c r="U113" s="898"/>
      <c r="V113" s="898"/>
      <c r="W113" s="898"/>
      <c r="X113" s="898"/>
      <c r="Y113" s="898"/>
      <c r="Z113" s="898"/>
      <c r="AA113" s="898"/>
    </row>
    <row r="114" spans="6:27" ht="16.5" customHeight="1">
      <c r="F114" s="898"/>
      <c r="G114" s="898"/>
      <c r="H114" s="898"/>
      <c r="I114" s="898"/>
      <c r="J114" s="898"/>
      <c r="K114" s="898"/>
      <c r="L114" s="898"/>
      <c r="M114" s="898"/>
      <c r="N114" s="898"/>
      <c r="O114" s="898"/>
      <c r="P114" s="898"/>
      <c r="Q114" s="898"/>
      <c r="R114" s="898"/>
      <c r="S114" s="898"/>
      <c r="T114" s="898"/>
      <c r="U114" s="898"/>
      <c r="V114" s="898"/>
      <c r="W114" s="898"/>
      <c r="X114" s="898"/>
      <c r="Y114" s="898"/>
      <c r="Z114" s="898"/>
      <c r="AA114" s="898"/>
    </row>
    <row r="115" spans="6:27" ht="16.5" customHeight="1">
      <c r="F115" s="898"/>
      <c r="G115" s="898"/>
      <c r="H115" s="898"/>
      <c r="I115" s="898"/>
      <c r="J115" s="898"/>
      <c r="K115" s="898"/>
      <c r="L115" s="898"/>
      <c r="M115" s="898"/>
      <c r="N115" s="898"/>
      <c r="O115" s="898"/>
      <c r="P115" s="898"/>
      <c r="Q115" s="898"/>
      <c r="R115" s="898"/>
      <c r="S115" s="898"/>
      <c r="T115" s="898"/>
      <c r="U115" s="898"/>
      <c r="V115" s="898"/>
      <c r="W115" s="898"/>
      <c r="X115" s="898"/>
      <c r="Y115" s="898"/>
      <c r="Z115" s="898"/>
      <c r="AA115" s="898"/>
    </row>
    <row r="116" spans="6:27" ht="16.5" customHeight="1">
      <c r="F116" s="898"/>
      <c r="G116" s="898"/>
      <c r="H116" s="898"/>
      <c r="I116" s="898"/>
      <c r="J116" s="898"/>
      <c r="K116" s="898"/>
      <c r="L116" s="898"/>
      <c r="M116" s="898"/>
      <c r="N116" s="898"/>
      <c r="O116" s="898"/>
      <c r="P116" s="898"/>
      <c r="Q116" s="898"/>
      <c r="R116" s="898"/>
      <c r="S116" s="898"/>
      <c r="T116" s="898"/>
      <c r="U116" s="898"/>
      <c r="V116" s="898"/>
      <c r="W116" s="898"/>
      <c r="X116" s="898"/>
      <c r="Y116" s="898"/>
      <c r="Z116" s="898"/>
      <c r="AA116" s="898"/>
    </row>
    <row r="117" spans="6:27" ht="16.5" customHeight="1">
      <c r="F117" s="898"/>
      <c r="G117" s="898"/>
      <c r="H117" s="898"/>
      <c r="I117" s="898"/>
      <c r="J117" s="898"/>
      <c r="K117" s="898"/>
      <c r="L117" s="898"/>
      <c r="M117" s="898"/>
      <c r="N117" s="898"/>
      <c r="O117" s="898"/>
      <c r="P117" s="898"/>
      <c r="Q117" s="898"/>
      <c r="R117" s="898"/>
      <c r="S117" s="898"/>
      <c r="T117" s="898"/>
      <c r="U117" s="898"/>
      <c r="V117" s="898"/>
      <c r="W117" s="898"/>
      <c r="X117" s="898"/>
      <c r="Y117" s="898"/>
      <c r="Z117" s="898"/>
      <c r="AA117" s="898"/>
    </row>
    <row r="118" spans="6:27" ht="16.5" customHeight="1">
      <c r="F118" s="898"/>
      <c r="G118" s="898"/>
      <c r="H118" s="898"/>
      <c r="I118" s="898"/>
      <c r="J118" s="898"/>
      <c r="K118" s="898"/>
      <c r="L118" s="898"/>
      <c r="M118" s="898"/>
      <c r="N118" s="898"/>
      <c r="O118" s="898"/>
      <c r="P118" s="898"/>
      <c r="Q118" s="898"/>
      <c r="R118" s="898"/>
      <c r="S118" s="898"/>
      <c r="T118" s="898"/>
      <c r="U118" s="898"/>
      <c r="V118" s="898"/>
      <c r="W118" s="898"/>
      <c r="X118" s="898"/>
      <c r="Y118" s="898"/>
      <c r="Z118" s="898"/>
      <c r="AA118" s="898"/>
    </row>
    <row r="119" spans="6:27" ht="16.5" customHeight="1">
      <c r="F119" s="898"/>
      <c r="G119" s="898"/>
      <c r="H119" s="898"/>
      <c r="I119" s="898"/>
      <c r="J119" s="898"/>
      <c r="K119" s="898"/>
      <c r="L119" s="898"/>
      <c r="M119" s="898"/>
      <c r="N119" s="898"/>
      <c r="O119" s="898"/>
      <c r="P119" s="898"/>
      <c r="Q119" s="898"/>
      <c r="R119" s="898"/>
      <c r="S119" s="898"/>
      <c r="T119" s="898"/>
      <c r="U119" s="898"/>
      <c r="V119" s="898"/>
      <c r="W119" s="898"/>
      <c r="X119" s="898"/>
      <c r="Y119" s="898"/>
      <c r="Z119" s="898"/>
      <c r="AA119" s="898"/>
    </row>
    <row r="120" spans="6:27" ht="16.5" customHeight="1">
      <c r="F120" s="898"/>
      <c r="G120" s="898"/>
      <c r="H120" s="898"/>
      <c r="I120" s="898"/>
      <c r="J120" s="898"/>
      <c r="K120" s="898"/>
      <c r="L120" s="898"/>
      <c r="M120" s="898"/>
      <c r="N120" s="898"/>
      <c r="O120" s="898"/>
      <c r="P120" s="898"/>
      <c r="Q120" s="898"/>
      <c r="R120" s="898"/>
      <c r="S120" s="898"/>
      <c r="T120" s="898"/>
      <c r="U120" s="898"/>
      <c r="V120" s="898"/>
      <c r="W120" s="898"/>
      <c r="X120" s="898"/>
      <c r="Y120" s="898"/>
      <c r="Z120" s="898"/>
      <c r="AA120" s="898"/>
    </row>
    <row r="121" spans="6:27" ht="16.5" customHeight="1">
      <c r="F121" s="898"/>
      <c r="G121" s="898"/>
      <c r="H121" s="898"/>
      <c r="I121" s="898"/>
      <c r="J121" s="898"/>
      <c r="K121" s="898"/>
      <c r="L121" s="898"/>
      <c r="M121" s="898"/>
      <c r="N121" s="898"/>
      <c r="O121" s="898"/>
      <c r="P121" s="898"/>
      <c r="Q121" s="898"/>
      <c r="R121" s="898"/>
      <c r="S121" s="898"/>
      <c r="T121" s="898"/>
      <c r="U121" s="898"/>
      <c r="V121" s="898"/>
      <c r="W121" s="898"/>
      <c r="X121" s="898"/>
      <c r="Y121" s="898"/>
      <c r="Z121" s="898"/>
      <c r="AA121" s="898"/>
    </row>
    <row r="122" spans="6:27" ht="16.5" customHeight="1">
      <c r="F122" s="898"/>
      <c r="G122" s="898"/>
      <c r="H122" s="898"/>
      <c r="I122" s="898"/>
      <c r="J122" s="898"/>
      <c r="K122" s="898"/>
      <c r="L122" s="898"/>
      <c r="M122" s="898"/>
      <c r="N122" s="898"/>
      <c r="O122" s="898"/>
      <c r="P122" s="898"/>
      <c r="Q122" s="898"/>
      <c r="R122" s="898"/>
      <c r="S122" s="898"/>
      <c r="T122" s="898"/>
      <c r="U122" s="898"/>
      <c r="V122" s="898"/>
      <c r="W122" s="898"/>
      <c r="X122" s="898"/>
      <c r="Y122" s="898"/>
      <c r="Z122" s="898"/>
      <c r="AA122" s="898"/>
    </row>
    <row r="123" spans="6:27" ht="16.5" customHeight="1">
      <c r="F123" s="898"/>
      <c r="G123" s="898"/>
      <c r="H123" s="898"/>
      <c r="I123" s="898"/>
      <c r="J123" s="898"/>
      <c r="K123" s="898"/>
      <c r="L123" s="898"/>
      <c r="M123" s="898"/>
      <c r="N123" s="898"/>
      <c r="O123" s="898"/>
      <c r="P123" s="898"/>
      <c r="Q123" s="898"/>
      <c r="R123" s="898"/>
      <c r="S123" s="898"/>
      <c r="T123" s="898"/>
      <c r="U123" s="898"/>
      <c r="V123" s="898"/>
      <c r="W123" s="898"/>
      <c r="X123" s="898"/>
      <c r="Y123" s="898"/>
      <c r="Z123" s="898"/>
      <c r="AA123" s="898"/>
    </row>
    <row r="124" spans="6:27" ht="16.5" customHeight="1">
      <c r="F124" s="898"/>
      <c r="G124" s="898"/>
      <c r="H124" s="898"/>
      <c r="I124" s="898"/>
      <c r="J124" s="898"/>
      <c r="K124" s="898"/>
      <c r="L124" s="898"/>
      <c r="M124" s="898"/>
      <c r="N124" s="898"/>
      <c r="O124" s="898"/>
      <c r="P124" s="898"/>
      <c r="Q124" s="898"/>
      <c r="R124" s="898"/>
      <c r="S124" s="898"/>
      <c r="T124" s="898"/>
      <c r="U124" s="898"/>
      <c r="V124" s="898"/>
      <c r="W124" s="898"/>
      <c r="X124" s="898"/>
      <c r="Y124" s="898"/>
      <c r="Z124" s="898"/>
      <c r="AA124" s="898"/>
    </row>
    <row r="125" spans="6:27" ht="16.5" customHeight="1">
      <c r="F125" s="898"/>
      <c r="G125" s="898"/>
      <c r="H125" s="898"/>
      <c r="I125" s="898"/>
      <c r="J125" s="898"/>
      <c r="K125" s="898"/>
      <c r="L125" s="898"/>
      <c r="M125" s="898"/>
      <c r="N125" s="898"/>
      <c r="O125" s="898"/>
      <c r="P125" s="898"/>
      <c r="Q125" s="898"/>
      <c r="R125" s="898"/>
      <c r="S125" s="898"/>
      <c r="T125" s="898"/>
      <c r="U125" s="898"/>
      <c r="V125" s="898"/>
      <c r="W125" s="898"/>
      <c r="X125" s="898"/>
      <c r="Y125" s="898"/>
      <c r="Z125" s="898"/>
      <c r="AA125" s="898"/>
    </row>
    <row r="126" spans="6:27" ht="16.5" customHeight="1">
      <c r="F126" s="898"/>
      <c r="G126" s="898"/>
      <c r="H126" s="898"/>
      <c r="I126" s="898"/>
      <c r="J126" s="898"/>
      <c r="K126" s="898"/>
      <c r="L126" s="898"/>
      <c r="M126" s="898"/>
      <c r="N126" s="898"/>
      <c r="O126" s="898"/>
      <c r="P126" s="898"/>
      <c r="Q126" s="898"/>
      <c r="R126" s="898"/>
      <c r="S126" s="898"/>
      <c r="T126" s="898"/>
      <c r="U126" s="898"/>
      <c r="V126" s="898"/>
      <c r="W126" s="898"/>
      <c r="X126" s="898"/>
      <c r="Y126" s="898"/>
      <c r="Z126" s="898"/>
      <c r="AA126" s="898"/>
    </row>
    <row r="127" spans="6:27" ht="16.5" customHeight="1">
      <c r="F127" s="898"/>
      <c r="G127" s="898"/>
      <c r="H127" s="898"/>
      <c r="I127" s="898"/>
      <c r="J127" s="898"/>
      <c r="K127" s="898"/>
      <c r="L127" s="898"/>
      <c r="M127" s="898"/>
      <c r="N127" s="898"/>
      <c r="O127" s="898"/>
      <c r="P127" s="898"/>
      <c r="Q127" s="898"/>
      <c r="R127" s="898"/>
      <c r="S127" s="898"/>
      <c r="T127" s="898"/>
      <c r="U127" s="898"/>
      <c r="V127" s="898"/>
      <c r="W127" s="898"/>
      <c r="X127" s="898"/>
      <c r="Y127" s="898"/>
      <c r="Z127" s="898"/>
      <c r="AA127" s="898"/>
    </row>
    <row r="128" spans="6:27" ht="16.5" customHeight="1">
      <c r="F128" s="898"/>
      <c r="G128" s="898"/>
      <c r="H128" s="898"/>
      <c r="I128" s="898"/>
      <c r="J128" s="898"/>
      <c r="K128" s="898"/>
      <c r="L128" s="898"/>
      <c r="M128" s="898"/>
      <c r="N128" s="898"/>
      <c r="O128" s="898"/>
      <c r="P128" s="898"/>
      <c r="Q128" s="898"/>
      <c r="R128" s="898"/>
      <c r="S128" s="898"/>
      <c r="T128" s="898"/>
      <c r="U128" s="898"/>
      <c r="V128" s="898"/>
      <c r="W128" s="898"/>
      <c r="X128" s="898"/>
      <c r="Y128" s="898"/>
      <c r="Z128" s="898"/>
      <c r="AA128" s="898"/>
    </row>
    <row r="129" spans="6:27" ht="16.5" customHeight="1">
      <c r="F129" s="898"/>
      <c r="G129" s="898"/>
      <c r="H129" s="898"/>
      <c r="I129" s="898"/>
      <c r="J129" s="898"/>
      <c r="K129" s="898"/>
      <c r="L129" s="898"/>
      <c r="M129" s="898"/>
      <c r="N129" s="898"/>
      <c r="O129" s="898"/>
      <c r="P129" s="898"/>
      <c r="Q129" s="898"/>
      <c r="R129" s="898"/>
      <c r="S129" s="898"/>
      <c r="T129" s="898"/>
      <c r="U129" s="898"/>
      <c r="V129" s="898"/>
      <c r="W129" s="898"/>
      <c r="X129" s="898"/>
      <c r="Y129" s="898"/>
      <c r="Z129" s="898"/>
      <c r="AA129" s="898"/>
    </row>
    <row r="130" spans="6:27" ht="16.5" customHeight="1">
      <c r="F130" s="898"/>
      <c r="G130" s="898"/>
      <c r="H130" s="898"/>
      <c r="I130" s="898"/>
      <c r="J130" s="898"/>
      <c r="K130" s="898"/>
      <c r="L130" s="898"/>
      <c r="M130" s="898"/>
      <c r="N130" s="898"/>
      <c r="O130" s="898"/>
      <c r="P130" s="898"/>
      <c r="Q130" s="898"/>
      <c r="R130" s="898"/>
      <c r="S130" s="898"/>
      <c r="T130" s="898"/>
      <c r="U130" s="898"/>
      <c r="V130" s="898"/>
      <c r="W130" s="898"/>
      <c r="X130" s="898"/>
      <c r="Y130" s="898"/>
      <c r="Z130" s="898"/>
      <c r="AA130" s="898"/>
    </row>
    <row r="131" spans="6:27" ht="16.5" customHeight="1">
      <c r="F131" s="898"/>
      <c r="G131" s="898"/>
      <c r="H131" s="898"/>
      <c r="I131" s="898"/>
      <c r="J131" s="898"/>
      <c r="K131" s="898"/>
      <c r="L131" s="898"/>
      <c r="M131" s="898"/>
      <c r="N131" s="898"/>
      <c r="O131" s="898"/>
      <c r="P131" s="898"/>
      <c r="Q131" s="898"/>
      <c r="R131" s="898"/>
      <c r="S131" s="898"/>
      <c r="T131" s="898"/>
      <c r="U131" s="898"/>
      <c r="V131" s="898"/>
      <c r="W131" s="898"/>
      <c r="X131" s="898"/>
      <c r="Y131" s="898"/>
      <c r="Z131" s="898"/>
      <c r="AA131" s="898"/>
    </row>
    <row r="132" spans="6:27" ht="16.5" customHeight="1">
      <c r="F132" s="898"/>
      <c r="G132" s="898"/>
      <c r="H132" s="898"/>
      <c r="I132" s="898"/>
      <c r="J132" s="898"/>
      <c r="K132" s="898"/>
      <c r="L132" s="898"/>
      <c r="M132" s="898"/>
      <c r="N132" s="898"/>
      <c r="O132" s="898"/>
      <c r="P132" s="898"/>
      <c r="Q132" s="898"/>
      <c r="R132" s="898"/>
      <c r="S132" s="898"/>
      <c r="T132" s="898"/>
      <c r="U132" s="898"/>
      <c r="V132" s="898"/>
      <c r="W132" s="898"/>
      <c r="X132" s="898"/>
      <c r="Y132" s="898"/>
      <c r="Z132" s="898"/>
      <c r="AA132" s="898"/>
    </row>
    <row r="133" spans="6:27" ht="16.5" customHeight="1">
      <c r="F133" s="898"/>
      <c r="G133" s="898"/>
      <c r="H133" s="898"/>
      <c r="I133" s="898"/>
      <c r="J133" s="898"/>
      <c r="K133" s="898"/>
      <c r="L133" s="898"/>
      <c r="M133" s="898"/>
      <c r="N133" s="898"/>
      <c r="O133" s="898"/>
      <c r="P133" s="898"/>
      <c r="Q133" s="898"/>
      <c r="R133" s="898"/>
      <c r="S133" s="898"/>
      <c r="T133" s="898"/>
      <c r="U133" s="898"/>
      <c r="V133" s="898"/>
      <c r="W133" s="898"/>
      <c r="X133" s="898"/>
      <c r="Y133" s="898"/>
      <c r="Z133" s="898"/>
      <c r="AA133" s="898"/>
    </row>
    <row r="134" spans="6:27" ht="16.5" customHeight="1">
      <c r="F134" s="898"/>
      <c r="G134" s="898"/>
      <c r="H134" s="898"/>
      <c r="I134" s="898"/>
      <c r="J134" s="898"/>
      <c r="K134" s="898"/>
      <c r="L134" s="898"/>
      <c r="M134" s="898"/>
      <c r="N134" s="898"/>
      <c r="O134" s="898"/>
      <c r="P134" s="898"/>
      <c r="Q134" s="898"/>
      <c r="R134" s="898"/>
      <c r="S134" s="898"/>
      <c r="T134" s="898"/>
      <c r="U134" s="898"/>
      <c r="V134" s="898"/>
      <c r="W134" s="898"/>
      <c r="X134" s="898"/>
      <c r="Y134" s="898"/>
      <c r="Z134" s="898"/>
      <c r="AA134" s="898"/>
    </row>
    <row r="135" spans="6:27" ht="16.5" customHeight="1">
      <c r="F135" s="898"/>
      <c r="G135" s="898"/>
      <c r="H135" s="898"/>
      <c r="I135" s="898"/>
      <c r="J135" s="898"/>
      <c r="K135" s="898"/>
      <c r="L135" s="898"/>
      <c r="M135" s="898"/>
      <c r="N135" s="898"/>
      <c r="O135" s="898"/>
      <c r="P135" s="898"/>
      <c r="Q135" s="898"/>
      <c r="R135" s="898"/>
      <c r="S135" s="898"/>
      <c r="T135" s="898"/>
      <c r="U135" s="898"/>
      <c r="V135" s="898"/>
      <c r="W135" s="898"/>
      <c r="X135" s="898"/>
      <c r="Y135" s="898"/>
      <c r="Z135" s="898"/>
      <c r="AA135" s="898"/>
    </row>
    <row r="136" spans="6:27" ht="16.5" customHeight="1">
      <c r="F136" s="898"/>
      <c r="G136" s="898"/>
      <c r="H136" s="898"/>
      <c r="I136" s="898"/>
      <c r="J136" s="898"/>
      <c r="K136" s="898"/>
      <c r="L136" s="898"/>
      <c r="M136" s="898"/>
      <c r="N136" s="898"/>
      <c r="O136" s="898"/>
      <c r="P136" s="898"/>
      <c r="Q136" s="898"/>
      <c r="R136" s="898"/>
      <c r="S136" s="898"/>
      <c r="T136" s="898"/>
      <c r="U136" s="898"/>
      <c r="V136" s="898"/>
      <c r="W136" s="898"/>
      <c r="X136" s="898"/>
      <c r="Y136" s="898"/>
      <c r="Z136" s="898"/>
      <c r="AA136" s="898"/>
    </row>
    <row r="137" spans="6:27" ht="16.5" customHeight="1">
      <c r="F137" s="898"/>
      <c r="G137" s="898"/>
      <c r="H137" s="898"/>
      <c r="I137" s="898"/>
      <c r="J137" s="898"/>
      <c r="K137" s="898"/>
      <c r="L137" s="898"/>
      <c r="M137" s="898"/>
      <c r="N137" s="898"/>
      <c r="O137" s="898"/>
      <c r="P137" s="898"/>
      <c r="Q137" s="898"/>
      <c r="R137" s="898"/>
      <c r="S137" s="898"/>
      <c r="T137" s="898"/>
      <c r="U137" s="898"/>
      <c r="V137" s="898"/>
      <c r="W137" s="898"/>
      <c r="X137" s="898"/>
      <c r="Y137" s="898"/>
      <c r="Z137" s="898"/>
      <c r="AA137" s="898"/>
    </row>
    <row r="138" spans="6:27" ht="16.5" customHeight="1">
      <c r="F138" s="898"/>
      <c r="G138" s="898"/>
      <c r="H138" s="898"/>
      <c r="I138" s="898"/>
      <c r="J138" s="898"/>
      <c r="K138" s="898"/>
      <c r="L138" s="898"/>
      <c r="M138" s="898"/>
      <c r="N138" s="898"/>
      <c r="O138" s="898"/>
      <c r="P138" s="898"/>
      <c r="Q138" s="898"/>
      <c r="R138" s="898"/>
      <c r="S138" s="898"/>
      <c r="T138" s="898"/>
      <c r="U138" s="898"/>
      <c r="V138" s="898"/>
      <c r="W138" s="898"/>
      <c r="X138" s="898"/>
      <c r="Y138" s="898"/>
      <c r="Z138" s="898"/>
      <c r="AA138" s="898"/>
    </row>
    <row r="139" spans="6:27" ht="16.5" customHeight="1">
      <c r="F139" s="898"/>
      <c r="G139" s="898"/>
      <c r="H139" s="898"/>
      <c r="I139" s="898"/>
      <c r="J139" s="898"/>
      <c r="K139" s="898"/>
      <c r="L139" s="898"/>
      <c r="M139" s="898"/>
      <c r="N139" s="898"/>
      <c r="O139" s="898"/>
      <c r="P139" s="898"/>
      <c r="Q139" s="898"/>
      <c r="R139" s="898"/>
      <c r="S139" s="898"/>
      <c r="T139" s="898"/>
      <c r="U139" s="898"/>
      <c r="V139" s="898"/>
      <c r="W139" s="898"/>
      <c r="X139" s="898"/>
      <c r="Y139" s="898"/>
      <c r="Z139" s="898"/>
      <c r="AA139" s="898"/>
    </row>
    <row r="140" spans="6:27" ht="16.5" customHeight="1">
      <c r="F140" s="898"/>
      <c r="G140" s="898"/>
      <c r="H140" s="898"/>
      <c r="I140" s="898"/>
      <c r="J140" s="898"/>
      <c r="K140" s="898"/>
      <c r="L140" s="898"/>
      <c r="M140" s="898"/>
      <c r="N140" s="898"/>
      <c r="O140" s="898"/>
      <c r="P140" s="898"/>
      <c r="Q140" s="898"/>
      <c r="R140" s="898"/>
      <c r="S140" s="898"/>
      <c r="T140" s="898"/>
      <c r="U140" s="898"/>
      <c r="V140" s="898"/>
      <c r="W140" s="898"/>
      <c r="X140" s="898"/>
      <c r="Y140" s="898"/>
      <c r="Z140" s="898"/>
      <c r="AA140" s="898"/>
    </row>
    <row r="141" spans="6:27" ht="16.5" customHeight="1">
      <c r="F141" s="898"/>
      <c r="G141" s="898"/>
      <c r="H141" s="898"/>
      <c r="I141" s="898"/>
      <c r="J141" s="898"/>
      <c r="K141" s="898"/>
      <c r="L141" s="898"/>
      <c r="M141" s="898"/>
      <c r="N141" s="898"/>
      <c r="O141" s="898"/>
      <c r="P141" s="898"/>
      <c r="Q141" s="898"/>
      <c r="R141" s="898"/>
      <c r="S141" s="898"/>
      <c r="T141" s="898"/>
      <c r="U141" s="898"/>
      <c r="V141" s="898"/>
      <c r="W141" s="898"/>
      <c r="X141" s="898"/>
      <c r="Y141" s="898"/>
      <c r="Z141" s="898"/>
      <c r="AA141" s="898"/>
    </row>
    <row r="142" spans="6:27" ht="16.5" customHeight="1">
      <c r="F142" s="898"/>
      <c r="G142" s="898"/>
      <c r="H142" s="898"/>
      <c r="I142" s="898"/>
      <c r="J142" s="898"/>
      <c r="K142" s="898"/>
      <c r="L142" s="898"/>
      <c r="M142" s="898"/>
      <c r="N142" s="898"/>
      <c r="O142" s="898"/>
      <c r="P142" s="898"/>
      <c r="Q142" s="898"/>
      <c r="R142" s="898"/>
      <c r="S142" s="898"/>
      <c r="T142" s="898"/>
      <c r="U142" s="898"/>
      <c r="V142" s="898"/>
      <c r="W142" s="898"/>
      <c r="X142" s="898"/>
      <c r="Y142" s="898"/>
      <c r="Z142" s="898"/>
      <c r="AA142" s="898"/>
    </row>
    <row r="143" spans="6:27" ht="16.5" customHeight="1">
      <c r="F143" s="898"/>
      <c r="G143" s="898"/>
      <c r="H143" s="898"/>
      <c r="I143" s="898"/>
      <c r="J143" s="898"/>
      <c r="K143" s="898"/>
      <c r="L143" s="898"/>
      <c r="M143" s="898"/>
      <c r="N143" s="898"/>
      <c r="O143" s="898"/>
      <c r="P143" s="898"/>
      <c r="Q143" s="898"/>
      <c r="R143" s="898"/>
      <c r="S143" s="898"/>
      <c r="T143" s="898"/>
      <c r="U143" s="898"/>
      <c r="V143" s="898"/>
      <c r="W143" s="898"/>
      <c r="X143" s="898"/>
      <c r="Y143" s="898"/>
      <c r="Z143" s="898"/>
      <c r="AA143" s="898"/>
    </row>
    <row r="144" spans="6:27" ht="16.5" customHeight="1">
      <c r="F144" s="898"/>
      <c r="G144" s="898"/>
      <c r="H144" s="898"/>
      <c r="I144" s="898"/>
      <c r="J144" s="898"/>
      <c r="K144" s="898"/>
      <c r="L144" s="898"/>
      <c r="M144" s="898"/>
      <c r="N144" s="898"/>
      <c r="O144" s="898"/>
      <c r="P144" s="898"/>
      <c r="Q144" s="898"/>
      <c r="R144" s="898"/>
      <c r="S144" s="898"/>
      <c r="T144" s="898"/>
      <c r="U144" s="898"/>
      <c r="V144" s="898"/>
      <c r="W144" s="898"/>
      <c r="X144" s="898"/>
      <c r="Y144" s="898"/>
      <c r="Z144" s="898"/>
      <c r="AA144" s="898"/>
    </row>
    <row r="145" spans="6:27" ht="16.5" customHeight="1">
      <c r="F145" s="898"/>
      <c r="G145" s="898"/>
      <c r="H145" s="898"/>
      <c r="I145" s="898"/>
      <c r="J145" s="898"/>
      <c r="K145" s="898"/>
      <c r="L145" s="898"/>
      <c r="M145" s="898"/>
      <c r="N145" s="898"/>
      <c r="O145" s="898"/>
      <c r="P145" s="898"/>
      <c r="Q145" s="898"/>
      <c r="R145" s="898"/>
      <c r="S145" s="898"/>
      <c r="T145" s="898"/>
      <c r="U145" s="898"/>
      <c r="V145" s="898"/>
      <c r="W145" s="898"/>
      <c r="X145" s="898"/>
      <c r="Y145" s="898"/>
      <c r="Z145" s="898"/>
      <c r="AA145" s="898"/>
    </row>
    <row r="146" spans="6:27" ht="16.5" customHeight="1">
      <c r="F146" s="898"/>
      <c r="G146" s="898"/>
      <c r="H146" s="898"/>
      <c r="I146" s="898"/>
      <c r="J146" s="898"/>
      <c r="K146" s="898"/>
      <c r="L146" s="898"/>
      <c r="M146" s="898"/>
      <c r="N146" s="898"/>
      <c r="O146" s="898"/>
      <c r="P146" s="898"/>
      <c r="Q146" s="898"/>
      <c r="R146" s="898"/>
      <c r="S146" s="898"/>
      <c r="T146" s="898"/>
      <c r="U146" s="898"/>
      <c r="V146" s="898"/>
      <c r="W146" s="898"/>
      <c r="X146" s="898"/>
      <c r="Y146" s="898"/>
      <c r="Z146" s="898"/>
      <c r="AA146" s="898"/>
    </row>
    <row r="147" spans="6:27" ht="16.5" customHeight="1">
      <c r="F147" s="898"/>
      <c r="G147" s="898"/>
      <c r="H147" s="898"/>
      <c r="I147" s="898"/>
      <c r="J147" s="898"/>
      <c r="K147" s="898"/>
      <c r="L147" s="898"/>
      <c r="M147" s="898"/>
      <c r="N147" s="898"/>
      <c r="O147" s="898"/>
      <c r="P147" s="898"/>
      <c r="Q147" s="898"/>
      <c r="R147" s="898"/>
      <c r="S147" s="898"/>
      <c r="T147" s="898"/>
      <c r="U147" s="898"/>
      <c r="V147" s="898"/>
      <c r="W147" s="898"/>
      <c r="X147" s="898"/>
      <c r="Y147" s="898"/>
      <c r="Z147" s="898"/>
      <c r="AA147" s="898"/>
    </row>
    <row r="148" spans="6:27" ht="16.5" customHeight="1">
      <c r="F148" s="898"/>
      <c r="G148" s="898"/>
      <c r="H148" s="898"/>
      <c r="I148" s="898"/>
      <c r="J148" s="898"/>
      <c r="K148" s="898"/>
      <c r="L148" s="898"/>
      <c r="M148" s="898"/>
      <c r="N148" s="898"/>
      <c r="O148" s="898"/>
      <c r="P148" s="898"/>
      <c r="Q148" s="898"/>
      <c r="R148" s="898"/>
      <c r="S148" s="898"/>
      <c r="T148" s="898"/>
      <c r="U148" s="898"/>
      <c r="V148" s="898"/>
      <c r="W148" s="898"/>
      <c r="X148" s="898"/>
      <c r="Y148" s="898"/>
      <c r="Z148" s="898"/>
      <c r="AA148" s="898"/>
    </row>
    <row r="149" spans="6:27" ht="16.5" customHeight="1">
      <c r="F149" s="898"/>
      <c r="G149" s="898"/>
      <c r="H149" s="898"/>
      <c r="I149" s="898"/>
      <c r="J149" s="898"/>
      <c r="K149" s="898"/>
      <c r="L149" s="898"/>
      <c r="M149" s="898"/>
      <c r="N149" s="898"/>
      <c r="O149" s="898"/>
      <c r="P149" s="898"/>
      <c r="Q149" s="898"/>
      <c r="R149" s="898"/>
      <c r="S149" s="898"/>
      <c r="T149" s="898"/>
      <c r="U149" s="898"/>
      <c r="V149" s="898"/>
      <c r="W149" s="898"/>
      <c r="X149" s="898"/>
      <c r="Y149" s="898"/>
      <c r="Z149" s="898"/>
      <c r="AA149" s="898"/>
    </row>
    <row r="150" spans="6:27" ht="16.5" customHeight="1">
      <c r="F150" s="898"/>
      <c r="G150" s="898"/>
      <c r="H150" s="898"/>
      <c r="I150" s="898"/>
      <c r="J150" s="898"/>
      <c r="K150" s="898"/>
      <c r="L150" s="898"/>
      <c r="M150" s="898"/>
      <c r="N150" s="898"/>
      <c r="O150" s="898"/>
      <c r="P150" s="898"/>
      <c r="Q150" s="898"/>
      <c r="R150" s="898"/>
      <c r="S150" s="898"/>
      <c r="T150" s="898"/>
      <c r="U150" s="898"/>
      <c r="V150" s="898"/>
      <c r="W150" s="898"/>
      <c r="X150" s="898"/>
      <c r="Y150" s="898"/>
      <c r="Z150" s="898"/>
      <c r="AA150" s="898"/>
    </row>
    <row r="151" spans="6:27" ht="16.5" customHeight="1">
      <c r="F151" s="898"/>
      <c r="G151" s="898"/>
      <c r="H151" s="898"/>
      <c r="I151" s="898"/>
      <c r="J151" s="898"/>
      <c r="K151" s="898"/>
      <c r="L151" s="898"/>
      <c r="M151" s="898"/>
      <c r="N151" s="898"/>
      <c r="O151" s="898"/>
      <c r="P151" s="898"/>
      <c r="Q151" s="898"/>
      <c r="R151" s="898"/>
      <c r="S151" s="898"/>
      <c r="T151" s="898"/>
      <c r="U151" s="898"/>
      <c r="V151" s="898"/>
      <c r="W151" s="898"/>
      <c r="X151" s="898"/>
      <c r="Y151" s="898"/>
      <c r="Z151" s="898"/>
      <c r="AA151" s="898"/>
    </row>
    <row r="152" spans="6:27" ht="16.5" customHeight="1">
      <c r="F152" s="898"/>
      <c r="G152" s="898"/>
      <c r="H152" s="898"/>
      <c r="I152" s="898"/>
      <c r="J152" s="898"/>
      <c r="K152" s="898"/>
      <c r="L152" s="898"/>
      <c r="M152" s="898"/>
      <c r="N152" s="898"/>
      <c r="O152" s="898"/>
      <c r="P152" s="898"/>
      <c r="Q152" s="898"/>
      <c r="R152" s="898"/>
      <c r="S152" s="898"/>
      <c r="T152" s="898"/>
      <c r="U152" s="898"/>
      <c r="V152" s="898"/>
      <c r="W152" s="898"/>
      <c r="X152" s="898"/>
      <c r="Y152" s="898"/>
      <c r="Z152" s="898"/>
      <c r="AA152" s="898"/>
    </row>
    <row r="153" spans="6:27" ht="16.5" customHeight="1">
      <c r="F153" s="898"/>
      <c r="G153" s="898"/>
      <c r="H153" s="898"/>
      <c r="Z153" s="898"/>
      <c r="AA153" s="898"/>
    </row>
    <row r="154" spans="6:8" ht="16.5" customHeight="1">
      <c r="F154" s="898"/>
      <c r="G154" s="898"/>
      <c r="H154" s="898"/>
    </row>
    <row r="155" spans="6:8" ht="16.5" customHeight="1">
      <c r="F155" s="898"/>
      <c r="G155" s="898"/>
      <c r="H155" s="898"/>
    </row>
    <row r="156" spans="6:8" ht="16.5" customHeight="1">
      <c r="F156" s="898"/>
      <c r="G156" s="898"/>
      <c r="H156" s="898"/>
    </row>
    <row r="157" spans="6:8" ht="16.5" customHeight="1">
      <c r="F157" s="898"/>
      <c r="G157" s="898"/>
      <c r="H157" s="898"/>
    </row>
    <row r="158" spans="6:8" ht="16.5" customHeight="1">
      <c r="F158" s="898"/>
      <c r="G158" s="898"/>
      <c r="H158" s="898"/>
    </row>
    <row r="159" ht="16.5" customHeight="1"/>
    <row r="160" ht="16.5" customHeight="1"/>
    <row r="161" ht="16.5" customHeight="1"/>
    <row r="162" ht="16.5" customHeight="1"/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AA157"/>
  <sheetViews>
    <sheetView zoomScale="70" zoomScaleNormal="70" zoomScalePageLayoutView="0" workbookViewId="0" topLeftCell="E25">
      <selection activeCell="B15" sqref="B1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2.8515625" style="9" customWidth="1"/>
    <col min="7" max="7" width="31.140625" style="9" customWidth="1"/>
    <col min="8" max="8" width="8.7109375" style="9" customWidth="1"/>
    <col min="9" max="9" width="7.421875" style="9" hidden="1" customWidth="1"/>
    <col min="10" max="11" width="15.7109375" style="9" customWidth="1"/>
    <col min="12" max="15" width="9.7109375" style="9" customWidth="1"/>
    <col min="16" max="16" width="5.7109375" style="9" bestFit="1" customWidth="1"/>
    <col min="17" max="17" width="4.00390625" style="9" hidden="1" customWidth="1"/>
    <col min="18" max="18" width="12.8515625" style="9" hidden="1" customWidth="1"/>
    <col min="19" max="19" width="6.00390625" style="9" hidden="1" customWidth="1"/>
    <col min="20" max="21" width="11.7109375" style="9" hidden="1" customWidth="1"/>
    <col min="22" max="22" width="12.140625" style="9" hidden="1" customWidth="1"/>
    <col min="23" max="23" width="9.7109375" style="9" customWidth="1"/>
    <col min="24" max="24" width="15.7109375" style="9" customWidth="1"/>
    <col min="25" max="25" width="4.140625" style="9" customWidth="1"/>
    <col min="26" max="16384" width="11.421875" style="9" customWidth="1"/>
  </cols>
  <sheetData>
    <row r="1" s="3" customFormat="1" ht="26.25">
      <c r="Y1" s="5"/>
    </row>
    <row r="2" spans="1:25" s="3" customFormat="1" ht="26.25">
      <c r="A2" s="89"/>
      <c r="B2" s="473" t="str">
        <f>+'TOT-0312'!B2</f>
        <v>ANEXO IV al Memorándum D.T.E.E.  N° 783/ 2013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5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395"/>
    </row>
    <row r="8" spans="2:25" s="18" customFormat="1" ht="20.25">
      <c r="B8" s="96"/>
      <c r="C8" s="23"/>
      <c r="D8" s="23"/>
      <c r="F8" s="97" t="s">
        <v>76</v>
      </c>
      <c r="G8" s="68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474"/>
    </row>
    <row r="9" spans="2:25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60"/>
    </row>
    <row r="10" spans="2:25" s="18" customFormat="1" ht="20.25">
      <c r="B10" s="96"/>
      <c r="C10" s="23"/>
      <c r="D10" s="23"/>
      <c r="F10" s="98" t="s">
        <v>342</v>
      </c>
      <c r="H10" s="690"/>
      <c r="I10" s="691"/>
      <c r="J10" s="691"/>
      <c r="K10" s="691"/>
      <c r="L10" s="691"/>
      <c r="M10" s="691"/>
      <c r="N10" s="691"/>
      <c r="O10" s="691"/>
      <c r="P10" s="691"/>
      <c r="Q10" s="691"/>
      <c r="R10" s="23"/>
      <c r="S10" s="23"/>
      <c r="T10" s="23"/>
      <c r="U10" s="23"/>
      <c r="V10" s="23"/>
      <c r="W10" s="23"/>
      <c r="X10" s="23"/>
      <c r="Y10" s="397"/>
    </row>
    <row r="11" spans="2:25" s="8" customFormat="1" ht="16.5" customHeight="1">
      <c r="B11" s="55"/>
      <c r="C11" s="11"/>
      <c r="D11" s="11"/>
      <c r="E11" s="11"/>
      <c r="F11" s="475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60"/>
    </row>
    <row r="12" spans="2:25" s="18" customFormat="1" ht="20.25">
      <c r="B12" s="96"/>
      <c r="C12" s="23"/>
      <c r="D12" s="23"/>
      <c r="F12" s="98" t="s">
        <v>370</v>
      </c>
      <c r="H12" s="690"/>
      <c r="I12" s="691"/>
      <c r="J12" s="691"/>
      <c r="K12" s="691"/>
      <c r="L12" s="691"/>
      <c r="M12" s="691"/>
      <c r="N12" s="691"/>
      <c r="O12" s="691"/>
      <c r="P12" s="691"/>
      <c r="Q12" s="691"/>
      <c r="R12" s="23"/>
      <c r="S12" s="23"/>
      <c r="T12" s="23"/>
      <c r="U12" s="23"/>
      <c r="V12" s="23"/>
      <c r="W12" s="23"/>
      <c r="X12" s="23"/>
      <c r="Y12" s="397"/>
    </row>
    <row r="13" spans="2:25" s="8" customFormat="1" ht="16.5" customHeight="1">
      <c r="B13" s="55"/>
      <c r="C13" s="11"/>
      <c r="D13" s="11"/>
      <c r="E13" s="11"/>
      <c r="F13" s="475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60"/>
    </row>
    <row r="14" spans="2:25" s="34" customFormat="1" ht="16.5" customHeight="1">
      <c r="B14" s="35" t="str">
        <f>+'TOT-0312'!B14</f>
        <v>Desde el 01 al 31 de Marzo de 2012</v>
      </c>
      <c r="C14" s="39"/>
      <c r="D14" s="39"/>
      <c r="E14" s="476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6"/>
      <c r="S14" s="476"/>
      <c r="T14" s="476"/>
      <c r="U14" s="476"/>
      <c r="V14" s="476"/>
      <c r="W14" s="476"/>
      <c r="X14" s="476"/>
      <c r="Y14" s="478"/>
    </row>
    <row r="15" spans="2:25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60"/>
    </row>
    <row r="16" spans="2:25" s="8" customFormat="1" ht="16.5" customHeight="1" thickBot="1" thickTop="1">
      <c r="B16" s="55"/>
      <c r="C16" s="11"/>
      <c r="D16" s="11"/>
      <c r="E16" s="11"/>
      <c r="F16" s="692" t="s">
        <v>58</v>
      </c>
      <c r="G16" s="693"/>
      <c r="H16" s="899">
        <v>0.649</v>
      </c>
      <c r="I16" s="409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60"/>
    </row>
    <row r="17" spans="2:25" s="8" customFormat="1" ht="16.5" customHeight="1" thickBot="1" thickTop="1">
      <c r="B17" s="55"/>
      <c r="C17" s="11"/>
      <c r="D17" s="11"/>
      <c r="E17" s="11"/>
      <c r="F17" s="694" t="s">
        <v>59</v>
      </c>
      <c r="G17" s="695"/>
      <c r="H17" s="696">
        <v>20</v>
      </c>
      <c r="I17" s="409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60"/>
    </row>
    <row r="18" spans="2:25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60"/>
    </row>
    <row r="19" spans="2:25" s="8" customFormat="1" ht="33.75" customHeight="1" thickBot="1" thickTop="1">
      <c r="B19" s="55"/>
      <c r="C19" s="296" t="s">
        <v>32</v>
      </c>
      <c r="D19" s="112" t="s">
        <v>33</v>
      </c>
      <c r="E19" s="112" t="s">
        <v>34</v>
      </c>
      <c r="F19" s="115" t="s">
        <v>60</v>
      </c>
      <c r="G19" s="113" t="s">
        <v>61</v>
      </c>
      <c r="H19" s="697" t="s">
        <v>62</v>
      </c>
      <c r="I19" s="301" t="s">
        <v>39</v>
      </c>
      <c r="J19" s="113" t="s">
        <v>40</v>
      </c>
      <c r="K19" s="113" t="s">
        <v>41</v>
      </c>
      <c r="L19" s="115" t="s">
        <v>42</v>
      </c>
      <c r="M19" s="115" t="s">
        <v>43</v>
      </c>
      <c r="N19" s="120" t="s">
        <v>251</v>
      </c>
      <c r="O19" s="120" t="s">
        <v>44</v>
      </c>
      <c r="P19" s="113" t="s">
        <v>46</v>
      </c>
      <c r="Q19" s="301" t="s">
        <v>38</v>
      </c>
      <c r="R19" s="698" t="s">
        <v>73</v>
      </c>
      <c r="S19" s="699" t="s">
        <v>363</v>
      </c>
      <c r="T19" s="700"/>
      <c r="U19" s="701" t="s">
        <v>51</v>
      </c>
      <c r="V19" s="305" t="s">
        <v>48</v>
      </c>
      <c r="W19" s="131" t="s">
        <v>53</v>
      </c>
      <c r="X19" s="702" t="s">
        <v>54</v>
      </c>
      <c r="Y19" s="60"/>
    </row>
    <row r="20" spans="2:25" s="8" customFormat="1" ht="16.5" customHeight="1" thickTop="1">
      <c r="B20" s="55"/>
      <c r="C20" s="310"/>
      <c r="D20" s="310"/>
      <c r="E20" s="310"/>
      <c r="F20" s="479"/>
      <c r="G20" s="479"/>
      <c r="H20" s="479"/>
      <c r="I20" s="703"/>
      <c r="J20" s="704"/>
      <c r="K20" s="704"/>
      <c r="L20" s="705"/>
      <c r="M20" s="705"/>
      <c r="N20" s="479"/>
      <c r="O20" s="152"/>
      <c r="P20" s="705"/>
      <c r="Q20" s="707"/>
      <c r="R20" s="708"/>
      <c r="S20" s="900"/>
      <c r="T20" s="901"/>
      <c r="U20" s="711"/>
      <c r="V20" s="711"/>
      <c r="W20" s="480"/>
      <c r="X20" s="712"/>
      <c r="Y20" s="60"/>
    </row>
    <row r="21" spans="2:25" s="8" customFormat="1" ht="16.5" customHeight="1">
      <c r="B21" s="55"/>
      <c r="C21" s="151"/>
      <c r="D21" s="151"/>
      <c r="E21" s="151"/>
      <c r="F21" s="481"/>
      <c r="G21" s="902"/>
      <c r="H21" s="482"/>
      <c r="I21" s="903"/>
      <c r="J21" s="904"/>
      <c r="K21" s="905"/>
      <c r="L21" s="728"/>
      <c r="M21" s="729"/>
      <c r="N21" s="906"/>
      <c r="O21" s="158"/>
      <c r="P21" s="685"/>
      <c r="Q21" s="732"/>
      <c r="R21" s="907"/>
      <c r="S21" s="734"/>
      <c r="T21" s="735"/>
      <c r="U21" s="736"/>
      <c r="V21" s="736"/>
      <c r="W21" s="685"/>
      <c r="X21" s="908"/>
      <c r="Y21" s="60"/>
    </row>
    <row r="22" spans="2:25" s="8" customFormat="1" ht="16.5" customHeight="1">
      <c r="B22" s="55"/>
      <c r="C22" s="440">
        <v>91</v>
      </c>
      <c r="D22" s="683">
        <v>245248</v>
      </c>
      <c r="E22" s="683">
        <v>4091</v>
      </c>
      <c r="F22" s="683" t="s">
        <v>372</v>
      </c>
      <c r="G22" s="683" t="s">
        <v>371</v>
      </c>
      <c r="H22" s="197">
        <v>298</v>
      </c>
      <c r="I22" s="341">
        <f aca="true" t="shared" si="0" ref="I22:I41">H22*$H$16</f>
        <v>193.40200000000002</v>
      </c>
      <c r="J22" s="443">
        <v>40970.354166666664</v>
      </c>
      <c r="K22" s="202">
        <v>40970.63888888889</v>
      </c>
      <c r="L22" s="445">
        <f aca="true" t="shared" si="1" ref="L22:L41">IF(F22="","",(K22-J22)*24)</f>
        <v>6.833333333430346</v>
      </c>
      <c r="M22" s="446">
        <f aca="true" t="shared" si="2" ref="M22:M41">IF(F22="","",ROUND((K22-J22)*24*60,0))</f>
        <v>410</v>
      </c>
      <c r="N22" s="179" t="s">
        <v>253</v>
      </c>
      <c r="O22" s="254" t="str">
        <f aca="true" t="shared" si="3" ref="O22:O41">IF(F22="","","--")</f>
        <v>--</v>
      </c>
      <c r="P22" s="181" t="str">
        <f aca="true" t="shared" si="4" ref="P22:P41">IF(F22="","",IF(OR(N22="P",N22="RP"),"--","NO"))</f>
        <v>--</v>
      </c>
      <c r="Q22" s="739">
        <f aca="true" t="shared" si="5" ref="Q22:Q41">IF(OR(N22="P",N22="RP"),$H$17/10,$H$17)</f>
        <v>2</v>
      </c>
      <c r="R22" s="740">
        <f aca="true" t="shared" si="6" ref="R22:R41">IF(N22="P",I22*Q22*ROUND(M22/60,2),"--")</f>
        <v>2641.87132</v>
      </c>
      <c r="S22" s="734" t="str">
        <f aca="true" t="shared" si="7" ref="S22:S41">IF(AND(N22="F",P22="NO"),I22*Q22,"--")</f>
        <v>--</v>
      </c>
      <c r="T22" s="735" t="str">
        <f aca="true" t="shared" si="8" ref="T22:T41">IF(N22="F",I22*Q22*ROUND(M22/60,2),"--")</f>
        <v>--</v>
      </c>
      <c r="U22" s="736" t="str">
        <f aca="true" t="shared" si="9" ref="U22:U41">IF(N22="RF",I22*Q22*ROUND(M22/60,2),"--")</f>
        <v>--</v>
      </c>
      <c r="V22" s="687" t="s">
        <v>77</v>
      </c>
      <c r="W22" s="181" t="str">
        <f aca="true" t="shared" si="10" ref="W22:W41">IF(F22="","","SI")</f>
        <v>SI</v>
      </c>
      <c r="X22" s="449">
        <v>0</v>
      </c>
      <c r="Y22" s="60"/>
    </row>
    <row r="23" spans="2:25" s="8" customFormat="1" ht="16.5" customHeight="1">
      <c r="B23" s="55"/>
      <c r="C23" s="440">
        <v>92</v>
      </c>
      <c r="D23" s="683">
        <v>245322</v>
      </c>
      <c r="E23" s="683">
        <v>4092</v>
      </c>
      <c r="F23" s="683" t="s">
        <v>373</v>
      </c>
      <c r="G23" s="683" t="s">
        <v>355</v>
      </c>
      <c r="H23" s="197">
        <v>247</v>
      </c>
      <c r="I23" s="341">
        <f t="shared" si="0"/>
        <v>160.303</v>
      </c>
      <c r="J23" s="443">
        <v>40974.34305555555</v>
      </c>
      <c r="K23" s="202">
        <v>40974.675</v>
      </c>
      <c r="L23" s="445">
        <f t="shared" si="1"/>
        <v>7.966666666790843</v>
      </c>
      <c r="M23" s="446">
        <f t="shared" si="2"/>
        <v>478</v>
      </c>
      <c r="N23" s="179" t="s">
        <v>253</v>
      </c>
      <c r="O23" s="254" t="str">
        <f t="shared" si="3"/>
        <v>--</v>
      </c>
      <c r="P23" s="181" t="str">
        <f t="shared" si="4"/>
        <v>--</v>
      </c>
      <c r="Q23" s="739">
        <f t="shared" si="5"/>
        <v>2</v>
      </c>
      <c r="R23" s="740">
        <f t="shared" si="6"/>
        <v>2555.22982</v>
      </c>
      <c r="S23" s="734" t="str">
        <f t="shared" si="7"/>
        <v>--</v>
      </c>
      <c r="T23" s="735" t="str">
        <f t="shared" si="8"/>
        <v>--</v>
      </c>
      <c r="U23" s="736" t="str">
        <f t="shared" si="9"/>
        <v>--</v>
      </c>
      <c r="V23" s="687" t="s">
        <v>77</v>
      </c>
      <c r="W23" s="181" t="str">
        <f t="shared" si="10"/>
        <v>SI</v>
      </c>
      <c r="X23" s="449">
        <v>0</v>
      </c>
      <c r="Y23" s="60"/>
    </row>
    <row r="24" spans="2:25" s="8" customFormat="1" ht="16.5" customHeight="1">
      <c r="B24" s="55"/>
      <c r="C24" s="440"/>
      <c r="D24" s="440"/>
      <c r="E24" s="440"/>
      <c r="F24" s="440"/>
      <c r="G24" s="440"/>
      <c r="H24" s="484"/>
      <c r="I24" s="341">
        <f t="shared" si="0"/>
        <v>0</v>
      </c>
      <c r="J24" s="443"/>
      <c r="K24" s="202"/>
      <c r="L24" s="445">
        <f t="shared" si="1"/>
      </c>
      <c r="M24" s="446">
        <f t="shared" si="2"/>
      </c>
      <c r="N24" s="179"/>
      <c r="O24" s="254">
        <f t="shared" si="3"/>
      </c>
      <c r="P24" s="181">
        <f t="shared" si="4"/>
      </c>
      <c r="Q24" s="739">
        <f t="shared" si="5"/>
        <v>20</v>
      </c>
      <c r="R24" s="740" t="str">
        <f t="shared" si="6"/>
        <v>--</v>
      </c>
      <c r="S24" s="734" t="str">
        <f t="shared" si="7"/>
        <v>--</v>
      </c>
      <c r="T24" s="735" t="str">
        <f t="shared" si="8"/>
        <v>--</v>
      </c>
      <c r="U24" s="736" t="str">
        <f t="shared" si="9"/>
        <v>--</v>
      </c>
      <c r="V24" s="687" t="s">
        <v>77</v>
      </c>
      <c r="W24" s="181">
        <f t="shared" si="10"/>
      </c>
      <c r="X24" s="449">
        <f aca="true" t="shared" si="11" ref="X24:X41">IF(F24="","",SUM(R24:V24)*IF(W24="SI",1,2)*IF(AND(O24&lt;&gt;"--",N24="RF"),O24/100,1))</f>
      </c>
      <c r="Y24" s="60"/>
    </row>
    <row r="25" spans="2:25" s="8" customFormat="1" ht="16.5" customHeight="1">
      <c r="B25" s="55"/>
      <c r="C25" s="440"/>
      <c r="D25" s="440"/>
      <c r="E25" s="440"/>
      <c r="F25" s="440"/>
      <c r="G25" s="440"/>
      <c r="H25" s="484"/>
      <c r="I25" s="341">
        <f t="shared" si="0"/>
        <v>0</v>
      </c>
      <c r="J25" s="443"/>
      <c r="K25" s="202"/>
      <c r="L25" s="445">
        <f t="shared" si="1"/>
      </c>
      <c r="M25" s="446">
        <f t="shared" si="2"/>
      </c>
      <c r="N25" s="179"/>
      <c r="O25" s="254">
        <f t="shared" si="3"/>
      </c>
      <c r="P25" s="181">
        <f t="shared" si="4"/>
      </c>
      <c r="Q25" s="739">
        <f t="shared" si="5"/>
        <v>20</v>
      </c>
      <c r="R25" s="740" t="str">
        <f t="shared" si="6"/>
        <v>--</v>
      </c>
      <c r="S25" s="734" t="str">
        <f t="shared" si="7"/>
        <v>--</v>
      </c>
      <c r="T25" s="735" t="str">
        <f t="shared" si="8"/>
        <v>--</v>
      </c>
      <c r="U25" s="736" t="str">
        <f t="shared" si="9"/>
        <v>--</v>
      </c>
      <c r="V25" s="687" t="str">
        <f aca="true" t="shared" si="12" ref="V25:V41">IF(N25="RP",I25*Q25*O25/100*ROUND(M25/60,2),"--")</f>
        <v>--</v>
      </c>
      <c r="W25" s="181">
        <f t="shared" si="10"/>
      </c>
      <c r="X25" s="449">
        <f t="shared" si="11"/>
      </c>
      <c r="Y25" s="60"/>
    </row>
    <row r="26" spans="2:25" s="8" customFormat="1" ht="16.5" customHeight="1">
      <c r="B26" s="55"/>
      <c r="C26" s="440"/>
      <c r="D26" s="440"/>
      <c r="E26" s="440"/>
      <c r="F26" s="440"/>
      <c r="G26" s="440"/>
      <c r="H26" s="484"/>
      <c r="I26" s="341">
        <f t="shared" si="0"/>
        <v>0</v>
      </c>
      <c r="J26" s="443"/>
      <c r="K26" s="202"/>
      <c r="L26" s="445">
        <f t="shared" si="1"/>
      </c>
      <c r="M26" s="446">
        <f t="shared" si="2"/>
      </c>
      <c r="N26" s="179"/>
      <c r="O26" s="254">
        <f t="shared" si="3"/>
      </c>
      <c r="P26" s="181">
        <f t="shared" si="4"/>
      </c>
      <c r="Q26" s="739">
        <f t="shared" si="5"/>
        <v>20</v>
      </c>
      <c r="R26" s="740" t="str">
        <f t="shared" si="6"/>
        <v>--</v>
      </c>
      <c r="S26" s="734" t="str">
        <f t="shared" si="7"/>
        <v>--</v>
      </c>
      <c r="T26" s="735" t="str">
        <f t="shared" si="8"/>
        <v>--</v>
      </c>
      <c r="U26" s="736" t="str">
        <f t="shared" si="9"/>
        <v>--</v>
      </c>
      <c r="V26" s="687" t="str">
        <f t="shared" si="12"/>
        <v>--</v>
      </c>
      <c r="W26" s="181">
        <f t="shared" si="10"/>
      </c>
      <c r="X26" s="449">
        <f t="shared" si="11"/>
      </c>
      <c r="Y26" s="741"/>
    </row>
    <row r="27" spans="2:25" s="8" customFormat="1" ht="16.5" customHeight="1">
      <c r="B27" s="55"/>
      <c r="C27" s="440"/>
      <c r="D27" s="440"/>
      <c r="E27" s="440"/>
      <c r="F27" s="440"/>
      <c r="G27" s="440"/>
      <c r="H27" s="484"/>
      <c r="I27" s="341">
        <f t="shared" si="0"/>
        <v>0</v>
      </c>
      <c r="J27" s="443"/>
      <c r="K27" s="202"/>
      <c r="L27" s="445">
        <f t="shared" si="1"/>
      </c>
      <c r="M27" s="446">
        <f t="shared" si="2"/>
      </c>
      <c r="N27" s="179"/>
      <c r="O27" s="254">
        <f t="shared" si="3"/>
      </c>
      <c r="P27" s="181">
        <f t="shared" si="4"/>
      </c>
      <c r="Q27" s="739">
        <f t="shared" si="5"/>
        <v>20</v>
      </c>
      <c r="R27" s="740" t="str">
        <f t="shared" si="6"/>
        <v>--</v>
      </c>
      <c r="S27" s="734" t="str">
        <f t="shared" si="7"/>
        <v>--</v>
      </c>
      <c r="T27" s="735" t="str">
        <f t="shared" si="8"/>
        <v>--</v>
      </c>
      <c r="U27" s="736" t="str">
        <f t="shared" si="9"/>
        <v>--</v>
      </c>
      <c r="V27" s="687" t="str">
        <f t="shared" si="12"/>
        <v>--</v>
      </c>
      <c r="W27" s="181">
        <f t="shared" si="10"/>
      </c>
      <c r="X27" s="449">
        <f t="shared" si="11"/>
      </c>
      <c r="Y27" s="741"/>
    </row>
    <row r="28" spans="2:25" s="8" customFormat="1" ht="16.5" customHeight="1">
      <c r="B28" s="55"/>
      <c r="C28" s="440"/>
      <c r="D28" s="440"/>
      <c r="E28" s="440"/>
      <c r="F28" s="440"/>
      <c r="G28" s="440"/>
      <c r="H28" s="484"/>
      <c r="I28" s="341">
        <f t="shared" si="0"/>
        <v>0</v>
      </c>
      <c r="J28" s="443"/>
      <c r="K28" s="202"/>
      <c r="L28" s="445">
        <f t="shared" si="1"/>
      </c>
      <c r="M28" s="446">
        <f t="shared" si="2"/>
      </c>
      <c r="N28" s="179"/>
      <c r="O28" s="254">
        <f t="shared" si="3"/>
      </c>
      <c r="P28" s="181">
        <f t="shared" si="4"/>
      </c>
      <c r="Q28" s="739">
        <f t="shared" si="5"/>
        <v>20</v>
      </c>
      <c r="R28" s="740" t="str">
        <f t="shared" si="6"/>
        <v>--</v>
      </c>
      <c r="S28" s="734" t="str">
        <f t="shared" si="7"/>
        <v>--</v>
      </c>
      <c r="T28" s="735" t="str">
        <f t="shared" si="8"/>
        <v>--</v>
      </c>
      <c r="U28" s="736" t="str">
        <f t="shared" si="9"/>
        <v>--</v>
      </c>
      <c r="V28" s="687" t="str">
        <f t="shared" si="12"/>
        <v>--</v>
      </c>
      <c r="W28" s="181">
        <f t="shared" si="10"/>
      </c>
      <c r="X28" s="449">
        <f t="shared" si="11"/>
      </c>
      <c r="Y28" s="741"/>
    </row>
    <row r="29" spans="2:25" s="8" customFormat="1" ht="16.5" customHeight="1">
      <c r="B29" s="55"/>
      <c r="C29" s="440"/>
      <c r="D29" s="440"/>
      <c r="E29" s="440"/>
      <c r="F29" s="440"/>
      <c r="G29" s="440"/>
      <c r="H29" s="484"/>
      <c r="I29" s="341">
        <f t="shared" si="0"/>
        <v>0</v>
      </c>
      <c r="J29" s="443"/>
      <c r="K29" s="202"/>
      <c r="L29" s="445">
        <f t="shared" si="1"/>
      </c>
      <c r="M29" s="446">
        <f t="shared" si="2"/>
      </c>
      <c r="N29" s="179"/>
      <c r="O29" s="254">
        <f t="shared" si="3"/>
      </c>
      <c r="P29" s="181">
        <f t="shared" si="4"/>
      </c>
      <c r="Q29" s="739">
        <f t="shared" si="5"/>
        <v>20</v>
      </c>
      <c r="R29" s="740" t="str">
        <f t="shared" si="6"/>
        <v>--</v>
      </c>
      <c r="S29" s="734" t="str">
        <f t="shared" si="7"/>
        <v>--</v>
      </c>
      <c r="T29" s="735" t="str">
        <f t="shared" si="8"/>
        <v>--</v>
      </c>
      <c r="U29" s="736" t="str">
        <f t="shared" si="9"/>
        <v>--</v>
      </c>
      <c r="V29" s="687" t="str">
        <f t="shared" si="12"/>
        <v>--</v>
      </c>
      <c r="W29" s="181">
        <f t="shared" si="10"/>
      </c>
      <c r="X29" s="449">
        <f t="shared" si="11"/>
      </c>
      <c r="Y29" s="741"/>
    </row>
    <row r="30" spans="2:25" s="8" customFormat="1" ht="16.5" customHeight="1">
      <c r="B30" s="55"/>
      <c r="C30" s="440"/>
      <c r="D30" s="440"/>
      <c r="E30" s="440"/>
      <c r="F30" s="440"/>
      <c r="G30" s="440"/>
      <c r="H30" s="484"/>
      <c r="I30" s="341">
        <f t="shared" si="0"/>
        <v>0</v>
      </c>
      <c r="J30" s="443"/>
      <c r="K30" s="202"/>
      <c r="L30" s="445">
        <f t="shared" si="1"/>
      </c>
      <c r="M30" s="446">
        <f t="shared" si="2"/>
      </c>
      <c r="N30" s="179"/>
      <c r="O30" s="254">
        <f t="shared" si="3"/>
      </c>
      <c r="P30" s="181">
        <f t="shared" si="4"/>
      </c>
      <c r="Q30" s="739">
        <f t="shared" si="5"/>
        <v>20</v>
      </c>
      <c r="R30" s="740" t="str">
        <f t="shared" si="6"/>
        <v>--</v>
      </c>
      <c r="S30" s="734" t="str">
        <f t="shared" si="7"/>
        <v>--</v>
      </c>
      <c r="T30" s="735" t="str">
        <f t="shared" si="8"/>
        <v>--</v>
      </c>
      <c r="U30" s="736" t="str">
        <f t="shared" si="9"/>
        <v>--</v>
      </c>
      <c r="V30" s="687" t="str">
        <f t="shared" si="12"/>
        <v>--</v>
      </c>
      <c r="W30" s="181">
        <f t="shared" si="10"/>
      </c>
      <c r="X30" s="449">
        <f t="shared" si="11"/>
      </c>
      <c r="Y30" s="741"/>
    </row>
    <row r="31" spans="2:25" s="8" customFormat="1" ht="16.5" customHeight="1">
      <c r="B31" s="55"/>
      <c r="C31" s="440"/>
      <c r="D31" s="440"/>
      <c r="E31" s="440"/>
      <c r="F31" s="440"/>
      <c r="G31" s="440"/>
      <c r="H31" s="484"/>
      <c r="I31" s="341">
        <f t="shared" si="0"/>
        <v>0</v>
      </c>
      <c r="J31" s="443"/>
      <c r="K31" s="202"/>
      <c r="L31" s="445">
        <f t="shared" si="1"/>
      </c>
      <c r="M31" s="446">
        <f t="shared" si="2"/>
      </c>
      <c r="N31" s="179"/>
      <c r="O31" s="254">
        <f t="shared" si="3"/>
      </c>
      <c r="P31" s="181">
        <f t="shared" si="4"/>
      </c>
      <c r="Q31" s="739">
        <f t="shared" si="5"/>
        <v>20</v>
      </c>
      <c r="R31" s="740" t="str">
        <f t="shared" si="6"/>
        <v>--</v>
      </c>
      <c r="S31" s="734" t="str">
        <f t="shared" si="7"/>
        <v>--</v>
      </c>
      <c r="T31" s="735" t="str">
        <f t="shared" si="8"/>
        <v>--</v>
      </c>
      <c r="U31" s="736" t="str">
        <f t="shared" si="9"/>
        <v>--</v>
      </c>
      <c r="V31" s="687" t="str">
        <f t="shared" si="12"/>
        <v>--</v>
      </c>
      <c r="W31" s="181">
        <f t="shared" si="10"/>
      </c>
      <c r="X31" s="449">
        <f t="shared" si="11"/>
      </c>
      <c r="Y31" s="741"/>
    </row>
    <row r="32" spans="2:25" s="8" customFormat="1" ht="16.5" customHeight="1">
      <c r="B32" s="55"/>
      <c r="C32" s="440"/>
      <c r="D32" s="440"/>
      <c r="E32" s="440"/>
      <c r="F32" s="440"/>
      <c r="G32" s="440"/>
      <c r="H32" s="484"/>
      <c r="I32" s="341">
        <f t="shared" si="0"/>
        <v>0</v>
      </c>
      <c r="J32" s="443"/>
      <c r="K32" s="202"/>
      <c r="L32" s="445">
        <f t="shared" si="1"/>
      </c>
      <c r="M32" s="446">
        <f t="shared" si="2"/>
      </c>
      <c r="N32" s="179"/>
      <c r="O32" s="254">
        <f t="shared" si="3"/>
      </c>
      <c r="P32" s="181">
        <f t="shared" si="4"/>
      </c>
      <c r="Q32" s="739">
        <f t="shared" si="5"/>
        <v>20</v>
      </c>
      <c r="R32" s="740" t="str">
        <f t="shared" si="6"/>
        <v>--</v>
      </c>
      <c r="S32" s="734" t="str">
        <f t="shared" si="7"/>
        <v>--</v>
      </c>
      <c r="T32" s="735" t="str">
        <f t="shared" si="8"/>
        <v>--</v>
      </c>
      <c r="U32" s="736" t="str">
        <f t="shared" si="9"/>
        <v>--</v>
      </c>
      <c r="V32" s="687" t="str">
        <f t="shared" si="12"/>
        <v>--</v>
      </c>
      <c r="W32" s="181">
        <f t="shared" si="10"/>
      </c>
      <c r="X32" s="449">
        <f t="shared" si="11"/>
      </c>
      <c r="Y32" s="60"/>
    </row>
    <row r="33" spans="2:25" s="8" customFormat="1" ht="16.5" customHeight="1">
      <c r="B33" s="55"/>
      <c r="C33" s="440"/>
      <c r="D33" s="440"/>
      <c r="E33" s="440"/>
      <c r="F33" s="440"/>
      <c r="G33" s="440"/>
      <c r="H33" s="484"/>
      <c r="I33" s="341">
        <f t="shared" si="0"/>
        <v>0</v>
      </c>
      <c r="J33" s="443"/>
      <c r="K33" s="202"/>
      <c r="L33" s="445">
        <f t="shared" si="1"/>
      </c>
      <c r="M33" s="446">
        <f t="shared" si="2"/>
      </c>
      <c r="N33" s="179"/>
      <c r="O33" s="254">
        <f t="shared" si="3"/>
      </c>
      <c r="P33" s="181">
        <f t="shared" si="4"/>
      </c>
      <c r="Q33" s="739">
        <f t="shared" si="5"/>
        <v>20</v>
      </c>
      <c r="R33" s="740" t="str">
        <f t="shared" si="6"/>
        <v>--</v>
      </c>
      <c r="S33" s="734" t="str">
        <f t="shared" si="7"/>
        <v>--</v>
      </c>
      <c r="T33" s="735" t="str">
        <f t="shared" si="8"/>
        <v>--</v>
      </c>
      <c r="U33" s="736" t="str">
        <f t="shared" si="9"/>
        <v>--</v>
      </c>
      <c r="V33" s="687" t="str">
        <f t="shared" si="12"/>
        <v>--</v>
      </c>
      <c r="W33" s="181">
        <f t="shared" si="10"/>
      </c>
      <c r="X33" s="449">
        <f t="shared" si="11"/>
      </c>
      <c r="Y33" s="60"/>
    </row>
    <row r="34" spans="2:25" s="8" customFormat="1" ht="16.5" customHeight="1">
      <c r="B34" s="55"/>
      <c r="C34" s="440"/>
      <c r="D34" s="440"/>
      <c r="E34" s="440"/>
      <c r="F34" s="440"/>
      <c r="G34" s="440"/>
      <c r="H34" s="484"/>
      <c r="I34" s="341">
        <f t="shared" si="0"/>
        <v>0</v>
      </c>
      <c r="J34" s="443"/>
      <c r="K34" s="202"/>
      <c r="L34" s="445">
        <f t="shared" si="1"/>
      </c>
      <c r="M34" s="446">
        <f t="shared" si="2"/>
      </c>
      <c r="N34" s="179"/>
      <c r="O34" s="254">
        <f t="shared" si="3"/>
      </c>
      <c r="P34" s="181">
        <f t="shared" si="4"/>
      </c>
      <c r="Q34" s="739">
        <f t="shared" si="5"/>
        <v>20</v>
      </c>
      <c r="R34" s="740" t="str">
        <f t="shared" si="6"/>
        <v>--</v>
      </c>
      <c r="S34" s="734" t="str">
        <f t="shared" si="7"/>
        <v>--</v>
      </c>
      <c r="T34" s="735" t="str">
        <f t="shared" si="8"/>
        <v>--</v>
      </c>
      <c r="U34" s="736" t="str">
        <f t="shared" si="9"/>
        <v>--</v>
      </c>
      <c r="V34" s="687" t="str">
        <f t="shared" si="12"/>
        <v>--</v>
      </c>
      <c r="W34" s="181">
        <f t="shared" si="10"/>
      </c>
      <c r="X34" s="449">
        <f t="shared" si="11"/>
      </c>
      <c r="Y34" s="60"/>
    </row>
    <row r="35" spans="2:25" s="8" customFormat="1" ht="16.5" customHeight="1">
      <c r="B35" s="55"/>
      <c r="C35" s="440"/>
      <c r="D35" s="440"/>
      <c r="E35" s="440"/>
      <c r="F35" s="440"/>
      <c r="G35" s="440"/>
      <c r="H35" s="484"/>
      <c r="I35" s="341">
        <f t="shared" si="0"/>
        <v>0</v>
      </c>
      <c r="J35" s="443"/>
      <c r="K35" s="202"/>
      <c r="L35" s="445">
        <f t="shared" si="1"/>
      </c>
      <c r="M35" s="446">
        <f t="shared" si="2"/>
      </c>
      <c r="N35" s="179"/>
      <c r="O35" s="254">
        <f t="shared" si="3"/>
      </c>
      <c r="P35" s="181">
        <f t="shared" si="4"/>
      </c>
      <c r="Q35" s="739">
        <f t="shared" si="5"/>
        <v>20</v>
      </c>
      <c r="R35" s="740" t="str">
        <f t="shared" si="6"/>
        <v>--</v>
      </c>
      <c r="S35" s="734" t="str">
        <f t="shared" si="7"/>
        <v>--</v>
      </c>
      <c r="T35" s="735" t="str">
        <f t="shared" si="8"/>
        <v>--</v>
      </c>
      <c r="U35" s="736" t="str">
        <f t="shared" si="9"/>
        <v>--</v>
      </c>
      <c r="V35" s="687" t="str">
        <f t="shared" si="12"/>
        <v>--</v>
      </c>
      <c r="W35" s="181">
        <f t="shared" si="10"/>
      </c>
      <c r="X35" s="449">
        <f t="shared" si="11"/>
      </c>
      <c r="Y35" s="60"/>
    </row>
    <row r="36" spans="2:25" s="8" customFormat="1" ht="16.5" customHeight="1">
      <c r="B36" s="55"/>
      <c r="C36" s="440"/>
      <c r="D36" s="440"/>
      <c r="E36" s="440"/>
      <c r="F36" s="440"/>
      <c r="G36" s="440"/>
      <c r="H36" s="484"/>
      <c r="I36" s="341">
        <f t="shared" si="0"/>
        <v>0</v>
      </c>
      <c r="J36" s="443"/>
      <c r="K36" s="202"/>
      <c r="L36" s="445">
        <f t="shared" si="1"/>
      </c>
      <c r="M36" s="446">
        <f t="shared" si="2"/>
      </c>
      <c r="N36" s="179"/>
      <c r="O36" s="254">
        <f t="shared" si="3"/>
      </c>
      <c r="P36" s="181">
        <f t="shared" si="4"/>
      </c>
      <c r="Q36" s="739">
        <f t="shared" si="5"/>
        <v>20</v>
      </c>
      <c r="R36" s="740" t="str">
        <f t="shared" si="6"/>
        <v>--</v>
      </c>
      <c r="S36" s="734" t="str">
        <f t="shared" si="7"/>
        <v>--</v>
      </c>
      <c r="T36" s="735" t="str">
        <f t="shared" si="8"/>
        <v>--</v>
      </c>
      <c r="U36" s="736" t="str">
        <f t="shared" si="9"/>
        <v>--</v>
      </c>
      <c r="V36" s="687" t="str">
        <f t="shared" si="12"/>
        <v>--</v>
      </c>
      <c r="W36" s="181">
        <f t="shared" si="10"/>
      </c>
      <c r="X36" s="449">
        <f t="shared" si="11"/>
      </c>
      <c r="Y36" s="60"/>
    </row>
    <row r="37" spans="2:25" s="8" customFormat="1" ht="16.5" customHeight="1">
      <c r="B37" s="55"/>
      <c r="C37" s="440"/>
      <c r="D37" s="440"/>
      <c r="E37" s="440"/>
      <c r="F37" s="440"/>
      <c r="G37" s="440"/>
      <c r="H37" s="484"/>
      <c r="I37" s="341">
        <f t="shared" si="0"/>
        <v>0</v>
      </c>
      <c r="J37" s="443"/>
      <c r="K37" s="202"/>
      <c r="L37" s="445">
        <f t="shared" si="1"/>
      </c>
      <c r="M37" s="446">
        <f t="shared" si="2"/>
      </c>
      <c r="N37" s="179"/>
      <c r="O37" s="254">
        <f t="shared" si="3"/>
      </c>
      <c r="P37" s="181">
        <f t="shared" si="4"/>
      </c>
      <c r="Q37" s="739">
        <f t="shared" si="5"/>
        <v>20</v>
      </c>
      <c r="R37" s="740" t="str">
        <f t="shared" si="6"/>
        <v>--</v>
      </c>
      <c r="S37" s="734" t="str">
        <f t="shared" si="7"/>
        <v>--</v>
      </c>
      <c r="T37" s="735" t="str">
        <f t="shared" si="8"/>
        <v>--</v>
      </c>
      <c r="U37" s="736" t="str">
        <f t="shared" si="9"/>
        <v>--</v>
      </c>
      <c r="V37" s="687" t="str">
        <f t="shared" si="12"/>
        <v>--</v>
      </c>
      <c r="W37" s="181">
        <f t="shared" si="10"/>
      </c>
      <c r="X37" s="449">
        <f t="shared" si="11"/>
      </c>
      <c r="Y37" s="60"/>
    </row>
    <row r="38" spans="2:25" s="8" customFormat="1" ht="16.5" customHeight="1">
      <c r="B38" s="55"/>
      <c r="C38" s="440"/>
      <c r="D38" s="440"/>
      <c r="E38" s="440"/>
      <c r="F38" s="440"/>
      <c r="G38" s="440"/>
      <c r="H38" s="484"/>
      <c r="I38" s="341">
        <f t="shared" si="0"/>
        <v>0</v>
      </c>
      <c r="J38" s="443"/>
      <c r="K38" s="202"/>
      <c r="L38" s="445">
        <f t="shared" si="1"/>
      </c>
      <c r="M38" s="446">
        <f t="shared" si="2"/>
      </c>
      <c r="N38" s="179"/>
      <c r="O38" s="254">
        <f t="shared" si="3"/>
      </c>
      <c r="P38" s="181">
        <f t="shared" si="4"/>
      </c>
      <c r="Q38" s="739">
        <f t="shared" si="5"/>
        <v>20</v>
      </c>
      <c r="R38" s="740" t="str">
        <f t="shared" si="6"/>
        <v>--</v>
      </c>
      <c r="S38" s="734" t="str">
        <f t="shared" si="7"/>
        <v>--</v>
      </c>
      <c r="T38" s="735" t="str">
        <f t="shared" si="8"/>
        <v>--</v>
      </c>
      <c r="U38" s="736" t="str">
        <f t="shared" si="9"/>
        <v>--</v>
      </c>
      <c r="V38" s="687" t="str">
        <f t="shared" si="12"/>
        <v>--</v>
      </c>
      <c r="W38" s="181">
        <f t="shared" si="10"/>
      </c>
      <c r="X38" s="449">
        <f t="shared" si="11"/>
      </c>
      <c r="Y38" s="60"/>
    </row>
    <row r="39" spans="2:25" s="8" customFormat="1" ht="16.5" customHeight="1">
      <c r="B39" s="55"/>
      <c r="C39" s="440"/>
      <c r="D39" s="440"/>
      <c r="E39" s="440"/>
      <c r="F39" s="440"/>
      <c r="G39" s="440"/>
      <c r="H39" s="484"/>
      <c r="I39" s="341">
        <f t="shared" si="0"/>
        <v>0</v>
      </c>
      <c r="J39" s="443"/>
      <c r="K39" s="202"/>
      <c r="L39" s="445">
        <f t="shared" si="1"/>
      </c>
      <c r="M39" s="446">
        <f t="shared" si="2"/>
      </c>
      <c r="N39" s="179"/>
      <c r="O39" s="254">
        <f t="shared" si="3"/>
      </c>
      <c r="P39" s="181">
        <f t="shared" si="4"/>
      </c>
      <c r="Q39" s="739">
        <f t="shared" si="5"/>
        <v>20</v>
      </c>
      <c r="R39" s="740" t="str">
        <f t="shared" si="6"/>
        <v>--</v>
      </c>
      <c r="S39" s="734" t="str">
        <f t="shared" si="7"/>
        <v>--</v>
      </c>
      <c r="T39" s="735" t="str">
        <f t="shared" si="8"/>
        <v>--</v>
      </c>
      <c r="U39" s="736" t="str">
        <f t="shared" si="9"/>
        <v>--</v>
      </c>
      <c r="V39" s="687" t="str">
        <f t="shared" si="12"/>
        <v>--</v>
      </c>
      <c r="W39" s="181">
        <f t="shared" si="10"/>
      </c>
      <c r="X39" s="449">
        <f t="shared" si="11"/>
      </c>
      <c r="Y39" s="60"/>
    </row>
    <row r="40" spans="2:25" s="8" customFormat="1" ht="16.5" customHeight="1">
      <c r="B40" s="55"/>
      <c r="C40" s="440"/>
      <c r="D40" s="440"/>
      <c r="E40" s="440"/>
      <c r="F40" s="440"/>
      <c r="G40" s="440"/>
      <c r="H40" s="484"/>
      <c r="I40" s="341">
        <f t="shared" si="0"/>
        <v>0</v>
      </c>
      <c r="J40" s="443"/>
      <c r="K40" s="202"/>
      <c r="L40" s="445">
        <f t="shared" si="1"/>
      </c>
      <c r="M40" s="446">
        <f t="shared" si="2"/>
      </c>
      <c r="N40" s="179"/>
      <c r="O40" s="254">
        <f t="shared" si="3"/>
      </c>
      <c r="P40" s="181">
        <f t="shared" si="4"/>
      </c>
      <c r="Q40" s="739">
        <f t="shared" si="5"/>
        <v>20</v>
      </c>
      <c r="R40" s="740" t="str">
        <f t="shared" si="6"/>
        <v>--</v>
      </c>
      <c r="S40" s="734" t="str">
        <f t="shared" si="7"/>
        <v>--</v>
      </c>
      <c r="T40" s="735" t="str">
        <f t="shared" si="8"/>
        <v>--</v>
      </c>
      <c r="U40" s="736" t="str">
        <f t="shared" si="9"/>
        <v>--</v>
      </c>
      <c r="V40" s="687" t="str">
        <f t="shared" si="12"/>
        <v>--</v>
      </c>
      <c r="W40" s="181">
        <f t="shared" si="10"/>
      </c>
      <c r="X40" s="449">
        <f t="shared" si="11"/>
      </c>
      <c r="Y40" s="60"/>
    </row>
    <row r="41" spans="2:25" s="8" customFormat="1" ht="16.5" customHeight="1">
      <c r="B41" s="55"/>
      <c r="C41" s="440"/>
      <c r="D41" s="440"/>
      <c r="E41" s="440"/>
      <c r="F41" s="440"/>
      <c r="G41" s="440"/>
      <c r="H41" s="484"/>
      <c r="I41" s="341">
        <f t="shared" si="0"/>
        <v>0</v>
      </c>
      <c r="J41" s="443"/>
      <c r="K41" s="202"/>
      <c r="L41" s="445">
        <f t="shared" si="1"/>
      </c>
      <c r="M41" s="446">
        <f t="shared" si="2"/>
      </c>
      <c r="N41" s="179"/>
      <c r="O41" s="254">
        <f t="shared" si="3"/>
      </c>
      <c r="P41" s="181">
        <f t="shared" si="4"/>
      </c>
      <c r="Q41" s="739">
        <f t="shared" si="5"/>
        <v>20</v>
      </c>
      <c r="R41" s="740" t="str">
        <f t="shared" si="6"/>
        <v>--</v>
      </c>
      <c r="S41" s="734" t="str">
        <f t="shared" si="7"/>
        <v>--</v>
      </c>
      <c r="T41" s="735" t="str">
        <f t="shared" si="8"/>
        <v>--</v>
      </c>
      <c r="U41" s="736" t="str">
        <f t="shared" si="9"/>
        <v>--</v>
      </c>
      <c r="V41" s="687" t="str">
        <f t="shared" si="12"/>
        <v>--</v>
      </c>
      <c r="W41" s="181">
        <f t="shared" si="10"/>
      </c>
      <c r="X41" s="449">
        <f t="shared" si="11"/>
      </c>
      <c r="Y41" s="60"/>
    </row>
    <row r="42" spans="2:25" s="8" customFormat="1" ht="16.5" customHeight="1" thickBot="1">
      <c r="B42" s="55"/>
      <c r="C42" s="909"/>
      <c r="D42" s="909"/>
      <c r="E42" s="909"/>
      <c r="F42" s="909"/>
      <c r="G42" s="909"/>
      <c r="H42" s="485"/>
      <c r="I42" s="361"/>
      <c r="J42" s="450"/>
      <c r="K42" s="450"/>
      <c r="L42" s="451"/>
      <c r="M42" s="451"/>
      <c r="N42" s="450"/>
      <c r="O42" s="213"/>
      <c r="P42" s="212"/>
      <c r="Q42" s="742"/>
      <c r="R42" s="743"/>
      <c r="S42" s="744"/>
      <c r="T42" s="745"/>
      <c r="U42" s="746"/>
      <c r="V42" s="746"/>
      <c r="W42" s="212"/>
      <c r="X42" s="747"/>
      <c r="Y42" s="60"/>
    </row>
    <row r="43" spans="2:25" s="8" customFormat="1" ht="16.5" customHeight="1" thickBot="1" thickTop="1">
      <c r="B43" s="55"/>
      <c r="C43" s="680" t="s">
        <v>324</v>
      </c>
      <c r="D43" s="681" t="s">
        <v>368</v>
      </c>
      <c r="E43" s="226"/>
      <c r="F43" s="227"/>
      <c r="I43" s="11"/>
      <c r="J43" s="11"/>
      <c r="K43" s="11"/>
      <c r="L43" s="11"/>
      <c r="M43" s="11"/>
      <c r="N43" s="11"/>
      <c r="O43" s="11"/>
      <c r="P43" s="11"/>
      <c r="Q43" s="11"/>
      <c r="R43" s="748">
        <f>SUM(R20:R42)</f>
        <v>5197.101140000001</v>
      </c>
      <c r="S43" s="749">
        <f>SUM(S20:S42)</f>
        <v>0</v>
      </c>
      <c r="T43" s="750">
        <f>SUM(T20:T42)</f>
        <v>0</v>
      </c>
      <c r="U43" s="751">
        <f>SUM(U20:U42)</f>
        <v>0</v>
      </c>
      <c r="V43" s="751">
        <f>SUM(V20:V42)</f>
        <v>0</v>
      </c>
      <c r="X43" s="463">
        <f>ROUND(SUM(X20:X42),2)</f>
        <v>0</v>
      </c>
      <c r="Y43" s="752"/>
    </row>
    <row r="44" spans="2:25" s="8" customFormat="1" ht="16.5" customHeight="1" thickBot="1" thickTop="1">
      <c r="B44" s="241"/>
      <c r="C44" s="910" t="s">
        <v>374</v>
      </c>
      <c r="D44" s="754" t="s">
        <v>350</v>
      </c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3"/>
    </row>
    <row r="45" spans="6:27" ht="16.5" customHeight="1" thickTop="1">
      <c r="F45" s="486"/>
      <c r="G45" s="486"/>
      <c r="H45" s="486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</row>
    <row r="46" spans="6:27" ht="16.5" customHeight="1">
      <c r="F46" s="486"/>
      <c r="G46" s="486"/>
      <c r="H46" s="486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</row>
    <row r="47" spans="6:27" ht="16.5" customHeight="1">
      <c r="F47" s="486"/>
      <c r="G47" s="486"/>
      <c r="H47" s="486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</row>
    <row r="48" spans="6:27" ht="16.5" customHeight="1">
      <c r="F48" s="486"/>
      <c r="G48" s="486"/>
      <c r="H48" s="486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</row>
    <row r="49" spans="6:27" ht="16.5" customHeight="1">
      <c r="F49" s="486"/>
      <c r="G49" s="486"/>
      <c r="H49" s="486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</row>
    <row r="50" spans="6:27" ht="16.5" customHeight="1">
      <c r="F50" s="486"/>
      <c r="G50" s="486"/>
      <c r="H50" s="486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</row>
    <row r="51" spans="6:27" ht="16.5" customHeight="1"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</row>
    <row r="52" spans="6:27" ht="16.5" customHeight="1"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</row>
    <row r="53" spans="6:27" ht="16.5" customHeight="1"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</row>
    <row r="54" spans="6:27" ht="16.5" customHeight="1"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</row>
    <row r="55" spans="6:27" ht="16.5" customHeight="1"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</row>
    <row r="56" spans="6:27" ht="16.5" customHeight="1"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</row>
    <row r="57" spans="6:27" ht="16.5" customHeight="1"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</row>
    <row r="58" spans="6:27" ht="16.5" customHeight="1"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</row>
    <row r="59" spans="6:27" ht="16.5" customHeight="1"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</row>
    <row r="60" spans="6:27" ht="16.5" customHeight="1"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</row>
    <row r="61" spans="6:27" ht="16.5" customHeight="1"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</row>
    <row r="62" spans="6:27" ht="16.5" customHeight="1"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</row>
    <row r="63" spans="6:27" ht="16.5" customHeight="1"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</row>
    <row r="64" spans="6:27" ht="16.5" customHeight="1"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</row>
    <row r="65" spans="6:27" ht="16.5" customHeight="1"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</row>
    <row r="66" spans="6:27" ht="16.5" customHeight="1"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</row>
    <row r="67" spans="6:27" ht="16.5" customHeight="1"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</row>
    <row r="68" spans="6:27" ht="16.5" customHeight="1"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</row>
    <row r="69" spans="6:27" ht="16.5" customHeight="1"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</row>
    <row r="70" spans="6:27" ht="16.5" customHeight="1"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</row>
    <row r="71" spans="6:27" ht="16.5" customHeight="1"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</row>
    <row r="72" spans="6:27" ht="16.5" customHeight="1"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</row>
    <row r="73" spans="6:27" ht="16.5" customHeight="1"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</row>
    <row r="74" spans="6:27" ht="16.5" customHeight="1"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</row>
    <row r="75" spans="6:27" ht="16.5" customHeight="1"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</row>
    <row r="76" spans="6:27" ht="16.5" customHeight="1"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</row>
    <row r="77" spans="6:27" ht="16.5" customHeight="1"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</row>
    <row r="78" spans="6:27" ht="16.5" customHeight="1"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</row>
    <row r="79" spans="6:27" ht="16.5" customHeight="1"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</row>
    <row r="80" spans="6:27" ht="16.5" customHeight="1"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</row>
    <row r="81" spans="6:27" ht="16.5" customHeight="1"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</row>
    <row r="82" spans="6:27" ht="16.5" customHeight="1"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</row>
    <row r="83" spans="6:27" ht="16.5" customHeight="1"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</row>
    <row r="84" spans="6:27" ht="16.5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</row>
    <row r="85" spans="6:27" ht="16.5" customHeight="1"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</row>
    <row r="86" spans="6:27" ht="16.5" customHeight="1"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</row>
    <row r="87" spans="6:27" ht="16.5" customHeight="1"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</row>
    <row r="88" spans="6:27" ht="16.5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</row>
    <row r="89" spans="6:27" ht="16.5" customHeight="1"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</row>
    <row r="90" spans="6:27" ht="16.5" customHeight="1"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</row>
    <row r="91" spans="6:27" ht="16.5" customHeight="1"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</row>
    <row r="92" spans="6:27" ht="16.5" customHeight="1"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</row>
    <row r="93" spans="6:27" ht="16.5" customHeight="1"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</row>
    <row r="94" spans="6:27" ht="16.5" customHeight="1"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</row>
    <row r="95" spans="6:27" ht="16.5" customHeight="1"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</row>
    <row r="96" spans="6:27" ht="16.5" customHeight="1"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</row>
    <row r="97" spans="6:27" ht="16.5" customHeight="1"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</row>
    <row r="98" spans="6:27" ht="16.5" customHeight="1"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</row>
    <row r="99" spans="6:27" ht="16.5" customHeight="1"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</row>
    <row r="100" spans="6:27" ht="16.5" customHeight="1"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</row>
    <row r="101" spans="6:27" ht="16.5" customHeight="1"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  <c r="AA101" s="392"/>
    </row>
    <row r="102" spans="6:27" ht="16.5" customHeight="1"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</row>
    <row r="103" spans="6:27" ht="16.5" customHeight="1"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</row>
    <row r="104" spans="6:27" ht="16.5" customHeight="1"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  <c r="Z104" s="392"/>
      <c r="AA104" s="392"/>
    </row>
    <row r="105" spans="6:27" ht="16.5" customHeight="1"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</row>
    <row r="106" spans="6:27" ht="16.5" customHeight="1"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</row>
    <row r="107" spans="6:27" ht="16.5" customHeight="1"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</row>
    <row r="108" spans="6:27" ht="16.5" customHeight="1"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</row>
    <row r="109" spans="6:27" ht="16.5" customHeight="1"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</row>
    <row r="110" spans="6:27" ht="16.5" customHeight="1"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</row>
    <row r="111" spans="6:27" ht="16.5" customHeight="1"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</row>
    <row r="112" spans="6:27" ht="16.5" customHeight="1"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  <c r="Z112" s="392"/>
      <c r="AA112" s="392"/>
    </row>
    <row r="113" spans="6:27" ht="16.5" customHeight="1"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</row>
    <row r="114" spans="6:27" ht="16.5" customHeight="1"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</row>
    <row r="115" spans="6:27" ht="16.5" customHeight="1"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</row>
    <row r="116" spans="6:27" ht="16.5" customHeight="1"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  <c r="Z116" s="392"/>
      <c r="AA116" s="392"/>
    </row>
    <row r="117" spans="6:27" ht="16.5" customHeight="1"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</row>
    <row r="118" spans="6:27" ht="16.5" customHeight="1"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</row>
    <row r="119" spans="6:27" ht="16.5" customHeight="1"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</row>
    <row r="120" spans="6:27" ht="16.5" customHeight="1"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</row>
    <row r="121" spans="6:27" ht="16.5" customHeight="1"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</row>
    <row r="122" spans="6:27" ht="16.5" customHeight="1"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</row>
    <row r="123" spans="6:27" ht="16.5" customHeight="1"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</row>
    <row r="124" spans="6:27" ht="16.5" customHeight="1"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</row>
    <row r="125" spans="6:27" ht="16.5" customHeight="1"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</row>
    <row r="126" spans="6:27" ht="16.5" customHeight="1"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  <c r="Z126" s="392"/>
      <c r="AA126" s="392"/>
    </row>
    <row r="127" spans="6:27" ht="16.5" customHeight="1"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</row>
    <row r="128" spans="6:27" ht="16.5" customHeight="1"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  <c r="Z128" s="392"/>
      <c r="AA128" s="392"/>
    </row>
    <row r="129" spans="6:27" ht="16.5" customHeight="1"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</row>
    <row r="130" spans="6:27" ht="16.5" customHeight="1"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</row>
    <row r="131" spans="6:27" ht="16.5" customHeight="1"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  <c r="Z131" s="392"/>
      <c r="AA131" s="392"/>
    </row>
    <row r="132" spans="6:27" ht="16.5" customHeight="1"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  <c r="Z132" s="392"/>
      <c r="AA132" s="392"/>
    </row>
    <row r="133" spans="6:27" ht="16.5" customHeight="1"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  <c r="Z133" s="392"/>
      <c r="AA133" s="392"/>
    </row>
    <row r="134" spans="6:27" ht="16.5" customHeight="1"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</row>
    <row r="135" spans="6:27" ht="16.5" customHeight="1"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</row>
    <row r="136" spans="6:27" ht="16.5" customHeight="1"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  <c r="Z136" s="392"/>
      <c r="AA136" s="392"/>
    </row>
    <row r="137" spans="6:27" ht="16.5" customHeight="1"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</row>
    <row r="138" spans="6:27" ht="16.5" customHeight="1"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</row>
    <row r="139" spans="6:27" ht="16.5" customHeight="1"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</row>
    <row r="140" spans="6:27" ht="16.5" customHeight="1"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</row>
    <row r="141" spans="6:27" ht="16.5" customHeight="1"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92"/>
      <c r="AA141" s="392"/>
    </row>
    <row r="142" spans="6:27" ht="16.5" customHeight="1"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</row>
    <row r="143" spans="6:27" ht="16.5" customHeight="1"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92"/>
      <c r="AA143" s="392"/>
    </row>
    <row r="144" spans="6:27" ht="16.5" customHeight="1"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</row>
    <row r="145" spans="6:27" ht="16.5" customHeight="1"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</row>
    <row r="146" spans="6:27" ht="16.5" customHeight="1"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</row>
    <row r="147" spans="6:27" ht="16.5" customHeight="1"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</row>
    <row r="148" spans="6:27" ht="16.5" customHeight="1"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</row>
    <row r="149" spans="6:27" ht="16.5" customHeight="1"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92"/>
      <c r="AA149" s="392"/>
    </row>
    <row r="150" spans="6:27" ht="16.5" customHeight="1"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  <c r="Z150" s="392"/>
      <c r="AA150" s="392"/>
    </row>
    <row r="151" spans="6:27" ht="16.5" customHeight="1"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  <c r="Z151" s="392"/>
      <c r="AA151" s="392"/>
    </row>
    <row r="152" spans="6:27" ht="16.5" customHeight="1">
      <c r="F152" s="392"/>
      <c r="G152" s="392"/>
      <c r="H152" s="392"/>
      <c r="Z152" s="392"/>
      <c r="AA152" s="392"/>
    </row>
    <row r="153" spans="6:8" ht="16.5" customHeight="1">
      <c r="F153" s="392"/>
      <c r="G153" s="392"/>
      <c r="H153" s="392"/>
    </row>
    <row r="154" spans="6:8" ht="16.5" customHeight="1">
      <c r="F154" s="392"/>
      <c r="G154" s="392"/>
      <c r="H154" s="392"/>
    </row>
    <row r="155" spans="6:8" ht="16.5" customHeight="1">
      <c r="F155" s="392"/>
      <c r="G155" s="392"/>
      <c r="H155" s="392"/>
    </row>
    <row r="156" spans="6:8" ht="16.5" customHeight="1">
      <c r="F156" s="392"/>
      <c r="G156" s="392"/>
      <c r="H156" s="392"/>
    </row>
    <row r="157" spans="6:8" ht="16.5" customHeight="1">
      <c r="F157" s="392"/>
      <c r="G157" s="392"/>
      <c r="H157" s="39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AC157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4.28125" style="9" customWidth="1"/>
    <col min="7" max="7" width="30.7109375" style="9" customWidth="1"/>
    <col min="8" max="8" width="8.00390625" style="9" customWidth="1"/>
    <col min="9" max="9" width="5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9"/>
      <c r="B2" s="473" t="str">
        <f>'TOT-0312'!B2</f>
        <v>ANEXO IV al Memorándum D.T.E.E.  N° 783/ 2013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7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395"/>
    </row>
    <row r="8" spans="2:27" s="18" customFormat="1" ht="20.25">
      <c r="B8" s="96"/>
      <c r="C8" s="23"/>
      <c r="D8" s="23"/>
      <c r="F8" s="97" t="s">
        <v>76</v>
      </c>
      <c r="G8" s="68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474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6"/>
      <c r="C10" s="23"/>
      <c r="D10" s="23"/>
      <c r="F10" s="98" t="s">
        <v>342</v>
      </c>
      <c r="H10" s="690"/>
      <c r="I10" s="691"/>
      <c r="J10" s="691"/>
      <c r="K10" s="691"/>
      <c r="L10" s="691"/>
      <c r="M10" s="691"/>
      <c r="N10" s="691"/>
      <c r="O10" s="691"/>
      <c r="P10" s="691"/>
      <c r="Q10" s="691"/>
      <c r="R10" s="23"/>
      <c r="S10" s="23"/>
      <c r="T10" s="23"/>
      <c r="U10" s="23"/>
      <c r="V10" s="23"/>
      <c r="W10" s="23"/>
      <c r="X10" s="23"/>
      <c r="Y10" s="23"/>
      <c r="Z10" s="23"/>
      <c r="AA10" s="397"/>
    </row>
    <row r="11" spans="2:27" s="8" customFormat="1" ht="16.5" customHeight="1">
      <c r="B11" s="55"/>
      <c r="C11" s="11"/>
      <c r="D11" s="11"/>
      <c r="E11" s="11"/>
      <c r="F11" s="475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6"/>
      <c r="C12" s="23"/>
      <c r="D12" s="23"/>
      <c r="F12" s="98" t="s">
        <v>376</v>
      </c>
      <c r="H12" s="690"/>
      <c r="I12" s="691"/>
      <c r="J12" s="691"/>
      <c r="K12" s="691"/>
      <c r="L12" s="691"/>
      <c r="M12" s="691"/>
      <c r="N12" s="691"/>
      <c r="O12" s="691"/>
      <c r="P12" s="691"/>
      <c r="Q12" s="691"/>
      <c r="R12" s="23"/>
      <c r="S12" s="23"/>
      <c r="T12" s="23"/>
      <c r="U12" s="23"/>
      <c r="V12" s="23"/>
      <c r="W12" s="23"/>
      <c r="X12" s="23"/>
      <c r="Y12" s="23"/>
      <c r="Z12" s="23"/>
      <c r="AA12" s="397"/>
    </row>
    <row r="13" spans="2:27" s="8" customFormat="1" ht="16.5" customHeight="1">
      <c r="B13" s="55"/>
      <c r="C13" s="11"/>
      <c r="D13" s="11"/>
      <c r="E13" s="11"/>
      <c r="F13" s="475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'TOT-0312'!B14</f>
        <v>Desde el 01 al 31 de Marzo de 2012</v>
      </c>
      <c r="C14" s="39"/>
      <c r="D14" s="39"/>
      <c r="E14" s="476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6"/>
      <c r="S14" s="476"/>
      <c r="T14" s="476"/>
      <c r="U14" s="476"/>
      <c r="V14" s="476"/>
      <c r="W14" s="476"/>
      <c r="X14" s="476"/>
      <c r="Y14" s="476"/>
      <c r="Z14" s="476"/>
      <c r="AA14" s="478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692" t="s">
        <v>58</v>
      </c>
      <c r="G16" s="693"/>
      <c r="H16" s="290">
        <v>0.319</v>
      </c>
      <c r="I16" s="409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694" t="s">
        <v>59</v>
      </c>
      <c r="G17" s="695"/>
      <c r="H17" s="696">
        <v>20</v>
      </c>
      <c r="I17" s="409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110"/>
      <c r="Z17" s="110"/>
      <c r="AA17" s="60"/>
    </row>
    <row r="18" spans="2:27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60"/>
    </row>
    <row r="19" spans="2:27" s="8" customFormat="1" ht="33.75" customHeight="1" thickBot="1" thickTop="1">
      <c r="B19" s="55"/>
      <c r="C19" s="296" t="s">
        <v>32</v>
      </c>
      <c r="D19" s="112" t="s">
        <v>33</v>
      </c>
      <c r="E19" s="112" t="s">
        <v>34</v>
      </c>
      <c r="F19" s="115" t="s">
        <v>60</v>
      </c>
      <c r="G19" s="113" t="s">
        <v>61</v>
      </c>
      <c r="H19" s="697" t="s">
        <v>344</v>
      </c>
      <c r="I19" s="301" t="s">
        <v>39</v>
      </c>
      <c r="J19" s="113" t="s">
        <v>40</v>
      </c>
      <c r="K19" s="113" t="s">
        <v>41</v>
      </c>
      <c r="L19" s="115" t="s">
        <v>42</v>
      </c>
      <c r="M19" s="115" t="s">
        <v>43</v>
      </c>
      <c r="N19" s="120" t="s">
        <v>251</v>
      </c>
      <c r="O19" s="120" t="s">
        <v>44</v>
      </c>
      <c r="P19" s="113" t="s">
        <v>46</v>
      </c>
      <c r="Q19" s="301" t="s">
        <v>38</v>
      </c>
      <c r="R19" s="698" t="s">
        <v>73</v>
      </c>
      <c r="S19" s="699" t="s">
        <v>345</v>
      </c>
      <c r="T19" s="700"/>
      <c r="U19" s="306" t="s">
        <v>346</v>
      </c>
      <c r="V19" s="307"/>
      <c r="W19" s="701" t="s">
        <v>51</v>
      </c>
      <c r="X19" s="305" t="s">
        <v>48</v>
      </c>
      <c r="Y19" s="131" t="s">
        <v>53</v>
      </c>
      <c r="Z19" s="702" t="s">
        <v>54</v>
      </c>
      <c r="AA19" s="60"/>
    </row>
    <row r="20" spans="2:27" s="8" customFormat="1" ht="16.5" customHeight="1" thickTop="1">
      <c r="B20" s="55"/>
      <c r="C20" s="310"/>
      <c r="D20" s="310"/>
      <c r="E20" s="310"/>
      <c r="F20" s="479"/>
      <c r="G20" s="479"/>
      <c r="H20" s="479"/>
      <c r="I20" s="703"/>
      <c r="J20" s="704"/>
      <c r="K20" s="704"/>
      <c r="L20" s="705"/>
      <c r="M20" s="705"/>
      <c r="N20" s="479"/>
      <c r="O20" s="152"/>
      <c r="P20" s="705"/>
      <c r="Q20" s="707"/>
      <c r="R20" s="708"/>
      <c r="S20" s="900"/>
      <c r="T20" s="901"/>
      <c r="U20" s="319"/>
      <c r="V20" s="320"/>
      <c r="W20" s="711"/>
      <c r="X20" s="711"/>
      <c r="Y20" s="480"/>
      <c r="Z20" s="712"/>
      <c r="AA20" s="60"/>
    </row>
    <row r="21" spans="2:27" s="8" customFormat="1" ht="16.5" customHeight="1">
      <c r="B21" s="55"/>
      <c r="C21" s="151"/>
      <c r="D21" s="151"/>
      <c r="E21" s="151"/>
      <c r="F21" s="481"/>
      <c r="G21" s="902"/>
      <c r="H21" s="482"/>
      <c r="I21" s="903"/>
      <c r="J21" s="904"/>
      <c r="K21" s="905"/>
      <c r="L21" s="728"/>
      <c r="M21" s="729"/>
      <c r="N21" s="906"/>
      <c r="O21" s="158"/>
      <c r="P21" s="685"/>
      <c r="Q21" s="732"/>
      <c r="R21" s="907"/>
      <c r="S21" s="734"/>
      <c r="T21" s="735"/>
      <c r="U21" s="332"/>
      <c r="V21" s="333"/>
      <c r="W21" s="736"/>
      <c r="X21" s="736"/>
      <c r="Y21" s="685"/>
      <c r="Z21" s="908"/>
      <c r="AA21" s="60"/>
    </row>
    <row r="22" spans="2:27" s="8" customFormat="1" ht="16.5" customHeight="1">
      <c r="B22" s="55"/>
      <c r="C22" s="151">
        <v>93</v>
      </c>
      <c r="D22" s="151">
        <v>245637</v>
      </c>
      <c r="E22" s="170">
        <v>668</v>
      </c>
      <c r="F22" s="738" t="s">
        <v>271</v>
      </c>
      <c r="G22" s="683" t="s">
        <v>375</v>
      </c>
      <c r="H22" s="197">
        <v>80</v>
      </c>
      <c r="I22" s="341">
        <f aca="true" t="shared" si="0" ref="I22:I41">H22*$H$16</f>
        <v>25.52</v>
      </c>
      <c r="J22" s="443">
        <v>40981.3125</v>
      </c>
      <c r="K22" s="202">
        <v>40981.67013888889</v>
      </c>
      <c r="L22" s="445">
        <f aca="true" t="shared" si="1" ref="L22:L41">IF(F22="","",(K22-J22)*24)</f>
        <v>8.583333333372138</v>
      </c>
      <c r="M22" s="446">
        <f aca="true" t="shared" si="2" ref="M22:M41">IF(F22="","",ROUND((K22-J22)*24*60,0))</f>
        <v>515</v>
      </c>
      <c r="N22" s="179" t="s">
        <v>253</v>
      </c>
      <c r="O22" s="254" t="str">
        <f aca="true" t="shared" si="3" ref="O22:O41">IF(F22="","","--")</f>
        <v>--</v>
      </c>
      <c r="P22" s="181" t="str">
        <f aca="true" t="shared" si="4" ref="P22:P41">IF(F22="","",IF(OR(N22="P",N22="RP"),"--","NO"))</f>
        <v>--</v>
      </c>
      <c r="Q22" s="739">
        <f aca="true" t="shared" si="5" ref="Q22:Q41">IF(OR(N22="P",N22="RP"),$H$17/10,$H$17)</f>
        <v>2</v>
      </c>
      <c r="R22" s="740">
        <f aca="true" t="shared" si="6" ref="R22:R41">IF(N22="P",I22*Q22*ROUND(M22/60,2),"--")</f>
        <v>437.9232</v>
      </c>
      <c r="S22" s="734" t="str">
        <f aca="true" t="shared" si="7" ref="S22:S41">IF(AND(N22="F",P22="NO"),I22*Q22,"--")</f>
        <v>--</v>
      </c>
      <c r="T22" s="735" t="str">
        <f aca="true" t="shared" si="8" ref="T22:T41">IF(N22="F",I22*Q22*ROUND(M22/60,2),"--")</f>
        <v>--</v>
      </c>
      <c r="U22" s="352" t="str">
        <f aca="true" t="shared" si="9" ref="U22:U41">IF(AND(N22="R",P22="NO"),I22*Q22*O22/100,"--")</f>
        <v>--</v>
      </c>
      <c r="V22" s="353" t="str">
        <f aca="true" t="shared" si="10" ref="V22:V41">IF(N22="R",I22*Q22*O22/100*ROUND(M22/60,2),"--")</f>
        <v>--</v>
      </c>
      <c r="W22" s="736" t="str">
        <f aca="true" t="shared" si="11" ref="W22:W41">IF(N22="RF",I22*Q22*ROUND(M22/60,2),"--")</f>
        <v>--</v>
      </c>
      <c r="X22" s="687" t="str">
        <f aca="true" t="shared" si="12" ref="X22:X41">IF(N22="RP",I22*Q22*O22/100*ROUND(M22/60,2),"--")</f>
        <v>--</v>
      </c>
      <c r="Y22" s="181" t="str">
        <f aca="true" t="shared" si="13" ref="Y22:Y41">IF(F22="","","SI")</f>
        <v>SI</v>
      </c>
      <c r="Z22" s="449">
        <f aca="true" t="shared" si="14" ref="Z22:Z41">IF(F22="","",SUM(R22:X22)*IF(Y22="SI",1,2)*IF(AND(O22&lt;&gt;"--",N22="RF"),O22/100,1))</f>
        <v>437.9232</v>
      </c>
      <c r="AA22" s="60"/>
    </row>
    <row r="23" spans="2:27" s="8" customFormat="1" ht="16.5" customHeight="1">
      <c r="B23" s="55"/>
      <c r="C23" s="151">
        <v>94</v>
      </c>
      <c r="D23" s="151">
        <v>245646</v>
      </c>
      <c r="E23" s="151">
        <v>668</v>
      </c>
      <c r="F23" s="738" t="s">
        <v>271</v>
      </c>
      <c r="G23" s="683" t="s">
        <v>375</v>
      </c>
      <c r="H23" s="197">
        <v>80</v>
      </c>
      <c r="I23" s="341">
        <f t="shared" si="0"/>
        <v>25.52</v>
      </c>
      <c r="J23" s="443">
        <v>40982.31527777778</v>
      </c>
      <c r="K23" s="202">
        <v>40982.69513888889</v>
      </c>
      <c r="L23" s="445">
        <f t="shared" si="1"/>
        <v>9.11666666669771</v>
      </c>
      <c r="M23" s="446">
        <f t="shared" si="2"/>
        <v>547</v>
      </c>
      <c r="N23" s="179" t="s">
        <v>253</v>
      </c>
      <c r="O23" s="254" t="str">
        <f t="shared" si="3"/>
        <v>--</v>
      </c>
      <c r="P23" s="181" t="str">
        <f t="shared" si="4"/>
        <v>--</v>
      </c>
      <c r="Q23" s="739">
        <f t="shared" si="5"/>
        <v>2</v>
      </c>
      <c r="R23" s="740">
        <f t="shared" si="6"/>
        <v>465.48479999999995</v>
      </c>
      <c r="S23" s="734" t="str">
        <f t="shared" si="7"/>
        <v>--</v>
      </c>
      <c r="T23" s="735" t="str">
        <f t="shared" si="8"/>
        <v>--</v>
      </c>
      <c r="U23" s="352" t="str">
        <f t="shared" si="9"/>
        <v>--</v>
      </c>
      <c r="V23" s="353" t="str">
        <f t="shared" si="10"/>
        <v>--</v>
      </c>
      <c r="W23" s="736" t="str">
        <f t="shared" si="11"/>
        <v>--</v>
      </c>
      <c r="X23" s="687" t="str">
        <f t="shared" si="12"/>
        <v>--</v>
      </c>
      <c r="Y23" s="181" t="str">
        <f t="shared" si="13"/>
        <v>SI</v>
      </c>
      <c r="Z23" s="449">
        <f t="shared" si="14"/>
        <v>465.48479999999995</v>
      </c>
      <c r="AA23" s="60"/>
    </row>
    <row r="24" spans="2:27" s="8" customFormat="1" ht="16.5" customHeight="1">
      <c r="B24" s="55"/>
      <c r="C24" s="151">
        <v>95</v>
      </c>
      <c r="D24" s="151">
        <v>245648</v>
      </c>
      <c r="E24" s="151">
        <v>668</v>
      </c>
      <c r="F24" s="738" t="s">
        <v>271</v>
      </c>
      <c r="G24" s="683" t="s">
        <v>375</v>
      </c>
      <c r="H24" s="197">
        <v>80</v>
      </c>
      <c r="I24" s="341">
        <f t="shared" si="0"/>
        <v>25.52</v>
      </c>
      <c r="J24" s="443">
        <v>40983.31319444445</v>
      </c>
      <c r="K24" s="202">
        <v>40983.67083333333</v>
      </c>
      <c r="L24" s="445">
        <f t="shared" si="1"/>
        <v>8.583333333197515</v>
      </c>
      <c r="M24" s="446">
        <f t="shared" si="2"/>
        <v>515</v>
      </c>
      <c r="N24" s="179" t="s">
        <v>253</v>
      </c>
      <c r="O24" s="254" t="str">
        <f t="shared" si="3"/>
        <v>--</v>
      </c>
      <c r="P24" s="181" t="str">
        <f t="shared" si="4"/>
        <v>--</v>
      </c>
      <c r="Q24" s="739">
        <f t="shared" si="5"/>
        <v>2</v>
      </c>
      <c r="R24" s="740">
        <f t="shared" si="6"/>
        <v>437.9232</v>
      </c>
      <c r="S24" s="734" t="str">
        <f t="shared" si="7"/>
        <v>--</v>
      </c>
      <c r="T24" s="735" t="str">
        <f t="shared" si="8"/>
        <v>--</v>
      </c>
      <c r="U24" s="352" t="str">
        <f t="shared" si="9"/>
        <v>--</v>
      </c>
      <c r="V24" s="353" t="str">
        <f t="shared" si="10"/>
        <v>--</v>
      </c>
      <c r="W24" s="736" t="str">
        <f t="shared" si="11"/>
        <v>--</v>
      </c>
      <c r="X24" s="687" t="str">
        <f t="shared" si="12"/>
        <v>--</v>
      </c>
      <c r="Y24" s="181" t="str">
        <f t="shared" si="13"/>
        <v>SI</v>
      </c>
      <c r="Z24" s="449">
        <f t="shared" si="14"/>
        <v>437.9232</v>
      </c>
      <c r="AA24" s="60"/>
    </row>
    <row r="25" spans="2:27" s="8" customFormat="1" ht="16.5" customHeight="1">
      <c r="B25" s="55"/>
      <c r="C25" s="151">
        <v>96</v>
      </c>
      <c r="D25" s="151">
        <v>245655</v>
      </c>
      <c r="E25" s="151">
        <v>668</v>
      </c>
      <c r="F25" s="738" t="s">
        <v>271</v>
      </c>
      <c r="G25" s="683" t="s">
        <v>375</v>
      </c>
      <c r="H25" s="197">
        <v>80</v>
      </c>
      <c r="I25" s="341">
        <f t="shared" si="0"/>
        <v>25.52</v>
      </c>
      <c r="J25" s="443">
        <v>40984.33472222222</v>
      </c>
      <c r="K25" s="202">
        <v>40984.66527777778</v>
      </c>
      <c r="L25" s="445">
        <f t="shared" si="1"/>
        <v>7.933333333348855</v>
      </c>
      <c r="M25" s="446">
        <f t="shared" si="2"/>
        <v>476</v>
      </c>
      <c r="N25" s="179" t="s">
        <v>253</v>
      </c>
      <c r="O25" s="254" t="str">
        <f t="shared" si="3"/>
        <v>--</v>
      </c>
      <c r="P25" s="181" t="str">
        <f t="shared" si="4"/>
        <v>--</v>
      </c>
      <c r="Q25" s="739">
        <f t="shared" si="5"/>
        <v>2</v>
      </c>
      <c r="R25" s="740">
        <f t="shared" si="6"/>
        <v>404.74719999999996</v>
      </c>
      <c r="S25" s="734" t="str">
        <f t="shared" si="7"/>
        <v>--</v>
      </c>
      <c r="T25" s="735" t="str">
        <f t="shared" si="8"/>
        <v>--</v>
      </c>
      <c r="U25" s="352" t="str">
        <f t="shared" si="9"/>
        <v>--</v>
      </c>
      <c r="V25" s="353" t="str">
        <f t="shared" si="10"/>
        <v>--</v>
      </c>
      <c r="W25" s="736" t="str">
        <f t="shared" si="11"/>
        <v>--</v>
      </c>
      <c r="X25" s="687" t="str">
        <f t="shared" si="12"/>
        <v>--</v>
      </c>
      <c r="Y25" s="181" t="str">
        <f t="shared" si="13"/>
        <v>SI</v>
      </c>
      <c r="Z25" s="449">
        <f t="shared" si="14"/>
        <v>404.74719999999996</v>
      </c>
      <c r="AA25" s="741"/>
    </row>
    <row r="26" spans="2:27" s="8" customFormat="1" ht="16.5" customHeight="1">
      <c r="B26" s="55"/>
      <c r="C26" s="151">
        <v>97</v>
      </c>
      <c r="D26" s="151">
        <v>245656</v>
      </c>
      <c r="E26" s="151">
        <v>668</v>
      </c>
      <c r="F26" s="738" t="s">
        <v>271</v>
      </c>
      <c r="G26" s="683" t="s">
        <v>375</v>
      </c>
      <c r="H26" s="197">
        <v>80</v>
      </c>
      <c r="I26" s="341">
        <f t="shared" si="0"/>
        <v>25.52</v>
      </c>
      <c r="J26" s="443">
        <v>40985.30347222222</v>
      </c>
      <c r="K26" s="202">
        <v>40985.486805555556</v>
      </c>
      <c r="L26" s="445">
        <f t="shared" si="1"/>
        <v>4.400000000023283</v>
      </c>
      <c r="M26" s="446">
        <f t="shared" si="2"/>
        <v>264</v>
      </c>
      <c r="N26" s="179" t="s">
        <v>253</v>
      </c>
      <c r="O26" s="254" t="str">
        <f t="shared" si="3"/>
        <v>--</v>
      </c>
      <c r="P26" s="181" t="str">
        <f t="shared" si="4"/>
        <v>--</v>
      </c>
      <c r="Q26" s="739">
        <f t="shared" si="5"/>
        <v>2</v>
      </c>
      <c r="R26" s="740">
        <f t="shared" si="6"/>
        <v>224.57600000000002</v>
      </c>
      <c r="S26" s="734" t="str">
        <f t="shared" si="7"/>
        <v>--</v>
      </c>
      <c r="T26" s="735" t="str">
        <f t="shared" si="8"/>
        <v>--</v>
      </c>
      <c r="U26" s="352" t="str">
        <f t="shared" si="9"/>
        <v>--</v>
      </c>
      <c r="V26" s="353" t="str">
        <f t="shared" si="10"/>
        <v>--</v>
      </c>
      <c r="W26" s="736" t="str">
        <f t="shared" si="11"/>
        <v>--</v>
      </c>
      <c r="X26" s="687" t="str">
        <f t="shared" si="12"/>
        <v>--</v>
      </c>
      <c r="Y26" s="181" t="str">
        <f t="shared" si="13"/>
        <v>SI</v>
      </c>
      <c r="Z26" s="449">
        <f t="shared" si="14"/>
        <v>224.57600000000002</v>
      </c>
      <c r="AA26" s="741"/>
    </row>
    <row r="27" spans="2:27" s="8" customFormat="1" ht="16.5" customHeight="1">
      <c r="B27" s="55"/>
      <c r="C27" s="151"/>
      <c r="D27" s="151"/>
      <c r="E27" s="151"/>
      <c r="F27" s="483"/>
      <c r="G27" s="440"/>
      <c r="H27" s="484"/>
      <c r="I27" s="341">
        <f t="shared" si="0"/>
        <v>0</v>
      </c>
      <c r="J27" s="443"/>
      <c r="K27" s="202"/>
      <c r="L27" s="445">
        <f t="shared" si="1"/>
      </c>
      <c r="M27" s="446">
        <f t="shared" si="2"/>
      </c>
      <c r="N27" s="179"/>
      <c r="O27" s="254">
        <f t="shared" si="3"/>
      </c>
      <c r="P27" s="181">
        <f t="shared" si="4"/>
      </c>
      <c r="Q27" s="739">
        <f t="shared" si="5"/>
        <v>20</v>
      </c>
      <c r="R27" s="740" t="str">
        <f t="shared" si="6"/>
        <v>--</v>
      </c>
      <c r="S27" s="734" t="str">
        <f t="shared" si="7"/>
        <v>--</v>
      </c>
      <c r="T27" s="735" t="str">
        <f t="shared" si="8"/>
        <v>--</v>
      </c>
      <c r="U27" s="352" t="str">
        <f t="shared" si="9"/>
        <v>--</v>
      </c>
      <c r="V27" s="353" t="str">
        <f t="shared" si="10"/>
        <v>--</v>
      </c>
      <c r="W27" s="736" t="str">
        <f t="shared" si="11"/>
        <v>--</v>
      </c>
      <c r="X27" s="687" t="str">
        <f t="shared" si="12"/>
        <v>--</v>
      </c>
      <c r="Y27" s="181">
        <f t="shared" si="13"/>
      </c>
      <c r="Z27" s="449">
        <f t="shared" si="14"/>
      </c>
      <c r="AA27" s="741"/>
    </row>
    <row r="28" spans="2:27" s="8" customFormat="1" ht="16.5" customHeight="1">
      <c r="B28" s="55"/>
      <c r="C28" s="151"/>
      <c r="D28" s="151"/>
      <c r="E28" s="170"/>
      <c r="F28" s="483"/>
      <c r="G28" s="440"/>
      <c r="H28" s="484"/>
      <c r="I28" s="341">
        <f t="shared" si="0"/>
        <v>0</v>
      </c>
      <c r="J28" s="443"/>
      <c r="K28" s="202"/>
      <c r="L28" s="445">
        <f t="shared" si="1"/>
      </c>
      <c r="M28" s="446">
        <f t="shared" si="2"/>
      </c>
      <c r="N28" s="179"/>
      <c r="O28" s="254">
        <f t="shared" si="3"/>
      </c>
      <c r="P28" s="181">
        <f t="shared" si="4"/>
      </c>
      <c r="Q28" s="739">
        <f t="shared" si="5"/>
        <v>20</v>
      </c>
      <c r="R28" s="740" t="str">
        <f t="shared" si="6"/>
        <v>--</v>
      </c>
      <c r="S28" s="734" t="str">
        <f t="shared" si="7"/>
        <v>--</v>
      </c>
      <c r="T28" s="735" t="str">
        <f t="shared" si="8"/>
        <v>--</v>
      </c>
      <c r="U28" s="352" t="str">
        <f t="shared" si="9"/>
        <v>--</v>
      </c>
      <c r="V28" s="353" t="str">
        <f t="shared" si="10"/>
        <v>--</v>
      </c>
      <c r="W28" s="736" t="str">
        <f t="shared" si="11"/>
        <v>--</v>
      </c>
      <c r="X28" s="687" t="str">
        <f t="shared" si="12"/>
        <v>--</v>
      </c>
      <c r="Y28" s="181">
        <f t="shared" si="13"/>
      </c>
      <c r="Z28" s="449">
        <f t="shared" si="14"/>
      </c>
      <c r="AA28" s="741"/>
    </row>
    <row r="29" spans="2:27" s="8" customFormat="1" ht="16.5" customHeight="1">
      <c r="B29" s="55"/>
      <c r="C29" s="151"/>
      <c r="D29" s="151"/>
      <c r="E29" s="151"/>
      <c r="F29" s="483"/>
      <c r="G29" s="440"/>
      <c r="H29" s="484"/>
      <c r="I29" s="341">
        <f t="shared" si="0"/>
        <v>0</v>
      </c>
      <c r="J29" s="443"/>
      <c r="K29" s="202"/>
      <c r="L29" s="445">
        <f t="shared" si="1"/>
      </c>
      <c r="M29" s="446">
        <f t="shared" si="2"/>
      </c>
      <c r="N29" s="179"/>
      <c r="O29" s="254">
        <f t="shared" si="3"/>
      </c>
      <c r="P29" s="181">
        <f t="shared" si="4"/>
      </c>
      <c r="Q29" s="739">
        <f t="shared" si="5"/>
        <v>20</v>
      </c>
      <c r="R29" s="740" t="str">
        <f t="shared" si="6"/>
        <v>--</v>
      </c>
      <c r="S29" s="734" t="str">
        <f t="shared" si="7"/>
        <v>--</v>
      </c>
      <c r="T29" s="735" t="str">
        <f t="shared" si="8"/>
        <v>--</v>
      </c>
      <c r="U29" s="352" t="str">
        <f t="shared" si="9"/>
        <v>--</v>
      </c>
      <c r="V29" s="353" t="str">
        <f t="shared" si="10"/>
        <v>--</v>
      </c>
      <c r="W29" s="736" t="str">
        <f t="shared" si="11"/>
        <v>--</v>
      </c>
      <c r="X29" s="687" t="str">
        <f t="shared" si="12"/>
        <v>--</v>
      </c>
      <c r="Y29" s="181">
        <f t="shared" si="13"/>
      </c>
      <c r="Z29" s="449">
        <f t="shared" si="14"/>
      </c>
      <c r="AA29" s="741"/>
    </row>
    <row r="30" spans="2:27" s="8" customFormat="1" ht="16.5" customHeight="1">
      <c r="B30" s="55"/>
      <c r="C30" s="151"/>
      <c r="D30" s="151"/>
      <c r="E30" s="170"/>
      <c r="F30" s="483"/>
      <c r="G30" s="440"/>
      <c r="H30" s="484"/>
      <c r="I30" s="341">
        <f t="shared" si="0"/>
        <v>0</v>
      </c>
      <c r="J30" s="443"/>
      <c r="K30" s="202"/>
      <c r="L30" s="445">
        <f t="shared" si="1"/>
      </c>
      <c r="M30" s="446">
        <f t="shared" si="2"/>
      </c>
      <c r="N30" s="179"/>
      <c r="O30" s="254">
        <f t="shared" si="3"/>
      </c>
      <c r="P30" s="181">
        <f t="shared" si="4"/>
      </c>
      <c r="Q30" s="739">
        <f t="shared" si="5"/>
        <v>20</v>
      </c>
      <c r="R30" s="740" t="str">
        <f t="shared" si="6"/>
        <v>--</v>
      </c>
      <c r="S30" s="734" t="str">
        <f t="shared" si="7"/>
        <v>--</v>
      </c>
      <c r="T30" s="735" t="str">
        <f t="shared" si="8"/>
        <v>--</v>
      </c>
      <c r="U30" s="352" t="str">
        <f t="shared" si="9"/>
        <v>--</v>
      </c>
      <c r="V30" s="353" t="str">
        <f t="shared" si="10"/>
        <v>--</v>
      </c>
      <c r="W30" s="736" t="str">
        <f t="shared" si="11"/>
        <v>--</v>
      </c>
      <c r="X30" s="687" t="str">
        <f t="shared" si="12"/>
        <v>--</v>
      </c>
      <c r="Y30" s="181">
        <f t="shared" si="13"/>
      </c>
      <c r="Z30" s="449">
        <f t="shared" si="14"/>
      </c>
      <c r="AA30" s="741"/>
    </row>
    <row r="31" spans="2:27" s="8" customFormat="1" ht="16.5" customHeight="1">
      <c r="B31" s="55"/>
      <c r="C31" s="151"/>
      <c r="D31" s="151"/>
      <c r="E31" s="151"/>
      <c r="F31" s="483"/>
      <c r="G31" s="440"/>
      <c r="H31" s="484"/>
      <c r="I31" s="341">
        <f t="shared" si="0"/>
        <v>0</v>
      </c>
      <c r="J31" s="443"/>
      <c r="K31" s="202"/>
      <c r="L31" s="445">
        <f t="shared" si="1"/>
      </c>
      <c r="M31" s="446">
        <f t="shared" si="2"/>
      </c>
      <c r="N31" s="179"/>
      <c r="O31" s="254">
        <f t="shared" si="3"/>
      </c>
      <c r="P31" s="181">
        <f t="shared" si="4"/>
      </c>
      <c r="Q31" s="739">
        <f t="shared" si="5"/>
        <v>20</v>
      </c>
      <c r="R31" s="740" t="str">
        <f t="shared" si="6"/>
        <v>--</v>
      </c>
      <c r="S31" s="734" t="str">
        <f t="shared" si="7"/>
        <v>--</v>
      </c>
      <c r="T31" s="735" t="str">
        <f t="shared" si="8"/>
        <v>--</v>
      </c>
      <c r="U31" s="352" t="str">
        <f t="shared" si="9"/>
        <v>--</v>
      </c>
      <c r="V31" s="353" t="str">
        <f t="shared" si="10"/>
        <v>--</v>
      </c>
      <c r="W31" s="736" t="str">
        <f t="shared" si="11"/>
        <v>--</v>
      </c>
      <c r="X31" s="687" t="str">
        <f t="shared" si="12"/>
        <v>--</v>
      </c>
      <c r="Y31" s="181">
        <f t="shared" si="13"/>
      </c>
      <c r="Z31" s="449">
        <f t="shared" si="14"/>
      </c>
      <c r="AA31" s="60"/>
    </row>
    <row r="32" spans="2:27" s="8" customFormat="1" ht="16.5" customHeight="1">
      <c r="B32" s="55"/>
      <c r="C32" s="151"/>
      <c r="D32" s="151"/>
      <c r="E32" s="170"/>
      <c r="F32" s="483"/>
      <c r="G32" s="440"/>
      <c r="H32" s="484"/>
      <c r="I32" s="341">
        <f t="shared" si="0"/>
        <v>0</v>
      </c>
      <c r="J32" s="443"/>
      <c r="K32" s="202"/>
      <c r="L32" s="445">
        <f t="shared" si="1"/>
      </c>
      <c r="M32" s="446">
        <f t="shared" si="2"/>
      </c>
      <c r="N32" s="179"/>
      <c r="O32" s="254">
        <f t="shared" si="3"/>
      </c>
      <c r="P32" s="181">
        <f t="shared" si="4"/>
      </c>
      <c r="Q32" s="739">
        <f t="shared" si="5"/>
        <v>20</v>
      </c>
      <c r="R32" s="740" t="str">
        <f t="shared" si="6"/>
        <v>--</v>
      </c>
      <c r="S32" s="734" t="str">
        <f t="shared" si="7"/>
        <v>--</v>
      </c>
      <c r="T32" s="735" t="str">
        <f t="shared" si="8"/>
        <v>--</v>
      </c>
      <c r="U32" s="352" t="str">
        <f t="shared" si="9"/>
        <v>--</v>
      </c>
      <c r="V32" s="353" t="str">
        <f t="shared" si="10"/>
        <v>--</v>
      </c>
      <c r="W32" s="736" t="str">
        <f t="shared" si="11"/>
        <v>--</v>
      </c>
      <c r="X32" s="687" t="str">
        <f t="shared" si="12"/>
        <v>--</v>
      </c>
      <c r="Y32" s="181">
        <f t="shared" si="13"/>
      </c>
      <c r="Z32" s="449">
        <f t="shared" si="14"/>
      </c>
      <c r="AA32" s="60"/>
    </row>
    <row r="33" spans="2:27" s="8" customFormat="1" ht="16.5" customHeight="1">
      <c r="B33" s="55"/>
      <c r="C33" s="151"/>
      <c r="D33" s="151"/>
      <c r="E33" s="151"/>
      <c r="F33" s="483"/>
      <c r="G33" s="440"/>
      <c r="H33" s="484"/>
      <c r="I33" s="341">
        <f t="shared" si="0"/>
        <v>0</v>
      </c>
      <c r="J33" s="443"/>
      <c r="K33" s="202"/>
      <c r="L33" s="445">
        <f t="shared" si="1"/>
      </c>
      <c r="M33" s="446">
        <f t="shared" si="2"/>
      </c>
      <c r="N33" s="179"/>
      <c r="O33" s="254">
        <f t="shared" si="3"/>
      </c>
      <c r="P33" s="181">
        <f t="shared" si="4"/>
      </c>
      <c r="Q33" s="739">
        <f t="shared" si="5"/>
        <v>20</v>
      </c>
      <c r="R33" s="740" t="str">
        <f t="shared" si="6"/>
        <v>--</v>
      </c>
      <c r="S33" s="734" t="str">
        <f t="shared" si="7"/>
        <v>--</v>
      </c>
      <c r="T33" s="735" t="str">
        <f t="shared" si="8"/>
        <v>--</v>
      </c>
      <c r="U33" s="352" t="str">
        <f t="shared" si="9"/>
        <v>--</v>
      </c>
      <c r="V33" s="353" t="str">
        <f t="shared" si="10"/>
        <v>--</v>
      </c>
      <c r="W33" s="736" t="str">
        <f t="shared" si="11"/>
        <v>--</v>
      </c>
      <c r="X33" s="687" t="str">
        <f t="shared" si="12"/>
        <v>--</v>
      </c>
      <c r="Y33" s="181">
        <f t="shared" si="13"/>
      </c>
      <c r="Z33" s="449">
        <f t="shared" si="14"/>
      </c>
      <c r="AA33" s="60"/>
    </row>
    <row r="34" spans="2:27" s="8" customFormat="1" ht="16.5" customHeight="1">
      <c r="B34" s="55"/>
      <c r="C34" s="151"/>
      <c r="D34" s="151"/>
      <c r="E34" s="170"/>
      <c r="F34" s="483"/>
      <c r="G34" s="440"/>
      <c r="H34" s="484"/>
      <c r="I34" s="341">
        <f t="shared" si="0"/>
        <v>0</v>
      </c>
      <c r="J34" s="443"/>
      <c r="K34" s="202"/>
      <c r="L34" s="445">
        <f t="shared" si="1"/>
      </c>
      <c r="M34" s="446">
        <f t="shared" si="2"/>
      </c>
      <c r="N34" s="179"/>
      <c r="O34" s="254">
        <f t="shared" si="3"/>
      </c>
      <c r="P34" s="181">
        <f t="shared" si="4"/>
      </c>
      <c r="Q34" s="739">
        <f t="shared" si="5"/>
        <v>20</v>
      </c>
      <c r="R34" s="740" t="str">
        <f t="shared" si="6"/>
        <v>--</v>
      </c>
      <c r="S34" s="734" t="str">
        <f t="shared" si="7"/>
        <v>--</v>
      </c>
      <c r="T34" s="735" t="str">
        <f t="shared" si="8"/>
        <v>--</v>
      </c>
      <c r="U34" s="352" t="str">
        <f t="shared" si="9"/>
        <v>--</v>
      </c>
      <c r="V34" s="353" t="str">
        <f t="shared" si="10"/>
        <v>--</v>
      </c>
      <c r="W34" s="736" t="str">
        <f t="shared" si="11"/>
        <v>--</v>
      </c>
      <c r="X34" s="687" t="str">
        <f t="shared" si="12"/>
        <v>--</v>
      </c>
      <c r="Y34" s="181">
        <f t="shared" si="13"/>
      </c>
      <c r="Z34" s="449">
        <f t="shared" si="14"/>
      </c>
      <c r="AA34" s="60"/>
    </row>
    <row r="35" spans="2:27" s="8" customFormat="1" ht="16.5" customHeight="1">
      <c r="B35" s="55"/>
      <c r="C35" s="151"/>
      <c r="D35" s="151"/>
      <c r="E35" s="151"/>
      <c r="F35" s="483"/>
      <c r="G35" s="440"/>
      <c r="H35" s="484"/>
      <c r="I35" s="341">
        <f t="shared" si="0"/>
        <v>0</v>
      </c>
      <c r="J35" s="443"/>
      <c r="K35" s="202"/>
      <c r="L35" s="445">
        <f t="shared" si="1"/>
      </c>
      <c r="M35" s="446">
        <f t="shared" si="2"/>
      </c>
      <c r="N35" s="179"/>
      <c r="O35" s="254">
        <f t="shared" si="3"/>
      </c>
      <c r="P35" s="181">
        <f t="shared" si="4"/>
      </c>
      <c r="Q35" s="739">
        <f t="shared" si="5"/>
        <v>20</v>
      </c>
      <c r="R35" s="740" t="str">
        <f t="shared" si="6"/>
        <v>--</v>
      </c>
      <c r="S35" s="734" t="str">
        <f t="shared" si="7"/>
        <v>--</v>
      </c>
      <c r="T35" s="735" t="str">
        <f t="shared" si="8"/>
        <v>--</v>
      </c>
      <c r="U35" s="352" t="str">
        <f t="shared" si="9"/>
        <v>--</v>
      </c>
      <c r="V35" s="353" t="str">
        <f t="shared" si="10"/>
        <v>--</v>
      </c>
      <c r="W35" s="736" t="str">
        <f t="shared" si="11"/>
        <v>--</v>
      </c>
      <c r="X35" s="687" t="str">
        <f t="shared" si="12"/>
        <v>--</v>
      </c>
      <c r="Y35" s="181">
        <f t="shared" si="13"/>
      </c>
      <c r="Z35" s="449">
        <f t="shared" si="14"/>
      </c>
      <c r="AA35" s="60"/>
    </row>
    <row r="36" spans="2:27" s="8" customFormat="1" ht="16.5" customHeight="1">
      <c r="B36" s="55"/>
      <c r="C36" s="151"/>
      <c r="D36" s="151"/>
      <c r="E36" s="170"/>
      <c r="F36" s="483"/>
      <c r="G36" s="440"/>
      <c r="H36" s="484"/>
      <c r="I36" s="341">
        <f t="shared" si="0"/>
        <v>0</v>
      </c>
      <c r="J36" s="443"/>
      <c r="K36" s="202"/>
      <c r="L36" s="445">
        <f t="shared" si="1"/>
      </c>
      <c r="M36" s="446">
        <f t="shared" si="2"/>
      </c>
      <c r="N36" s="179"/>
      <c r="O36" s="254">
        <f t="shared" si="3"/>
      </c>
      <c r="P36" s="181">
        <f t="shared" si="4"/>
      </c>
      <c r="Q36" s="739">
        <f t="shared" si="5"/>
        <v>20</v>
      </c>
      <c r="R36" s="740" t="str">
        <f t="shared" si="6"/>
        <v>--</v>
      </c>
      <c r="S36" s="734" t="str">
        <f t="shared" si="7"/>
        <v>--</v>
      </c>
      <c r="T36" s="735" t="str">
        <f t="shared" si="8"/>
        <v>--</v>
      </c>
      <c r="U36" s="352" t="str">
        <f t="shared" si="9"/>
        <v>--</v>
      </c>
      <c r="V36" s="353" t="str">
        <f t="shared" si="10"/>
        <v>--</v>
      </c>
      <c r="W36" s="736" t="str">
        <f t="shared" si="11"/>
        <v>--</v>
      </c>
      <c r="X36" s="687" t="str">
        <f t="shared" si="12"/>
        <v>--</v>
      </c>
      <c r="Y36" s="181">
        <f t="shared" si="13"/>
      </c>
      <c r="Z36" s="449">
        <f t="shared" si="14"/>
      </c>
      <c r="AA36" s="60"/>
    </row>
    <row r="37" spans="2:27" s="8" customFormat="1" ht="16.5" customHeight="1">
      <c r="B37" s="55"/>
      <c r="C37" s="151"/>
      <c r="D37" s="151"/>
      <c r="E37" s="151"/>
      <c r="F37" s="483"/>
      <c r="G37" s="440"/>
      <c r="H37" s="484"/>
      <c r="I37" s="341">
        <f t="shared" si="0"/>
        <v>0</v>
      </c>
      <c r="J37" s="443"/>
      <c r="K37" s="202"/>
      <c r="L37" s="445">
        <f t="shared" si="1"/>
      </c>
      <c r="M37" s="446">
        <f t="shared" si="2"/>
      </c>
      <c r="N37" s="179"/>
      <c r="O37" s="254">
        <f t="shared" si="3"/>
      </c>
      <c r="P37" s="181">
        <f t="shared" si="4"/>
      </c>
      <c r="Q37" s="739">
        <f t="shared" si="5"/>
        <v>20</v>
      </c>
      <c r="R37" s="740" t="str">
        <f t="shared" si="6"/>
        <v>--</v>
      </c>
      <c r="S37" s="734" t="str">
        <f t="shared" si="7"/>
        <v>--</v>
      </c>
      <c r="T37" s="735" t="str">
        <f t="shared" si="8"/>
        <v>--</v>
      </c>
      <c r="U37" s="352" t="str">
        <f t="shared" si="9"/>
        <v>--</v>
      </c>
      <c r="V37" s="353" t="str">
        <f t="shared" si="10"/>
        <v>--</v>
      </c>
      <c r="W37" s="736" t="str">
        <f t="shared" si="11"/>
        <v>--</v>
      </c>
      <c r="X37" s="687" t="str">
        <f t="shared" si="12"/>
        <v>--</v>
      </c>
      <c r="Y37" s="181">
        <f t="shared" si="13"/>
      </c>
      <c r="Z37" s="449">
        <f t="shared" si="14"/>
      </c>
      <c r="AA37" s="60"/>
    </row>
    <row r="38" spans="2:27" s="8" customFormat="1" ht="16.5" customHeight="1">
      <c r="B38" s="55"/>
      <c r="C38" s="151"/>
      <c r="D38" s="151"/>
      <c r="E38" s="170"/>
      <c r="F38" s="483"/>
      <c r="G38" s="440"/>
      <c r="H38" s="484"/>
      <c r="I38" s="341">
        <f t="shared" si="0"/>
        <v>0</v>
      </c>
      <c r="J38" s="443"/>
      <c r="K38" s="202"/>
      <c r="L38" s="445">
        <f t="shared" si="1"/>
      </c>
      <c r="M38" s="446">
        <f t="shared" si="2"/>
      </c>
      <c r="N38" s="179"/>
      <c r="O38" s="254">
        <f t="shared" si="3"/>
      </c>
      <c r="P38" s="181">
        <f t="shared" si="4"/>
      </c>
      <c r="Q38" s="739">
        <f t="shared" si="5"/>
        <v>20</v>
      </c>
      <c r="R38" s="740" t="str">
        <f t="shared" si="6"/>
        <v>--</v>
      </c>
      <c r="S38" s="734" t="str">
        <f t="shared" si="7"/>
        <v>--</v>
      </c>
      <c r="T38" s="735" t="str">
        <f t="shared" si="8"/>
        <v>--</v>
      </c>
      <c r="U38" s="352" t="str">
        <f t="shared" si="9"/>
        <v>--</v>
      </c>
      <c r="V38" s="353" t="str">
        <f t="shared" si="10"/>
        <v>--</v>
      </c>
      <c r="W38" s="736" t="str">
        <f t="shared" si="11"/>
        <v>--</v>
      </c>
      <c r="X38" s="687" t="str">
        <f t="shared" si="12"/>
        <v>--</v>
      </c>
      <c r="Y38" s="181">
        <f t="shared" si="13"/>
      </c>
      <c r="Z38" s="449">
        <f t="shared" si="14"/>
      </c>
      <c r="AA38" s="60"/>
    </row>
    <row r="39" spans="2:27" s="8" customFormat="1" ht="16.5" customHeight="1">
      <c r="B39" s="55"/>
      <c r="C39" s="151"/>
      <c r="D39" s="151"/>
      <c r="E39" s="151"/>
      <c r="F39" s="483"/>
      <c r="G39" s="440"/>
      <c r="H39" s="484"/>
      <c r="I39" s="341">
        <f t="shared" si="0"/>
        <v>0</v>
      </c>
      <c r="J39" s="443"/>
      <c r="K39" s="202"/>
      <c r="L39" s="445">
        <f t="shared" si="1"/>
      </c>
      <c r="M39" s="446">
        <f t="shared" si="2"/>
      </c>
      <c r="N39" s="179"/>
      <c r="O39" s="254">
        <f t="shared" si="3"/>
      </c>
      <c r="P39" s="181">
        <f t="shared" si="4"/>
      </c>
      <c r="Q39" s="739">
        <f t="shared" si="5"/>
        <v>20</v>
      </c>
      <c r="R39" s="740" t="str">
        <f t="shared" si="6"/>
        <v>--</v>
      </c>
      <c r="S39" s="734" t="str">
        <f t="shared" si="7"/>
        <v>--</v>
      </c>
      <c r="T39" s="735" t="str">
        <f t="shared" si="8"/>
        <v>--</v>
      </c>
      <c r="U39" s="352" t="str">
        <f t="shared" si="9"/>
        <v>--</v>
      </c>
      <c r="V39" s="353" t="str">
        <f t="shared" si="10"/>
        <v>--</v>
      </c>
      <c r="W39" s="736" t="str">
        <f t="shared" si="11"/>
        <v>--</v>
      </c>
      <c r="X39" s="687" t="str">
        <f t="shared" si="12"/>
        <v>--</v>
      </c>
      <c r="Y39" s="181">
        <f t="shared" si="13"/>
      </c>
      <c r="Z39" s="449">
        <f t="shared" si="14"/>
      </c>
      <c r="AA39" s="60"/>
    </row>
    <row r="40" spans="2:27" s="8" customFormat="1" ht="16.5" customHeight="1">
      <c r="B40" s="55"/>
      <c r="C40" s="151"/>
      <c r="D40" s="151"/>
      <c r="E40" s="170"/>
      <c r="F40" s="483"/>
      <c r="G40" s="440"/>
      <c r="H40" s="484"/>
      <c r="I40" s="341">
        <f t="shared" si="0"/>
        <v>0</v>
      </c>
      <c r="J40" s="443"/>
      <c r="K40" s="202"/>
      <c r="L40" s="445">
        <f t="shared" si="1"/>
      </c>
      <c r="M40" s="446">
        <f t="shared" si="2"/>
      </c>
      <c r="N40" s="179"/>
      <c r="O40" s="254">
        <f t="shared" si="3"/>
      </c>
      <c r="P40" s="181">
        <f t="shared" si="4"/>
      </c>
      <c r="Q40" s="739">
        <f t="shared" si="5"/>
        <v>20</v>
      </c>
      <c r="R40" s="740" t="str">
        <f t="shared" si="6"/>
        <v>--</v>
      </c>
      <c r="S40" s="734" t="str">
        <f t="shared" si="7"/>
        <v>--</v>
      </c>
      <c r="T40" s="735" t="str">
        <f t="shared" si="8"/>
        <v>--</v>
      </c>
      <c r="U40" s="352" t="str">
        <f t="shared" si="9"/>
        <v>--</v>
      </c>
      <c r="V40" s="353" t="str">
        <f t="shared" si="10"/>
        <v>--</v>
      </c>
      <c r="W40" s="736" t="str">
        <f t="shared" si="11"/>
        <v>--</v>
      </c>
      <c r="X40" s="687" t="str">
        <f t="shared" si="12"/>
        <v>--</v>
      </c>
      <c r="Y40" s="181">
        <f t="shared" si="13"/>
      </c>
      <c r="Z40" s="449">
        <f t="shared" si="14"/>
      </c>
      <c r="AA40" s="60"/>
    </row>
    <row r="41" spans="2:27" s="8" customFormat="1" ht="16.5" customHeight="1">
      <c r="B41" s="55"/>
      <c r="C41" s="151"/>
      <c r="D41" s="151"/>
      <c r="E41" s="151"/>
      <c r="F41" s="483"/>
      <c r="G41" s="440"/>
      <c r="H41" s="484"/>
      <c r="I41" s="341">
        <f t="shared" si="0"/>
        <v>0</v>
      </c>
      <c r="J41" s="443"/>
      <c r="K41" s="202"/>
      <c r="L41" s="445">
        <f t="shared" si="1"/>
      </c>
      <c r="M41" s="446">
        <f t="shared" si="2"/>
      </c>
      <c r="N41" s="179"/>
      <c r="O41" s="254">
        <f t="shared" si="3"/>
      </c>
      <c r="P41" s="181">
        <f t="shared" si="4"/>
      </c>
      <c r="Q41" s="739">
        <f t="shared" si="5"/>
        <v>20</v>
      </c>
      <c r="R41" s="740" t="str">
        <f t="shared" si="6"/>
        <v>--</v>
      </c>
      <c r="S41" s="734" t="str">
        <f t="shared" si="7"/>
        <v>--</v>
      </c>
      <c r="T41" s="735" t="str">
        <f t="shared" si="8"/>
        <v>--</v>
      </c>
      <c r="U41" s="352" t="str">
        <f t="shared" si="9"/>
        <v>--</v>
      </c>
      <c r="V41" s="353" t="str">
        <f t="shared" si="10"/>
        <v>--</v>
      </c>
      <c r="W41" s="736" t="str">
        <f t="shared" si="11"/>
        <v>--</v>
      </c>
      <c r="X41" s="687" t="str">
        <f t="shared" si="12"/>
        <v>--</v>
      </c>
      <c r="Y41" s="181">
        <f t="shared" si="13"/>
      </c>
      <c r="Z41" s="449">
        <f t="shared" si="14"/>
      </c>
      <c r="AA41" s="60"/>
    </row>
    <row r="42" spans="2:27" s="8" customFormat="1" ht="16.5" customHeight="1" thickBot="1">
      <c r="B42" s="55"/>
      <c r="C42" s="485"/>
      <c r="D42" s="485"/>
      <c r="E42" s="485"/>
      <c r="F42" s="485"/>
      <c r="G42" s="485"/>
      <c r="H42" s="485"/>
      <c r="I42" s="361"/>
      <c r="J42" s="450"/>
      <c r="K42" s="450"/>
      <c r="L42" s="451"/>
      <c r="M42" s="451"/>
      <c r="N42" s="450"/>
      <c r="O42" s="213"/>
      <c r="P42" s="212"/>
      <c r="Q42" s="742"/>
      <c r="R42" s="743"/>
      <c r="S42" s="744"/>
      <c r="T42" s="745"/>
      <c r="U42" s="373"/>
      <c r="V42" s="374"/>
      <c r="W42" s="746"/>
      <c r="X42" s="746"/>
      <c r="Y42" s="212"/>
      <c r="Z42" s="747"/>
      <c r="AA42" s="60"/>
    </row>
    <row r="43" spans="2:27" s="8" customFormat="1" ht="16.5" customHeight="1" thickBot="1" thickTop="1">
      <c r="B43" s="55"/>
      <c r="C43" s="680" t="s">
        <v>324</v>
      </c>
      <c r="D43" s="681" t="s">
        <v>332</v>
      </c>
      <c r="E43" s="226"/>
      <c r="F43" s="227"/>
      <c r="I43" s="11"/>
      <c r="J43" s="11"/>
      <c r="K43" s="11"/>
      <c r="L43" s="11"/>
      <c r="M43" s="11"/>
      <c r="N43" s="11"/>
      <c r="O43" s="11"/>
      <c r="P43" s="11"/>
      <c r="Q43" s="11"/>
      <c r="R43" s="748">
        <f aca="true" t="shared" si="15" ref="R43:X43">SUM(R20:R42)</f>
        <v>1970.6544</v>
      </c>
      <c r="S43" s="749">
        <f t="shared" si="15"/>
        <v>0</v>
      </c>
      <c r="T43" s="750">
        <f t="shared" si="15"/>
        <v>0</v>
      </c>
      <c r="U43" s="383">
        <f t="shared" si="15"/>
        <v>0</v>
      </c>
      <c r="V43" s="384">
        <f t="shared" si="15"/>
        <v>0</v>
      </c>
      <c r="W43" s="751">
        <f t="shared" si="15"/>
        <v>0</v>
      </c>
      <c r="X43" s="751">
        <f t="shared" si="15"/>
        <v>0</v>
      </c>
      <c r="Z43" s="463">
        <f>ROUND(SUM(Z20:Z42),2)</f>
        <v>1970.65</v>
      </c>
      <c r="AA43" s="752"/>
    </row>
    <row r="44" spans="2:27" s="8" customFormat="1" ht="16.5" customHeight="1" thickBot="1" thickTop="1"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3"/>
    </row>
    <row r="45" spans="6:29" ht="16.5" customHeight="1" thickTop="1">
      <c r="F45" s="486"/>
      <c r="G45" s="486"/>
      <c r="H45" s="486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</row>
    <row r="46" spans="6:29" ht="16.5" customHeight="1">
      <c r="F46" s="486"/>
      <c r="G46" s="486"/>
      <c r="H46" s="486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</row>
    <row r="47" spans="6:29" ht="16.5" customHeight="1">
      <c r="F47" s="486"/>
      <c r="G47" s="486"/>
      <c r="H47" s="486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</row>
    <row r="48" spans="6:29" ht="16.5" customHeight="1">
      <c r="F48" s="486"/>
      <c r="G48" s="486"/>
      <c r="H48" s="486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</row>
    <row r="49" spans="6:29" ht="16.5" customHeight="1">
      <c r="F49" s="486"/>
      <c r="G49" s="486"/>
      <c r="H49" s="486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</row>
    <row r="50" spans="6:29" ht="16.5" customHeight="1">
      <c r="F50" s="486"/>
      <c r="G50" s="486"/>
      <c r="H50" s="486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</row>
    <row r="51" spans="6:29" ht="16.5" customHeight="1"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</row>
    <row r="52" spans="6:29" ht="16.5" customHeight="1"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</row>
    <row r="53" spans="6:29" ht="16.5" customHeight="1"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</row>
    <row r="54" spans="6:29" ht="16.5" customHeight="1"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</row>
    <row r="55" spans="6:29" ht="16.5" customHeight="1"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</row>
    <row r="56" spans="6:29" ht="16.5" customHeight="1"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</row>
    <row r="57" spans="6:29" ht="16.5" customHeight="1"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</row>
    <row r="58" spans="6:29" ht="16.5" customHeight="1"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</row>
    <row r="59" spans="6:29" ht="16.5" customHeight="1"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</row>
    <row r="60" spans="6:29" ht="16.5" customHeight="1"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</row>
    <row r="61" spans="6:29" ht="16.5" customHeight="1"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</row>
    <row r="62" spans="6:29" ht="16.5" customHeight="1"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</row>
    <row r="63" spans="6:29" ht="16.5" customHeight="1"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</row>
    <row r="64" spans="6:29" ht="16.5" customHeight="1"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</row>
    <row r="65" spans="6:29" ht="16.5" customHeight="1"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</row>
    <row r="66" spans="6:29" ht="16.5" customHeight="1"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</row>
    <row r="67" spans="6:29" ht="16.5" customHeight="1"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</row>
    <row r="68" spans="6:29" ht="16.5" customHeight="1"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</row>
    <row r="69" spans="6:29" ht="16.5" customHeight="1"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</row>
    <row r="70" spans="6:29" ht="16.5" customHeight="1"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</row>
    <row r="71" spans="6:29" ht="16.5" customHeight="1"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</row>
    <row r="72" spans="6:29" ht="16.5" customHeight="1"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</row>
    <row r="73" spans="6:29" ht="16.5" customHeight="1"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</row>
    <row r="74" spans="6:29" ht="16.5" customHeight="1"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</row>
    <row r="75" spans="6:29" ht="16.5" customHeight="1"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</row>
    <row r="76" spans="6:29" ht="16.5" customHeight="1"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</row>
    <row r="77" spans="6:29" ht="16.5" customHeight="1"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</row>
    <row r="78" spans="6:29" ht="16.5" customHeight="1"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</row>
    <row r="79" spans="6:29" ht="16.5" customHeight="1"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</row>
    <row r="80" spans="6:29" ht="16.5" customHeight="1"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</row>
    <row r="81" spans="6:29" ht="16.5" customHeight="1"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</row>
    <row r="82" spans="6:29" ht="16.5" customHeight="1"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</row>
    <row r="83" spans="6:29" ht="16.5" customHeight="1"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</row>
    <row r="84" spans="6:29" ht="16.5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</row>
    <row r="85" spans="6:29" ht="16.5" customHeight="1"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</row>
    <row r="86" spans="6:29" ht="16.5" customHeight="1"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</row>
    <row r="87" spans="6:29" ht="16.5" customHeight="1"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</row>
    <row r="88" spans="6:29" ht="16.5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</row>
    <row r="89" spans="6:29" ht="16.5" customHeight="1"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</row>
    <row r="90" spans="6:29" ht="16.5" customHeight="1"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</row>
    <row r="91" spans="6:29" ht="16.5" customHeight="1"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</row>
    <row r="92" spans="6:29" ht="16.5" customHeight="1"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</row>
    <row r="93" spans="6:29" ht="16.5" customHeight="1"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</row>
    <row r="94" spans="6:29" ht="16.5" customHeight="1"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</row>
    <row r="95" spans="6:29" ht="16.5" customHeight="1"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</row>
    <row r="96" spans="6:29" ht="16.5" customHeight="1"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</row>
    <row r="97" spans="6:29" ht="16.5" customHeight="1"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</row>
    <row r="98" spans="6:29" ht="16.5" customHeight="1"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</row>
    <row r="99" spans="6:29" ht="16.5" customHeight="1"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</row>
    <row r="100" spans="6:29" ht="16.5" customHeight="1"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</row>
    <row r="101" spans="6:29" ht="16.5" customHeight="1"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  <c r="AA101" s="392"/>
      <c r="AB101" s="392"/>
      <c r="AC101" s="392"/>
    </row>
    <row r="102" spans="6:29" ht="16.5" customHeight="1"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</row>
    <row r="103" spans="6:29" ht="16.5" customHeight="1"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</row>
    <row r="104" spans="6:29" ht="16.5" customHeight="1"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  <c r="Z104" s="392"/>
      <c r="AA104" s="392"/>
      <c r="AB104" s="392"/>
      <c r="AC104" s="392"/>
    </row>
    <row r="105" spans="6:29" ht="16.5" customHeight="1"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</row>
    <row r="106" spans="6:29" ht="16.5" customHeight="1"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</row>
    <row r="107" spans="6:29" ht="16.5" customHeight="1"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392"/>
    </row>
    <row r="108" spans="6:29" ht="16.5" customHeight="1"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  <c r="AB108" s="392"/>
      <c r="AC108" s="392"/>
    </row>
    <row r="109" spans="6:29" ht="16.5" customHeight="1"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392"/>
    </row>
    <row r="110" spans="6:29" ht="16.5" customHeight="1"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</row>
    <row r="111" spans="6:29" ht="16.5" customHeight="1"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2"/>
    </row>
    <row r="112" spans="6:29" ht="16.5" customHeight="1"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  <c r="Z112" s="392"/>
      <c r="AA112" s="392"/>
      <c r="AB112" s="392"/>
      <c r="AC112" s="392"/>
    </row>
    <row r="113" spans="6:29" ht="16.5" customHeight="1"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</row>
    <row r="114" spans="6:29" ht="16.5" customHeight="1"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</row>
    <row r="115" spans="6:29" ht="16.5" customHeight="1"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</row>
    <row r="116" spans="6:29" ht="16.5" customHeight="1"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  <c r="Z116" s="392"/>
      <c r="AA116" s="392"/>
      <c r="AB116" s="392"/>
      <c r="AC116" s="392"/>
    </row>
    <row r="117" spans="6:29" ht="16.5" customHeight="1"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</row>
    <row r="118" spans="6:29" ht="16.5" customHeight="1"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</row>
    <row r="119" spans="6:29" ht="16.5" customHeight="1"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392"/>
    </row>
    <row r="120" spans="6:29" ht="16.5" customHeight="1"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</row>
    <row r="121" spans="6:29" ht="16.5" customHeight="1"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</row>
    <row r="122" spans="6:29" ht="16.5" customHeight="1"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</row>
    <row r="123" spans="6:29" ht="16.5" customHeight="1"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392"/>
    </row>
    <row r="124" spans="6:29" ht="16.5" customHeight="1"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392"/>
    </row>
    <row r="125" spans="6:29" ht="16.5" customHeight="1"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2"/>
      <c r="AC125" s="392"/>
    </row>
    <row r="126" spans="6:29" ht="16.5" customHeight="1"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  <c r="Z126" s="392"/>
      <c r="AA126" s="392"/>
      <c r="AB126" s="392"/>
      <c r="AC126" s="392"/>
    </row>
    <row r="127" spans="6:29" ht="16.5" customHeight="1"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392"/>
    </row>
    <row r="128" spans="6:29" ht="16.5" customHeight="1"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  <c r="Z128" s="392"/>
      <c r="AA128" s="392"/>
      <c r="AB128" s="392"/>
      <c r="AC128" s="392"/>
    </row>
    <row r="129" spans="6:29" ht="16.5" customHeight="1"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392"/>
    </row>
    <row r="130" spans="6:29" ht="16.5" customHeight="1"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2"/>
      <c r="AC130" s="392"/>
    </row>
    <row r="131" spans="6:29" ht="16.5" customHeight="1"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  <c r="Z131" s="392"/>
      <c r="AA131" s="392"/>
      <c r="AB131" s="392"/>
      <c r="AC131" s="392"/>
    </row>
    <row r="132" spans="6:29" ht="16.5" customHeight="1"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392"/>
    </row>
    <row r="133" spans="6:29" ht="16.5" customHeight="1"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  <c r="Z133" s="392"/>
      <c r="AA133" s="392"/>
      <c r="AB133" s="392"/>
      <c r="AC133" s="392"/>
    </row>
    <row r="134" spans="6:29" ht="16.5" customHeight="1"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392"/>
    </row>
    <row r="135" spans="6:29" ht="16.5" customHeight="1"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</row>
    <row r="136" spans="6:29" ht="16.5" customHeight="1"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  <c r="Z136" s="392"/>
      <c r="AA136" s="392"/>
      <c r="AB136" s="392"/>
      <c r="AC136" s="392"/>
    </row>
    <row r="137" spans="6:29" ht="16.5" customHeight="1"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</row>
    <row r="138" spans="6:29" ht="16.5" customHeight="1"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392"/>
    </row>
    <row r="139" spans="6:29" ht="16.5" customHeight="1"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92"/>
    </row>
    <row r="140" spans="6:29" ht="16.5" customHeight="1"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</row>
    <row r="141" spans="6:29" ht="16.5" customHeight="1"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92"/>
      <c r="AA141" s="392"/>
      <c r="AB141" s="392"/>
      <c r="AC141" s="392"/>
    </row>
    <row r="142" spans="6:29" ht="16.5" customHeight="1"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/>
    </row>
    <row r="143" spans="6:29" ht="16.5" customHeight="1"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92"/>
      <c r="AA143" s="392"/>
      <c r="AB143" s="392"/>
      <c r="AC143" s="392"/>
    </row>
    <row r="144" spans="6:29" ht="16.5" customHeight="1"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  <c r="AB144" s="392"/>
      <c r="AC144" s="392"/>
    </row>
    <row r="145" spans="6:29" ht="16.5" customHeight="1"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</row>
    <row r="146" spans="6:29" ht="16.5" customHeight="1"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</row>
    <row r="147" spans="6:29" ht="16.5" customHeight="1"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  <c r="AB147" s="392"/>
      <c r="AC147" s="392"/>
    </row>
    <row r="148" spans="6:29" ht="16.5" customHeight="1"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  <c r="AB148" s="392"/>
      <c r="AC148" s="392"/>
    </row>
    <row r="149" spans="6:29" ht="16.5" customHeight="1"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92"/>
      <c r="AA149" s="392"/>
      <c r="AB149" s="392"/>
      <c r="AC149" s="392"/>
    </row>
    <row r="150" spans="6:29" ht="16.5" customHeight="1"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  <c r="Z150" s="392"/>
      <c r="AA150" s="392"/>
      <c r="AB150" s="392"/>
      <c r="AC150" s="392"/>
    </row>
    <row r="151" spans="6:29" ht="16.5" customHeight="1"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  <c r="Z151" s="392"/>
      <c r="AA151" s="392"/>
      <c r="AB151" s="392"/>
      <c r="AC151" s="392"/>
    </row>
    <row r="152" spans="6:29" ht="16.5" customHeight="1">
      <c r="F152" s="392"/>
      <c r="G152" s="392"/>
      <c r="H152" s="392"/>
      <c r="AB152" s="392"/>
      <c r="AC152" s="392"/>
    </row>
    <row r="153" spans="6:8" ht="16.5" customHeight="1">
      <c r="F153" s="392"/>
      <c r="G153" s="392"/>
      <c r="H153" s="392"/>
    </row>
    <row r="154" spans="6:8" ht="16.5" customHeight="1">
      <c r="F154" s="392"/>
      <c r="G154" s="392"/>
      <c r="H154" s="392"/>
    </row>
    <row r="155" spans="6:8" ht="16.5" customHeight="1">
      <c r="F155" s="392"/>
      <c r="G155" s="392"/>
      <c r="H155" s="392"/>
    </row>
    <row r="156" spans="6:8" ht="16.5" customHeight="1">
      <c r="F156" s="392"/>
      <c r="G156" s="392"/>
      <c r="H156" s="392"/>
    </row>
    <row r="157" spans="6:8" ht="16.5" customHeight="1">
      <c r="F157" s="392"/>
      <c r="G157" s="392"/>
      <c r="H157" s="39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AG90"/>
  <sheetViews>
    <sheetView zoomScale="50" zoomScaleNormal="50" zoomScalePageLayoutView="0" workbookViewId="0" topLeftCell="A1">
      <selection activeCell="N47" sqref="N47"/>
    </sheetView>
  </sheetViews>
  <sheetFormatPr defaultColWidth="11.421875" defaultRowHeight="12.75"/>
  <cols>
    <col min="1" max="1" width="21.28125" style="914" customWidth="1"/>
    <col min="2" max="2" width="8.421875" style="914" customWidth="1"/>
    <col min="3" max="3" width="4.7109375" style="914" customWidth="1"/>
    <col min="4" max="4" width="25.00390625" style="914" customWidth="1"/>
    <col min="5" max="5" width="22.421875" style="914" customWidth="1"/>
    <col min="6" max="6" width="15.00390625" style="914" customWidth="1"/>
    <col min="7" max="7" width="14.7109375" style="914" customWidth="1"/>
    <col min="8" max="8" width="6.421875" style="914" hidden="1" customWidth="1"/>
    <col min="9" max="9" width="8.28125" style="914" hidden="1" customWidth="1"/>
    <col min="10" max="11" width="18.7109375" style="914" customWidth="1"/>
    <col min="12" max="12" width="11.28125" style="914" customWidth="1"/>
    <col min="13" max="13" width="10.7109375" style="914" customWidth="1"/>
    <col min="14" max="14" width="9.7109375" style="914" customWidth="1"/>
    <col min="15" max="15" width="10.57421875" style="914" customWidth="1"/>
    <col min="16" max="16" width="8.421875" style="914" customWidth="1"/>
    <col min="17" max="17" width="5.8515625" style="914" customWidth="1"/>
    <col min="18" max="18" width="12.140625" style="914" hidden="1" customWidth="1"/>
    <col min="19" max="19" width="13.00390625" style="914" hidden="1" customWidth="1"/>
    <col min="20" max="21" width="8.421875" style="914" hidden="1" customWidth="1"/>
    <col min="22" max="22" width="11.7109375" style="914" hidden="1" customWidth="1"/>
    <col min="23" max="23" width="12.140625" style="914" hidden="1" customWidth="1"/>
    <col min="24" max="27" width="8.421875" style="914" hidden="1" customWidth="1"/>
    <col min="28" max="28" width="9.7109375" style="914" customWidth="1"/>
    <col min="29" max="29" width="23.00390625" style="914" customWidth="1"/>
    <col min="30" max="30" width="6.421875" style="914" customWidth="1"/>
    <col min="31" max="31" width="4.140625" style="914" customWidth="1"/>
    <col min="32" max="32" width="7.140625" style="914" customWidth="1"/>
    <col min="33" max="33" width="5.28125" style="914" customWidth="1"/>
    <col min="34" max="34" width="5.421875" style="914" customWidth="1"/>
    <col min="35" max="35" width="4.7109375" style="914" customWidth="1"/>
    <col min="36" max="36" width="5.28125" style="914" customWidth="1"/>
    <col min="37" max="38" width="13.28125" style="914" customWidth="1"/>
    <col min="39" max="39" width="6.57421875" style="914" customWidth="1"/>
    <col min="40" max="40" width="6.421875" style="914" customWidth="1"/>
    <col min="41" max="44" width="11.421875" style="914" customWidth="1"/>
    <col min="45" max="45" width="12.7109375" style="914" customWidth="1"/>
    <col min="46" max="48" width="11.421875" style="914" customWidth="1"/>
    <col min="49" max="49" width="21.00390625" style="914" customWidth="1"/>
    <col min="50" max="16384" width="11.421875" style="914" customWidth="1"/>
  </cols>
  <sheetData>
    <row r="1" spans="1:30" ht="13.5">
      <c r="A1" s="912"/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AD1" s="915"/>
    </row>
    <row r="2" spans="1:23" ht="27" customHeight="1">
      <c r="A2" s="912"/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</row>
    <row r="3" spans="1:23" ht="27" customHeight="1">
      <c r="A3" s="912"/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</row>
    <row r="4" spans="1:23" ht="11.25" customHeight="1">
      <c r="A4" s="916" t="s">
        <v>2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</row>
    <row r="5" spans="1:23" ht="11.25" customHeight="1">
      <c r="A5" s="916" t="s">
        <v>3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</row>
    <row r="6" spans="1:30" s="920" customFormat="1" ht="30.75">
      <c r="A6" s="917"/>
      <c r="B6" s="918" t="str">
        <f>'TOT-0312'!B2</f>
        <v>ANEXO IV al Memorándum D.T.E.E.  N° 783/ 2013</v>
      </c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19"/>
      <c r="N6" s="919"/>
      <c r="O6" s="919"/>
      <c r="P6" s="919"/>
      <c r="Q6" s="919"/>
      <c r="R6" s="919"/>
      <c r="S6" s="919"/>
      <c r="T6" s="919"/>
      <c r="U6" s="919"/>
      <c r="V6" s="919"/>
      <c r="W6" s="919"/>
      <c r="AB6" s="919"/>
      <c r="AC6" s="919"/>
      <c r="AD6" s="919"/>
    </row>
    <row r="7" s="921" customFormat="1" ht="11.25">
      <c r="B7" s="922"/>
    </row>
    <row r="8" s="921" customFormat="1" ht="12" thickBot="1">
      <c r="B8" s="916"/>
    </row>
    <row r="9" spans="1:30" ht="16.5" customHeight="1" thickTop="1">
      <c r="A9" s="913"/>
      <c r="B9" s="923"/>
      <c r="C9" s="924"/>
      <c r="D9" s="924"/>
      <c r="E9" s="925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6"/>
      <c r="X9" s="926"/>
      <c r="Y9" s="926"/>
      <c r="Z9" s="926"/>
      <c r="AA9" s="926"/>
      <c r="AB9" s="926"/>
      <c r="AC9" s="926"/>
      <c r="AD9" s="927"/>
    </row>
    <row r="10" spans="1:30" ht="20.25">
      <c r="A10" s="913"/>
      <c r="B10" s="928"/>
      <c r="C10" s="929"/>
      <c r="D10" s="930" t="s">
        <v>377</v>
      </c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31"/>
      <c r="Q10" s="931"/>
      <c r="R10" s="929"/>
      <c r="S10" s="929"/>
      <c r="T10" s="929"/>
      <c r="U10" s="929"/>
      <c r="V10" s="929"/>
      <c r="AD10" s="932"/>
    </row>
    <row r="11" spans="1:30" ht="16.5" customHeight="1">
      <c r="A11" s="913"/>
      <c r="B11" s="928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AD11" s="932"/>
    </row>
    <row r="12" spans="2:30" s="933" customFormat="1" ht="20.25">
      <c r="B12" s="934"/>
      <c r="C12" s="935"/>
      <c r="D12" s="930" t="s">
        <v>378</v>
      </c>
      <c r="E12" s="935"/>
      <c r="F12" s="935"/>
      <c r="G12" s="935"/>
      <c r="H12" s="935"/>
      <c r="N12" s="935"/>
      <c r="O12" s="935"/>
      <c r="P12" s="936"/>
      <c r="Q12" s="936"/>
      <c r="R12" s="935"/>
      <c r="S12" s="935"/>
      <c r="T12" s="935"/>
      <c r="U12" s="935"/>
      <c r="V12" s="935"/>
      <c r="W12" s="914"/>
      <c r="X12" s="935"/>
      <c r="Y12" s="935"/>
      <c r="Z12" s="935"/>
      <c r="AA12" s="935"/>
      <c r="AB12" s="935"/>
      <c r="AC12" s="914"/>
      <c r="AD12" s="937"/>
    </row>
    <row r="13" spans="1:30" ht="16.5" customHeight="1">
      <c r="A13" s="913"/>
      <c r="B13" s="928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929"/>
      <c r="N13" s="929"/>
      <c r="O13" s="929"/>
      <c r="P13" s="929"/>
      <c r="Q13" s="929"/>
      <c r="R13" s="929"/>
      <c r="S13" s="929"/>
      <c r="T13" s="929"/>
      <c r="U13" s="929"/>
      <c r="V13" s="929"/>
      <c r="AD13" s="932"/>
    </row>
    <row r="14" spans="2:30" s="933" customFormat="1" ht="20.25">
      <c r="B14" s="934"/>
      <c r="C14" s="935"/>
      <c r="D14" s="930" t="s">
        <v>429</v>
      </c>
      <c r="E14" s="935"/>
      <c r="F14" s="935"/>
      <c r="G14" s="935"/>
      <c r="H14" s="935"/>
      <c r="N14" s="935"/>
      <c r="O14" s="935"/>
      <c r="P14" s="936"/>
      <c r="Q14" s="936"/>
      <c r="R14" s="935"/>
      <c r="S14" s="935"/>
      <c r="T14" s="935"/>
      <c r="U14" s="935"/>
      <c r="V14" s="935"/>
      <c r="W14" s="914"/>
      <c r="X14" s="935"/>
      <c r="Y14" s="935"/>
      <c r="Z14" s="935"/>
      <c r="AA14" s="935"/>
      <c r="AB14" s="935"/>
      <c r="AC14" s="914"/>
      <c r="AD14" s="937"/>
    </row>
    <row r="15" spans="1:30" ht="16.5" customHeight="1">
      <c r="A15" s="913"/>
      <c r="B15" s="928"/>
      <c r="C15" s="929"/>
      <c r="D15" s="929"/>
      <c r="E15" s="913"/>
      <c r="F15" s="913"/>
      <c r="G15" s="913"/>
      <c r="H15" s="913"/>
      <c r="I15" s="938"/>
      <c r="J15" s="938"/>
      <c r="K15" s="938"/>
      <c r="L15" s="938"/>
      <c r="M15" s="938"/>
      <c r="N15" s="938"/>
      <c r="O15" s="938"/>
      <c r="P15" s="938"/>
      <c r="Q15" s="938"/>
      <c r="R15" s="929"/>
      <c r="S15" s="929"/>
      <c r="T15" s="929"/>
      <c r="U15" s="929"/>
      <c r="V15" s="929"/>
      <c r="AD15" s="932"/>
    </row>
    <row r="16" spans="2:30" s="933" customFormat="1" ht="19.5">
      <c r="B16" s="939" t="str">
        <f>'TOT-0312'!B14</f>
        <v>Desde el 01 al 31 de Marzo de 2012</v>
      </c>
      <c r="C16" s="940"/>
      <c r="D16" s="941"/>
      <c r="E16" s="941"/>
      <c r="F16" s="941"/>
      <c r="G16" s="941"/>
      <c r="H16" s="941"/>
      <c r="I16" s="942"/>
      <c r="J16" s="943"/>
      <c r="K16" s="942"/>
      <c r="L16" s="942"/>
      <c r="M16" s="942"/>
      <c r="N16" s="942"/>
      <c r="O16" s="942"/>
      <c r="P16" s="942"/>
      <c r="Q16" s="942"/>
      <c r="R16" s="942"/>
      <c r="S16" s="942"/>
      <c r="T16" s="942"/>
      <c r="U16" s="944"/>
      <c r="V16" s="944"/>
      <c r="W16" s="914"/>
      <c r="X16" s="945"/>
      <c r="Y16" s="945"/>
      <c r="Z16" s="945"/>
      <c r="AA16" s="945"/>
      <c r="AB16" s="944"/>
      <c r="AC16" s="943"/>
      <c r="AD16" s="946"/>
    </row>
    <row r="17" spans="1:30" ht="16.5" customHeight="1">
      <c r="A17" s="913"/>
      <c r="B17" s="928"/>
      <c r="C17" s="929"/>
      <c r="D17" s="929"/>
      <c r="E17" s="947"/>
      <c r="F17" s="947"/>
      <c r="G17" s="929"/>
      <c r="H17" s="929"/>
      <c r="I17" s="929"/>
      <c r="J17" s="948"/>
      <c r="K17" s="929"/>
      <c r="L17" s="929"/>
      <c r="M17" s="929"/>
      <c r="N17" s="913"/>
      <c r="O17" s="913"/>
      <c r="P17" s="929"/>
      <c r="Q17" s="929"/>
      <c r="R17" s="929"/>
      <c r="S17" s="929"/>
      <c r="T17" s="929"/>
      <c r="U17" s="929"/>
      <c r="V17" s="929"/>
      <c r="AD17" s="932"/>
    </row>
    <row r="18" spans="1:30" ht="16.5" customHeight="1">
      <c r="A18" s="913"/>
      <c r="B18" s="928"/>
      <c r="C18" s="929"/>
      <c r="D18" s="929"/>
      <c r="E18" s="947"/>
      <c r="F18" s="947"/>
      <c r="G18" s="929"/>
      <c r="H18" s="929"/>
      <c r="I18" s="949"/>
      <c r="J18" s="929"/>
      <c r="K18" s="950"/>
      <c r="M18" s="929"/>
      <c r="N18" s="913"/>
      <c r="O18" s="913"/>
      <c r="P18" s="929"/>
      <c r="Q18" s="929"/>
      <c r="R18" s="929"/>
      <c r="S18" s="929"/>
      <c r="T18" s="929"/>
      <c r="U18" s="929"/>
      <c r="V18" s="929"/>
      <c r="AD18" s="932"/>
    </row>
    <row r="19" spans="1:30" ht="16.5" customHeight="1">
      <c r="A19" s="913"/>
      <c r="B19" s="928"/>
      <c r="C19" s="929"/>
      <c r="D19" s="929"/>
      <c r="E19" s="947"/>
      <c r="F19" s="947"/>
      <c r="G19" s="929"/>
      <c r="H19" s="929"/>
      <c r="I19" s="949"/>
      <c r="J19" s="929"/>
      <c r="K19" s="950"/>
      <c r="M19" s="929"/>
      <c r="N19" s="913"/>
      <c r="O19" s="913"/>
      <c r="P19" s="929"/>
      <c r="Q19" s="929"/>
      <c r="R19" s="929"/>
      <c r="S19" s="929"/>
      <c r="T19" s="929"/>
      <c r="U19" s="929"/>
      <c r="V19" s="929"/>
      <c r="AD19" s="932"/>
    </row>
    <row r="20" spans="1:30" ht="16.5" customHeight="1">
      <c r="A20" s="913"/>
      <c r="B20" s="928"/>
      <c r="C20" s="951" t="s">
        <v>379</v>
      </c>
      <c r="D20" s="952" t="s">
        <v>380</v>
      </c>
      <c r="E20" s="947"/>
      <c r="F20" s="947"/>
      <c r="G20" s="929"/>
      <c r="H20" s="929"/>
      <c r="I20" s="929"/>
      <c r="J20" s="948"/>
      <c r="K20" s="929"/>
      <c r="L20" s="929"/>
      <c r="M20" s="929"/>
      <c r="N20" s="913"/>
      <c r="O20" s="913"/>
      <c r="P20" s="929"/>
      <c r="Q20" s="929"/>
      <c r="R20" s="929"/>
      <c r="S20" s="929"/>
      <c r="T20" s="929"/>
      <c r="U20" s="929"/>
      <c r="V20" s="929"/>
      <c r="AD20" s="932"/>
    </row>
    <row r="21" spans="2:30" s="953" customFormat="1" ht="16.5" customHeight="1">
      <c r="B21" s="954"/>
      <c r="C21" s="955"/>
      <c r="D21" s="956"/>
      <c r="E21" s="957"/>
      <c r="F21" s="958"/>
      <c r="G21" s="955"/>
      <c r="H21" s="955"/>
      <c r="I21" s="955"/>
      <c r="J21" s="959"/>
      <c r="K21" s="955"/>
      <c r="L21" s="955"/>
      <c r="M21" s="955"/>
      <c r="P21" s="955"/>
      <c r="Q21" s="955"/>
      <c r="R21" s="955"/>
      <c r="S21" s="955"/>
      <c r="T21" s="955"/>
      <c r="U21" s="955"/>
      <c r="V21" s="955"/>
      <c r="W21" s="914"/>
      <c r="AD21" s="960"/>
    </row>
    <row r="22" spans="2:30" s="953" customFormat="1" ht="16.5" customHeight="1">
      <c r="B22" s="954"/>
      <c r="C22" s="955"/>
      <c r="D22" s="961" t="s">
        <v>381</v>
      </c>
      <c r="F22" s="962">
        <v>236.257</v>
      </c>
      <c r="G22" s="961" t="s">
        <v>382</v>
      </c>
      <c r="H22" s="955"/>
      <c r="K22" s="955"/>
      <c r="L22" s="963"/>
      <c r="M22" s="964" t="s">
        <v>383</v>
      </c>
      <c r="N22" s="965">
        <v>0.04</v>
      </c>
      <c r="R22" s="955"/>
      <c r="S22" s="955"/>
      <c r="T22" s="955"/>
      <c r="U22" s="955"/>
      <c r="V22" s="955"/>
      <c r="W22" s="914"/>
      <c r="AD22" s="960"/>
    </row>
    <row r="23" spans="2:30" s="953" customFormat="1" ht="16.5" customHeight="1">
      <c r="B23" s="954"/>
      <c r="C23" s="955"/>
      <c r="D23" s="961" t="s">
        <v>384</v>
      </c>
      <c r="F23" s="962">
        <v>0.649</v>
      </c>
      <c r="G23" s="961" t="s">
        <v>385</v>
      </c>
      <c r="H23" s="955"/>
      <c r="K23" s="955"/>
      <c r="L23" s="955"/>
      <c r="M23" s="956" t="s">
        <v>386</v>
      </c>
      <c r="N23" s="955">
        <f>MID(B16,16,2)*24</f>
        <v>744</v>
      </c>
      <c r="O23" s="955"/>
      <c r="P23" s="966"/>
      <c r="Q23" s="955"/>
      <c r="R23" s="955"/>
      <c r="S23" s="955"/>
      <c r="T23" s="955"/>
      <c r="U23" s="955"/>
      <c r="V23" s="955"/>
      <c r="W23" s="914"/>
      <c r="AD23" s="960"/>
    </row>
    <row r="24" spans="2:30" s="953" customFormat="1" ht="16.5" customHeight="1">
      <c r="B24" s="954"/>
      <c r="C24" s="955"/>
      <c r="D24" s="953" t="s">
        <v>387</v>
      </c>
      <c r="F24" s="967">
        <v>128.853</v>
      </c>
      <c r="G24" s="961" t="s">
        <v>39</v>
      </c>
      <c r="H24" s="955"/>
      <c r="K24" s="2746" t="s">
        <v>388</v>
      </c>
      <c r="L24" s="2746"/>
      <c r="M24" s="2746"/>
      <c r="N24" s="969">
        <v>20</v>
      </c>
      <c r="O24" s="955"/>
      <c r="P24" s="966"/>
      <c r="Q24" s="955"/>
      <c r="R24" s="955"/>
      <c r="S24" s="955"/>
      <c r="T24" s="955"/>
      <c r="U24" s="955"/>
      <c r="V24" s="955"/>
      <c r="W24" s="914"/>
      <c r="AD24" s="960"/>
    </row>
    <row r="25" spans="2:30" s="953" customFormat="1" ht="16.5" customHeight="1">
      <c r="B25" s="954"/>
      <c r="C25" s="955"/>
      <c r="D25" s="1371" t="s">
        <v>535</v>
      </c>
      <c r="E25" s="1371"/>
      <c r="F25" s="1612">
        <v>103.083</v>
      </c>
      <c r="G25" s="1379" t="s">
        <v>39</v>
      </c>
      <c r="H25" s="955"/>
      <c r="K25" s="968"/>
      <c r="L25" s="968"/>
      <c r="M25" s="968"/>
      <c r="N25" s="969"/>
      <c r="O25" s="955"/>
      <c r="P25" s="966"/>
      <c r="Q25" s="955"/>
      <c r="R25" s="955"/>
      <c r="S25" s="955"/>
      <c r="T25" s="955"/>
      <c r="U25" s="955"/>
      <c r="V25" s="955"/>
      <c r="W25" s="914"/>
      <c r="AD25" s="960"/>
    </row>
    <row r="26" spans="2:30" s="953" customFormat="1" ht="16.5" customHeight="1">
      <c r="B26" s="954"/>
      <c r="C26" s="955"/>
      <c r="F26" s="967"/>
      <c r="G26" s="961"/>
      <c r="H26" s="955"/>
      <c r="K26" s="968"/>
      <c r="L26" s="968"/>
      <c r="M26" s="968"/>
      <c r="N26" s="969"/>
      <c r="O26" s="955"/>
      <c r="P26" s="966"/>
      <c r="Q26" s="955"/>
      <c r="R26" s="955"/>
      <c r="S26" s="955"/>
      <c r="T26" s="955"/>
      <c r="U26" s="955"/>
      <c r="V26" s="955"/>
      <c r="W26" s="914"/>
      <c r="AD26" s="960"/>
    </row>
    <row r="27" spans="2:30" s="953" customFormat="1" ht="8.25" customHeight="1">
      <c r="B27" s="954"/>
      <c r="C27" s="955"/>
      <c r="D27" s="955"/>
      <c r="E27" s="968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5"/>
      <c r="U27" s="955"/>
      <c r="V27" s="955"/>
      <c r="W27" s="914"/>
      <c r="AD27" s="960"/>
    </row>
    <row r="28" spans="1:30" ht="16.5" customHeight="1">
      <c r="A28" s="913"/>
      <c r="B28" s="928"/>
      <c r="C28" s="951" t="s">
        <v>389</v>
      </c>
      <c r="D28" s="970" t="s">
        <v>420</v>
      </c>
      <c r="I28" s="929"/>
      <c r="J28" s="953"/>
      <c r="O28" s="929"/>
      <c r="P28" s="929"/>
      <c r="Q28" s="929"/>
      <c r="R28" s="929"/>
      <c r="S28" s="929"/>
      <c r="T28" s="929"/>
      <c r="V28" s="929"/>
      <c r="X28" s="929"/>
      <c r="Y28" s="929"/>
      <c r="Z28" s="929"/>
      <c r="AA28" s="929"/>
      <c r="AB28" s="929"/>
      <c r="AC28" s="929"/>
      <c r="AD28" s="932"/>
    </row>
    <row r="29" spans="1:30" ht="10.5" customHeight="1" thickBot="1">
      <c r="A29" s="913"/>
      <c r="B29" s="928"/>
      <c r="C29" s="947"/>
      <c r="D29" s="970"/>
      <c r="I29" s="929"/>
      <c r="J29" s="953"/>
      <c r="O29" s="929"/>
      <c r="P29" s="929"/>
      <c r="Q29" s="929"/>
      <c r="R29" s="929"/>
      <c r="S29" s="929"/>
      <c r="T29" s="929"/>
      <c r="V29" s="929"/>
      <c r="X29" s="929"/>
      <c r="Y29" s="929"/>
      <c r="Z29" s="929"/>
      <c r="AA29" s="929"/>
      <c r="AB29" s="929"/>
      <c r="AC29" s="929"/>
      <c r="AD29" s="932"/>
    </row>
    <row r="30" spans="2:30" s="953" customFormat="1" ht="16.5" customHeight="1" thickBot="1" thickTop="1">
      <c r="B30" s="954"/>
      <c r="C30" s="958"/>
      <c r="D30" s="914"/>
      <c r="E30" s="914"/>
      <c r="F30" s="914"/>
      <c r="G30" s="914"/>
      <c r="H30" s="914"/>
      <c r="I30" s="914"/>
      <c r="J30" s="971" t="s">
        <v>390</v>
      </c>
      <c r="K30" s="972">
        <f>N22*AC82</f>
        <v>62668.52484415361</v>
      </c>
      <c r="L30" s="914"/>
      <c r="S30" s="914"/>
      <c r="T30" s="914"/>
      <c r="U30" s="914"/>
      <c r="W30" s="914"/>
      <c r="AD30" s="960"/>
    </row>
    <row r="31" spans="2:30" s="953" customFormat="1" ht="11.25" customHeight="1" thickTop="1">
      <c r="B31" s="954"/>
      <c r="C31" s="958"/>
      <c r="D31" s="955"/>
      <c r="E31" s="968"/>
      <c r="F31" s="955"/>
      <c r="G31" s="955"/>
      <c r="H31" s="955"/>
      <c r="I31" s="955"/>
      <c r="J31" s="955"/>
      <c r="K31" s="955"/>
      <c r="L31" s="955"/>
      <c r="M31" s="955"/>
      <c r="N31" s="955"/>
      <c r="O31" s="955"/>
      <c r="P31" s="955"/>
      <c r="Q31" s="955"/>
      <c r="R31" s="955"/>
      <c r="S31" s="955"/>
      <c r="T31" s="955"/>
      <c r="U31" s="914"/>
      <c r="W31" s="914"/>
      <c r="AD31" s="960"/>
    </row>
    <row r="32" spans="1:30" ht="16.5" customHeight="1">
      <c r="A32" s="913"/>
      <c r="B32" s="928"/>
      <c r="C32" s="951" t="s">
        <v>391</v>
      </c>
      <c r="D32" s="970" t="s">
        <v>421</v>
      </c>
      <c r="E32" s="973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AD32" s="932"/>
    </row>
    <row r="33" spans="1:30" ht="21.75" customHeight="1" thickBot="1">
      <c r="A33" s="913"/>
      <c r="B33" s="928"/>
      <c r="C33" s="929"/>
      <c r="D33" s="929"/>
      <c r="E33" s="973"/>
      <c r="F33" s="929"/>
      <c r="G33" s="929"/>
      <c r="H33" s="929"/>
      <c r="I33" s="929"/>
      <c r="J33" s="929"/>
      <c r="K33" s="929"/>
      <c r="L33" s="929"/>
      <c r="M33" s="929"/>
      <c r="N33" s="929"/>
      <c r="O33" s="929"/>
      <c r="P33" s="929"/>
      <c r="Q33" s="929"/>
      <c r="R33" s="929"/>
      <c r="S33" s="929"/>
      <c r="T33" s="929"/>
      <c r="U33" s="929"/>
      <c r="V33" s="929"/>
      <c r="AD33" s="932"/>
    </row>
    <row r="34" spans="2:31" s="913" customFormat="1" ht="33.75" customHeight="1" thickBot="1" thickTop="1">
      <c r="B34" s="928"/>
      <c r="C34" s="974" t="s">
        <v>32</v>
      </c>
      <c r="D34" s="975" t="s">
        <v>5</v>
      </c>
      <c r="E34" s="976" t="s">
        <v>35</v>
      </c>
      <c r="F34" s="977" t="s">
        <v>36</v>
      </c>
      <c r="G34" s="978" t="s">
        <v>37</v>
      </c>
      <c r="H34" s="979" t="s">
        <v>38</v>
      </c>
      <c r="I34" s="980" t="s">
        <v>39</v>
      </c>
      <c r="J34" s="981" t="s">
        <v>40</v>
      </c>
      <c r="K34" s="982" t="s">
        <v>41</v>
      </c>
      <c r="L34" s="983" t="s">
        <v>42</v>
      </c>
      <c r="M34" s="984" t="s">
        <v>43</v>
      </c>
      <c r="N34" s="983" t="s">
        <v>392</v>
      </c>
      <c r="O34" s="983" t="s">
        <v>44</v>
      </c>
      <c r="P34" s="982" t="s">
        <v>45</v>
      </c>
      <c r="Q34" s="981" t="s">
        <v>46</v>
      </c>
      <c r="R34" s="985" t="s">
        <v>47</v>
      </c>
      <c r="S34" s="986" t="s">
        <v>48</v>
      </c>
      <c r="T34" s="987" t="s">
        <v>393</v>
      </c>
      <c r="U34" s="988"/>
      <c r="V34" s="989"/>
      <c r="W34" s="990" t="s">
        <v>394</v>
      </c>
      <c r="X34" s="991"/>
      <c r="Y34" s="992"/>
      <c r="Z34" s="993" t="s">
        <v>51</v>
      </c>
      <c r="AA34" s="994" t="s">
        <v>395</v>
      </c>
      <c r="AB34" s="995" t="s">
        <v>53</v>
      </c>
      <c r="AC34" s="996" t="s">
        <v>54</v>
      </c>
      <c r="AD34" s="997"/>
      <c r="AE34" s="914"/>
    </row>
    <row r="35" spans="1:30" ht="16.5" customHeight="1" thickTop="1">
      <c r="A35" s="913"/>
      <c r="B35" s="928"/>
      <c r="C35" s="998"/>
      <c r="D35" s="999"/>
      <c r="E35" s="1000"/>
      <c r="F35" s="1001"/>
      <c r="G35" s="1002"/>
      <c r="H35" s="1003"/>
      <c r="I35" s="1004"/>
      <c r="J35" s="1005"/>
      <c r="K35" s="1006"/>
      <c r="L35" s="998"/>
      <c r="M35" s="998"/>
      <c r="N35" s="1007"/>
      <c r="O35" s="1007"/>
      <c r="P35" s="998"/>
      <c r="Q35" s="1008"/>
      <c r="R35" s="1009"/>
      <c r="S35" s="1010"/>
      <c r="T35" s="1011"/>
      <c r="U35" s="1012"/>
      <c r="V35" s="1013"/>
      <c r="W35" s="1014"/>
      <c r="X35" s="1015"/>
      <c r="Y35" s="1016"/>
      <c r="Z35" s="1017"/>
      <c r="AA35" s="1018"/>
      <c r="AB35" s="1019"/>
      <c r="AC35" s="1020"/>
      <c r="AD35" s="932"/>
    </row>
    <row r="36" spans="1:30" ht="16.5" customHeight="1">
      <c r="A36" s="913"/>
      <c r="B36" s="928"/>
      <c r="C36" s="1021" t="s">
        <v>396</v>
      </c>
      <c r="D36" s="646" t="s">
        <v>524</v>
      </c>
      <c r="E36" s="647">
        <v>500</v>
      </c>
      <c r="F36" s="648">
        <v>285</v>
      </c>
      <c r="G36" s="1022" t="s">
        <v>258</v>
      </c>
      <c r="H36" s="1023">
        <f>IF(G36="A",200,IF(G36="B",60,20))</f>
        <v>20</v>
      </c>
      <c r="I36" s="1024">
        <f>IF(F36&gt;100,F36,100)*$F$22/100</f>
        <v>673.33245</v>
      </c>
      <c r="J36" s="175">
        <v>40985.67986111111</v>
      </c>
      <c r="K36" s="176">
        <v>40985.686111111114</v>
      </c>
      <c r="L36" s="1027">
        <f>IF(D36="","",(K36-J36)*24)</f>
        <v>0.1500000001396984</v>
      </c>
      <c r="M36" s="1028">
        <f>IF(D36="","",ROUND((K36-J36)*24*60,0))</f>
        <v>9</v>
      </c>
      <c r="N36" s="1029" t="s">
        <v>256</v>
      </c>
      <c r="O36" s="1030" t="str">
        <f>IF(D36="","","--")</f>
        <v>--</v>
      </c>
      <c r="P36" s="1029" t="str">
        <f>IF(D36="","","NO")</f>
        <v>NO</v>
      </c>
      <c r="Q36" s="1029" t="str">
        <f>IF(D36="","",IF(OR(N36="P",N36="RP"),"--","NO"))</f>
        <v>NO</v>
      </c>
      <c r="R36" s="1031" t="str">
        <f>IF(N36="P",+I36*H36*ROUND(M36/60,2)/100,"--")</f>
        <v>--</v>
      </c>
      <c r="S36" s="1032" t="str">
        <f>IF(N36="RP",I36*H36*ROUND(M36/60,2)*0.01*O36/100,"--")</f>
        <v>--</v>
      </c>
      <c r="T36" s="1033">
        <f>IF(AND(N36="F",Q36="NO"),IF(P36="SI",1.2,1)*I36*H36,"--")</f>
        <v>13466.649</v>
      </c>
      <c r="U36" s="1034" t="str">
        <f>IF(AND(M36&gt;10,N36="F"),IF(M36&lt;=300,ROUND(M36/60,2),5)*I36*H36*IF(P36="SI",1.2,1),"--")</f>
        <v>--</v>
      </c>
      <c r="V36" s="1035" t="str">
        <f>IF(AND(N36="F",M36&gt;300),IF(P36="SI",1.2,1)*(ROUND(M36/60,2)-5)*I36*H36*0.1,"--")</f>
        <v>--</v>
      </c>
      <c r="W36" s="1036" t="str">
        <f>IF(AND(N36="R",Q36="NO"),IF(P36="SI",1.2,1)*I36*H36*O36/100,"--")</f>
        <v>--</v>
      </c>
      <c r="X36" s="1037" t="str">
        <f>IF(AND(M36&gt;10,N36="R"),IF(M36&lt;=300,ROUND(M36/60,2),5)*I36*H36*O36/100*IF(P36="SI",1.2,1),"--")</f>
        <v>--</v>
      </c>
      <c r="Y36" s="1038" t="str">
        <f>IF(AND(N36="R",M36&gt;300),IF(P36="SI",1.2,1)*(ROUND(M36/60,2)-5)*I36*H36*O36/100*0.1,"--")</f>
        <v>--</v>
      </c>
      <c r="Z36" s="1039" t="str">
        <f>IF(N36="RF",IF(P36="SI",1.2,1)*ROUND(M36/60,2)*I36*H36*0.1,"--")</f>
        <v>--</v>
      </c>
      <c r="AA36" s="1040" t="str">
        <f>IF(N36="RR",IF(P36="SI",1.2,1)*ROUND(M36/60,2)*I36*H36*O36/100*0.1,"--")</f>
        <v>--</v>
      </c>
      <c r="AB36" s="1041" t="str">
        <f>IF(D36="","","SI")</f>
        <v>SI</v>
      </c>
      <c r="AC36" s="1042">
        <f>IF(D36="","",SUM(R36:AA36)*IF(AB36="SI",1,2))</f>
        <v>13466.649</v>
      </c>
      <c r="AD36" s="932"/>
    </row>
    <row r="37" spans="1:30" ht="16.5" customHeight="1">
      <c r="A37" s="913"/>
      <c r="B37" s="928"/>
      <c r="C37" s="1021" t="s">
        <v>397</v>
      </c>
      <c r="D37" s="646" t="s">
        <v>524</v>
      </c>
      <c r="E37" s="647">
        <v>500</v>
      </c>
      <c r="F37" s="648">
        <v>285</v>
      </c>
      <c r="G37" s="1022" t="s">
        <v>258</v>
      </c>
      <c r="H37" s="1023">
        <f>IF(G37="A",200,IF(G37="B",60,20))</f>
        <v>20</v>
      </c>
      <c r="I37" s="1024">
        <f>IF(F37&gt;100,F37,100)*$F$22/100</f>
        <v>673.33245</v>
      </c>
      <c r="J37" s="175">
        <v>40999.18402777778</v>
      </c>
      <c r="K37" s="176">
        <v>40999.35833333333</v>
      </c>
      <c r="L37" s="1045">
        <f>IF(D37="","",(K37-J37)*24)</f>
        <v>4.183333333174232</v>
      </c>
      <c r="M37" s="1046">
        <f>IF(D37="","",ROUND((K37-J37)*24*60,0))</f>
        <v>251</v>
      </c>
      <c r="N37" s="1047" t="s">
        <v>253</v>
      </c>
      <c r="O37" s="1048" t="str">
        <f>IF(D37="","","--")</f>
        <v>--</v>
      </c>
      <c r="P37" s="1047" t="str">
        <f>IF(D37="","","NO")</f>
        <v>NO</v>
      </c>
      <c r="Q37" s="1047" t="str">
        <f>IF(D37="","",IF(OR(N37="P",N37="RP"),"--","NO"))</f>
        <v>--</v>
      </c>
      <c r="R37" s="1049">
        <f>IF(N37="P",+I37*H37*ROUND(M37/60,2)/100,"--")</f>
        <v>562.9059282</v>
      </c>
      <c r="S37" s="1050" t="str">
        <f>IF(N37="RP",I37*H37*ROUND(M37/60,2)*0.01*O37/100,"--")</f>
        <v>--</v>
      </c>
      <c r="T37" s="1051" t="str">
        <f>IF(AND(N37="F",Q37="NO"),IF(P37="SI",1.2,1)*I37*H37,"--")</f>
        <v>--</v>
      </c>
      <c r="U37" s="1052" t="str">
        <f>IF(AND(M37&gt;10,N37="F"),IF(M37&lt;=300,ROUND(M37/60,2),5)*I37*H37*IF(P37="SI",1.2,1),"--")</f>
        <v>--</v>
      </c>
      <c r="V37" s="1053" t="str">
        <f>IF(AND(N37="F",M37&gt;300),IF(P37="SI",1.2,1)*(ROUND(M37/60,2)-5)*I37*H37*0.1,"--")</f>
        <v>--</v>
      </c>
      <c r="W37" s="1054" t="str">
        <f>IF(AND(N37="R",Q37="NO"),IF(P37="SI",1.2,1)*I37*H37*O37/100,"--")</f>
        <v>--</v>
      </c>
      <c r="X37" s="1055" t="str">
        <f>IF(AND(M37&gt;10,N37="R"),IF(M37&lt;=300,ROUND(M37/60,2),5)*I37*H37*O37/100*IF(P37="SI",1.2,1),"--")</f>
        <v>--</v>
      </c>
      <c r="Y37" s="1056" t="str">
        <f>IF(AND(N37="R",M37&gt;300),IF(P37="SI",1.2,1)*(ROUND(M37/60,2)-5)*I37*H37*O37/100*0.1,"--")</f>
        <v>--</v>
      </c>
      <c r="Z37" s="1057" t="str">
        <f>IF(N37="RF",IF(P37="SI",1.2,1)*ROUND(M37/60,2)*I37*H37*0.1,"--")</f>
        <v>--</v>
      </c>
      <c r="AA37" s="1058" t="str">
        <f>IF(N37="RR",IF(P37="SI",1.2,1)*ROUND(M37/60,2)*I37*H37*O37/100*0.1,"--")</f>
        <v>--</v>
      </c>
      <c r="AB37" s="1059" t="str">
        <f>IF(D37="","","SI")</f>
        <v>SI</v>
      </c>
      <c r="AC37" s="1042">
        <f>IF(D37="","",SUM(R37:AA37)*IF(AB37="SI",1,2))</f>
        <v>562.9059282</v>
      </c>
      <c r="AD37" s="932"/>
    </row>
    <row r="38" spans="1:30" ht="16.5" customHeight="1" thickBot="1">
      <c r="A38" s="953"/>
      <c r="B38" s="928"/>
      <c r="C38" s="1060"/>
      <c r="D38" s="1061"/>
      <c r="E38" s="1062"/>
      <c r="F38" s="1063"/>
      <c r="G38" s="1064"/>
      <c r="H38" s="1065"/>
      <c r="I38" s="1066"/>
      <c r="J38" s="1067"/>
      <c r="K38" s="1067"/>
      <c r="L38" s="1068"/>
      <c r="M38" s="1068"/>
      <c r="N38" s="1068"/>
      <c r="O38" s="1069"/>
      <c r="P38" s="1068"/>
      <c r="Q38" s="1068"/>
      <c r="R38" s="1070"/>
      <c r="S38" s="1071"/>
      <c r="T38" s="1072"/>
      <c r="U38" s="1073"/>
      <c r="V38" s="1074"/>
      <c r="W38" s="1075"/>
      <c r="X38" s="1076"/>
      <c r="Y38" s="1077"/>
      <c r="Z38" s="1078"/>
      <c r="AA38" s="1079"/>
      <c r="AB38" s="1080"/>
      <c r="AC38" s="1081"/>
      <c r="AD38" s="1082"/>
    </row>
    <row r="39" spans="1:30" ht="16.5" customHeight="1" thickBot="1" thickTop="1">
      <c r="A39" s="953"/>
      <c r="B39" s="928"/>
      <c r="C39" s="958"/>
      <c r="D39" s="958"/>
      <c r="E39" s="1083"/>
      <c r="F39" s="968"/>
      <c r="G39" s="1084"/>
      <c r="H39" s="1084"/>
      <c r="I39" s="1085"/>
      <c r="J39" s="1085"/>
      <c r="K39" s="1085"/>
      <c r="L39" s="1085"/>
      <c r="M39" s="1085"/>
      <c r="N39" s="1085"/>
      <c r="O39" s="1086"/>
      <c r="P39" s="1085"/>
      <c r="Q39" s="1085"/>
      <c r="R39" s="1087">
        <f aca="true" t="shared" si="0" ref="R39:AA39">SUM(R35:R38)</f>
        <v>562.9059282</v>
      </c>
      <c r="S39" s="1088">
        <f t="shared" si="0"/>
        <v>0</v>
      </c>
      <c r="T39" s="1089">
        <f t="shared" si="0"/>
        <v>13466.649</v>
      </c>
      <c r="U39" s="1089">
        <f t="shared" si="0"/>
        <v>0</v>
      </c>
      <c r="V39" s="1089">
        <f t="shared" si="0"/>
        <v>0</v>
      </c>
      <c r="W39" s="1090">
        <f t="shared" si="0"/>
        <v>0</v>
      </c>
      <c r="X39" s="1090">
        <f t="shared" si="0"/>
        <v>0</v>
      </c>
      <c r="Y39" s="1090">
        <f t="shared" si="0"/>
        <v>0</v>
      </c>
      <c r="Z39" s="1091">
        <f t="shared" si="0"/>
        <v>0</v>
      </c>
      <c r="AA39" s="1092">
        <f t="shared" si="0"/>
        <v>0</v>
      </c>
      <c r="AB39" s="1093"/>
      <c r="AC39" s="1094">
        <f>SUM(AC35:AC38)</f>
        <v>14029.5549282</v>
      </c>
      <c r="AD39" s="1082"/>
    </row>
    <row r="40" spans="1:30" ht="13.5" customHeight="1" thickBot="1" thickTop="1">
      <c r="A40" s="953"/>
      <c r="B40" s="928"/>
      <c r="C40" s="958"/>
      <c r="D40" s="958"/>
      <c r="E40" s="1083"/>
      <c r="F40" s="968"/>
      <c r="G40" s="1084"/>
      <c r="H40" s="1084"/>
      <c r="I40" s="1085"/>
      <c r="J40" s="1085"/>
      <c r="K40" s="1085"/>
      <c r="L40" s="1085"/>
      <c r="M40" s="1085"/>
      <c r="N40" s="1085"/>
      <c r="O40" s="1086"/>
      <c r="P40" s="1085"/>
      <c r="Q40" s="1085"/>
      <c r="R40" s="1095"/>
      <c r="S40" s="1096"/>
      <c r="T40" s="1097"/>
      <c r="U40" s="1097"/>
      <c r="V40" s="1097"/>
      <c r="W40" s="1095"/>
      <c r="X40" s="1095"/>
      <c r="Y40" s="1095"/>
      <c r="Z40" s="1095"/>
      <c r="AA40" s="1095"/>
      <c r="AB40" s="1098"/>
      <c r="AC40" s="1099"/>
      <c r="AD40" s="1082"/>
    </row>
    <row r="41" spans="1:33" s="913" customFormat="1" ht="33.75" customHeight="1" thickBot="1" thickTop="1">
      <c r="A41" s="912"/>
      <c r="B41" s="1100"/>
      <c r="C41" s="1101" t="s">
        <v>32</v>
      </c>
      <c r="D41" s="1102" t="s">
        <v>60</v>
      </c>
      <c r="E41" s="1103" t="s">
        <v>61</v>
      </c>
      <c r="F41" s="1104" t="s">
        <v>62</v>
      </c>
      <c r="G41" s="996" t="s">
        <v>35</v>
      </c>
      <c r="H41" s="1105" t="s">
        <v>39</v>
      </c>
      <c r="I41" s="1106"/>
      <c r="J41" s="1103" t="s">
        <v>40</v>
      </c>
      <c r="K41" s="1103" t="s">
        <v>41</v>
      </c>
      <c r="L41" s="1102" t="s">
        <v>63</v>
      </c>
      <c r="M41" s="1102" t="s">
        <v>43</v>
      </c>
      <c r="N41" s="983" t="s">
        <v>398</v>
      </c>
      <c r="O41" s="1103" t="s">
        <v>46</v>
      </c>
      <c r="P41" s="1107" t="s">
        <v>64</v>
      </c>
      <c r="Q41" s="1108"/>
      <c r="R41" s="1105" t="s">
        <v>399</v>
      </c>
      <c r="S41" s="1109" t="s">
        <v>47</v>
      </c>
      <c r="T41" s="1110" t="s">
        <v>400</v>
      </c>
      <c r="U41" s="1111"/>
      <c r="V41" s="1112" t="s">
        <v>51</v>
      </c>
      <c r="W41" s="1113"/>
      <c r="X41" s="1114"/>
      <c r="Y41" s="1114"/>
      <c r="Z41" s="1114"/>
      <c r="AA41" s="1115"/>
      <c r="AB41" s="1116" t="s">
        <v>53</v>
      </c>
      <c r="AC41" s="996" t="s">
        <v>54</v>
      </c>
      <c r="AD41" s="932"/>
      <c r="AF41" s="914"/>
      <c r="AG41" s="914"/>
    </row>
    <row r="42" spans="1:30" ht="16.5" customHeight="1" thickTop="1">
      <c r="A42" s="913"/>
      <c r="B42" s="928"/>
      <c r="C42" s="998"/>
      <c r="D42" s="1117"/>
      <c r="E42" s="1117"/>
      <c r="F42" s="1117"/>
      <c r="G42" s="1118"/>
      <c r="H42" s="1119"/>
      <c r="I42" s="1120"/>
      <c r="J42" s="1117"/>
      <c r="K42" s="1117"/>
      <c r="L42" s="1117"/>
      <c r="M42" s="1117"/>
      <c r="N42" s="1117"/>
      <c r="O42" s="1121"/>
      <c r="P42" s="1122"/>
      <c r="Q42" s="1123"/>
      <c r="R42" s="1124"/>
      <c r="S42" s="1125"/>
      <c r="T42" s="1126"/>
      <c r="U42" s="1127"/>
      <c r="V42" s="1128"/>
      <c r="W42" s="1129"/>
      <c r="X42" s="1130"/>
      <c r="Y42" s="1130"/>
      <c r="Z42" s="1130"/>
      <c r="AA42" s="1131"/>
      <c r="AB42" s="1121"/>
      <c r="AC42" s="1132"/>
      <c r="AD42" s="932"/>
    </row>
    <row r="43" spans="1:30" ht="16.5" customHeight="1">
      <c r="A43" s="913"/>
      <c r="B43" s="928"/>
      <c r="C43" s="1021" t="s">
        <v>396</v>
      </c>
      <c r="D43" s="1133"/>
      <c r="E43" s="1133"/>
      <c r="F43" s="1134"/>
      <c r="G43" s="1135"/>
      <c r="H43" s="1136">
        <f>F43*$F$23</f>
        <v>0</v>
      </c>
      <c r="I43" s="1137"/>
      <c r="J43" s="1025"/>
      <c r="K43" s="1026"/>
      <c r="L43" s="1138">
        <f>IF(D43="","",(K43-J43)*24)</f>
      </c>
      <c r="M43" s="1139">
        <f>IF(D43="","",(K43-J43)*24*60)</f>
      </c>
      <c r="N43" s="1140"/>
      <c r="O43" s="1141">
        <f>IF(D43="","",IF(OR(N43="P",N43="RP"),"--","NO"))</f>
      </c>
      <c r="P43" s="1142"/>
      <c r="Q43" s="1143"/>
      <c r="R43" s="1144">
        <f>200*IF(OR(N43="P",N43="RP"),0.1,1)*IF(P43="SI",1,0.1)</f>
        <v>20</v>
      </c>
      <c r="S43" s="1145" t="str">
        <f>IF(N43="P",H43*R43*ROUND(M43/60,2),"--")</f>
        <v>--</v>
      </c>
      <c r="T43" s="1146" t="str">
        <f>IF(AND(N43="F",O43="NO"),H43*R43,"--")</f>
        <v>--</v>
      </c>
      <c r="U43" s="1147" t="str">
        <f>IF(N43="F",H43*R43*ROUND(M43/60,2),"--")</f>
        <v>--</v>
      </c>
      <c r="V43" s="1148" t="str">
        <f>IF(N43="RF",H43*R43*ROUND(M43/60,2),"--")</f>
        <v>--</v>
      </c>
      <c r="W43" s="1149"/>
      <c r="X43" s="1150"/>
      <c r="Y43" s="1150"/>
      <c r="Z43" s="1150"/>
      <c r="AA43" s="1151"/>
      <c r="AB43" s="1152">
        <f>IF(D43="","","SI")</f>
      </c>
      <c r="AC43" s="1153">
        <f>IF(D43="","",SUM(S43:V43)*IF(AB43="SI",1,2))</f>
      </c>
      <c r="AD43" s="932"/>
    </row>
    <row r="44" spans="1:30" ht="16.5" customHeight="1">
      <c r="A44" s="913"/>
      <c r="B44" s="928"/>
      <c r="C44" s="1021" t="s">
        <v>397</v>
      </c>
      <c r="D44" s="1154"/>
      <c r="E44" s="1155"/>
      <c r="F44" s="1156"/>
      <c r="G44" s="1157"/>
      <c r="H44" s="1136">
        <f>F44*$F$23</f>
        <v>0</v>
      </c>
      <c r="I44" s="1137"/>
      <c r="J44" s="1158"/>
      <c r="K44" s="1158"/>
      <c r="L44" s="1138">
        <f>IF(D44="","",(K44-J44)*24)</f>
      </c>
      <c r="M44" s="1139">
        <f>IF(D44="","",(K44-J44)*24*60)</f>
      </c>
      <c r="N44" s="1140"/>
      <c r="O44" s="1141">
        <f>IF(D44="","",IF(OR(N44="P",N44="RP"),"--","NO"))</f>
      </c>
      <c r="P44" s="1142">
        <f>IF(D44="","","NO")</f>
      </c>
      <c r="Q44" s="1143"/>
      <c r="R44" s="1144">
        <f>200*IF(OR(N44="P",N44="RP"),0.1,1)*IF(P44="SI",1,0.1)</f>
        <v>20</v>
      </c>
      <c r="S44" s="1145" t="str">
        <f>IF(N44="P",H44*R44*ROUND(M44/60,2),"--")</f>
        <v>--</v>
      </c>
      <c r="T44" s="1146" t="str">
        <f>IF(AND(N44="F",O44="NO"),H44*R44,"--")</f>
        <v>--</v>
      </c>
      <c r="U44" s="1147" t="str">
        <f>IF(N44="F",H44*R44*ROUND(M44/60,2),"--")</f>
        <v>--</v>
      </c>
      <c r="V44" s="1148" t="str">
        <f>IF(N44="RF",H44*R44*ROUND(M44/60,2),"--")</f>
        <v>--</v>
      </c>
      <c r="W44" s="1149"/>
      <c r="X44" s="1150"/>
      <c r="Y44" s="1150"/>
      <c r="Z44" s="1150"/>
      <c r="AA44" s="1151"/>
      <c r="AB44" s="1152">
        <f>IF(D44="","","SI")</f>
      </c>
      <c r="AC44" s="1153">
        <f>IF(D44="","",SUM(S44:V44)*IF(AB44="SI",1,2))</f>
      </c>
      <c r="AD44" s="932"/>
    </row>
    <row r="45" spans="1:30" ht="16.5" customHeight="1" thickBot="1">
      <c r="A45" s="953"/>
      <c r="B45" s="928"/>
      <c r="C45" s="1060"/>
      <c r="D45" s="1159"/>
      <c r="E45" s="1160"/>
      <c r="F45" s="1161"/>
      <c r="G45" s="1162"/>
      <c r="H45" s="1163"/>
      <c r="I45" s="1164"/>
      <c r="J45" s="1165"/>
      <c r="K45" s="1166"/>
      <c r="L45" s="1167"/>
      <c r="M45" s="1168"/>
      <c r="N45" s="1169"/>
      <c r="O45" s="1068"/>
      <c r="P45" s="1170"/>
      <c r="Q45" s="1171"/>
      <c r="R45" s="1172"/>
      <c r="S45" s="1173"/>
      <c r="T45" s="1174"/>
      <c r="U45" s="1175"/>
      <c r="V45" s="1176"/>
      <c r="W45" s="1177"/>
      <c r="X45" s="1178"/>
      <c r="Y45" s="1178"/>
      <c r="Z45" s="1178"/>
      <c r="AA45" s="1179"/>
      <c r="AB45" s="1180"/>
      <c r="AC45" s="1181"/>
      <c r="AD45" s="1082"/>
    </row>
    <row r="46" spans="1:30" ht="16.5" customHeight="1" thickBot="1" thickTop="1">
      <c r="A46" s="953"/>
      <c r="B46" s="928"/>
      <c r="C46" s="1182"/>
      <c r="D46" s="973"/>
      <c r="E46" s="973"/>
      <c r="F46" s="1183"/>
      <c r="G46" s="1184"/>
      <c r="H46" s="1086"/>
      <c r="I46" s="950"/>
      <c r="J46" s="1185"/>
      <c r="K46" s="1186"/>
      <c r="L46" s="1187"/>
      <c r="M46" s="1188"/>
      <c r="N46" s="1189"/>
      <c r="O46" s="1190"/>
      <c r="P46" s="1191"/>
      <c r="Q46" s="1191"/>
      <c r="R46" s="1192"/>
      <c r="S46" s="1193"/>
      <c r="T46" s="1194"/>
      <c r="U46" s="1194"/>
      <c r="V46" s="1195"/>
      <c r="W46" s="1196"/>
      <c r="X46" s="1196"/>
      <c r="Y46" s="1196"/>
      <c r="Z46" s="1196"/>
      <c r="AA46" s="1196"/>
      <c r="AB46" s="1197"/>
      <c r="AC46" s="1094">
        <f>SUM(AC42:AC45)</f>
        <v>0</v>
      </c>
      <c r="AD46" s="1082"/>
    </row>
    <row r="47" spans="1:30" ht="16.5" customHeight="1" thickBot="1" thickTop="1">
      <c r="A47" s="953"/>
      <c r="B47" s="928"/>
      <c r="C47" s="1182"/>
      <c r="D47" s="973"/>
      <c r="E47" s="973"/>
      <c r="F47" s="1183"/>
      <c r="G47" s="1184"/>
      <c r="H47" s="1086"/>
      <c r="I47" s="950"/>
      <c r="J47" s="1198"/>
      <c r="K47" s="1199"/>
      <c r="L47" s="1187"/>
      <c r="M47" s="1188"/>
      <c r="N47" s="1189"/>
      <c r="O47" s="1190"/>
      <c r="P47" s="1191"/>
      <c r="Q47" s="1191"/>
      <c r="R47" s="1192"/>
      <c r="S47" s="1193"/>
      <c r="T47" s="1194"/>
      <c r="U47" s="1194"/>
      <c r="V47" s="1195"/>
      <c r="W47" s="1196"/>
      <c r="X47" s="1196"/>
      <c r="Y47" s="1196"/>
      <c r="Z47" s="1196"/>
      <c r="AA47" s="1196"/>
      <c r="AB47" s="1197"/>
      <c r="AC47" s="1200"/>
      <c r="AD47" s="1082"/>
    </row>
    <row r="48" spans="1:30" ht="33.75" customHeight="1" thickBot="1" thickTop="1">
      <c r="A48" s="953"/>
      <c r="B48" s="928"/>
      <c r="C48" s="1101" t="s">
        <v>32</v>
      </c>
      <c r="D48" s="1102" t="s">
        <v>60</v>
      </c>
      <c r="E48" s="1103" t="s">
        <v>61</v>
      </c>
      <c r="F48" s="2736" t="s">
        <v>35</v>
      </c>
      <c r="G48" s="2737"/>
      <c r="H48" s="1105" t="s">
        <v>39</v>
      </c>
      <c r="I48" s="1106"/>
      <c r="J48" s="1103" t="s">
        <v>40</v>
      </c>
      <c r="K48" s="1103" t="s">
        <v>41</v>
      </c>
      <c r="L48" s="1102" t="s">
        <v>63</v>
      </c>
      <c r="M48" s="1102" t="s">
        <v>43</v>
      </c>
      <c r="N48" s="983" t="s">
        <v>398</v>
      </c>
      <c r="O48" s="2738" t="s">
        <v>46</v>
      </c>
      <c r="P48" s="2739"/>
      <c r="Q48" s="2740"/>
      <c r="R48" s="980" t="s">
        <v>38</v>
      </c>
      <c r="S48" s="1201" t="s">
        <v>73</v>
      </c>
      <c r="T48" s="1202" t="s">
        <v>74</v>
      </c>
      <c r="U48" s="1203"/>
      <c r="V48" s="1204" t="s">
        <v>51</v>
      </c>
      <c r="W48" s="1114"/>
      <c r="X48" s="1114"/>
      <c r="Y48" s="1114"/>
      <c r="Z48" s="1114"/>
      <c r="AA48" s="1115"/>
      <c r="AB48" s="1116" t="s">
        <v>53</v>
      </c>
      <c r="AC48" s="996" t="s">
        <v>54</v>
      </c>
      <c r="AD48" s="1082"/>
    </row>
    <row r="49" spans="1:30" ht="16.5" customHeight="1" thickTop="1">
      <c r="A49" s="953"/>
      <c r="B49" s="928"/>
      <c r="C49" s="998"/>
      <c r="D49" s="1117"/>
      <c r="E49" s="1117"/>
      <c r="F49" s="2741"/>
      <c r="G49" s="2742"/>
      <c r="H49" s="1119"/>
      <c r="I49" s="1120"/>
      <c r="J49" s="1117"/>
      <c r="K49" s="1117"/>
      <c r="L49" s="1117"/>
      <c r="M49" s="1117"/>
      <c r="N49" s="1117"/>
      <c r="O49" s="2741"/>
      <c r="P49" s="2743"/>
      <c r="Q49" s="2742"/>
      <c r="R49" s="1205"/>
      <c r="S49" s="1206"/>
      <c r="T49" s="1207"/>
      <c r="U49" s="1208"/>
      <c r="V49" s="1209"/>
      <c r="W49" s="1130"/>
      <c r="X49" s="1130"/>
      <c r="Y49" s="1130"/>
      <c r="Z49" s="1130"/>
      <c r="AA49" s="1131"/>
      <c r="AB49" s="1121"/>
      <c r="AC49" s="1132"/>
      <c r="AD49" s="1082"/>
    </row>
    <row r="50" spans="1:30" ht="16.5" customHeight="1">
      <c r="A50" s="953"/>
      <c r="B50" s="928"/>
      <c r="C50" s="1210" t="s">
        <v>396</v>
      </c>
      <c r="D50" s="1133"/>
      <c r="E50" s="1133"/>
      <c r="F50" s="2724"/>
      <c r="G50" s="2725"/>
      <c r="H50" s="1136">
        <f>IF(F50=500,$F$24,0)</f>
        <v>0</v>
      </c>
      <c r="I50" s="1137"/>
      <c r="J50" s="1025"/>
      <c r="K50" s="1026"/>
      <c r="L50" s="1138">
        <f>IF(D50="","",(K50-J50)*24)</f>
      </c>
      <c r="M50" s="1139">
        <f>IF(D50="","",(K50-J50)*24*60)</f>
      </c>
      <c r="N50" s="1140"/>
      <c r="O50" s="2721">
        <f>IF(D50="","",IF(N50="P","--","NO"))</f>
      </c>
      <c r="P50" s="2722"/>
      <c r="Q50" s="2723"/>
      <c r="R50" s="1205">
        <f>IF(F50=500,200,IF(F50=132,40,0))</f>
        <v>0</v>
      </c>
      <c r="S50" s="1211" t="str">
        <f>IF(N50="P",H50*R50*ROUND(M50/60,2)*0.1,"--")</f>
        <v>--</v>
      </c>
      <c r="T50" s="1212" t="str">
        <f>IF(AND(N50="F",O50="NO"),H50*R50,"--")</f>
        <v>--</v>
      </c>
      <c r="U50" s="1213" t="str">
        <f>IF(N50="F",H50*R50*ROUND(M50/60,2),"--")</f>
        <v>--</v>
      </c>
      <c r="V50" s="1148" t="str">
        <f>IF(N50="RF",H50*R50*ROUND(M50/60,2),"--")</f>
        <v>--</v>
      </c>
      <c r="W50" s="1150"/>
      <c r="X50" s="1150"/>
      <c r="Y50" s="1150"/>
      <c r="Z50" s="1150"/>
      <c r="AA50" s="1151"/>
      <c r="AB50" s="1152">
        <f>IF(D50="","","SI")</f>
      </c>
      <c r="AC50" s="1214">
        <f>IF(D50="","",SUM(S50:V50)*IF(AB50="SI",1,2))</f>
      </c>
      <c r="AD50" s="1082"/>
    </row>
    <row r="51" spans="1:30" ht="16.5" customHeight="1">
      <c r="A51" s="953"/>
      <c r="B51" s="928"/>
      <c r="C51" s="1021" t="s">
        <v>397</v>
      </c>
      <c r="D51" s="1154"/>
      <c r="E51" s="1155"/>
      <c r="F51" s="2724"/>
      <c r="G51" s="2725"/>
      <c r="H51" s="1136">
        <f>IF(F51=132,$F$24,0)</f>
        <v>0</v>
      </c>
      <c r="I51" s="1137"/>
      <c r="J51" s="1158"/>
      <c r="K51" s="1158"/>
      <c r="L51" s="1138">
        <f>IF(D51="","",(K51-J51)*24)</f>
      </c>
      <c r="M51" s="1139">
        <f>IF(D51="","",(K51-J51)*24*60)</f>
      </c>
      <c r="N51" s="1140"/>
      <c r="O51" s="2721">
        <f>IF(D51="","",IF(N51="P","--","NO"))</f>
      </c>
      <c r="P51" s="2722"/>
      <c r="Q51" s="2723"/>
      <c r="R51" s="1205">
        <f>IF(F51=500,200,IF(F51=132,40,0))</f>
        <v>0</v>
      </c>
      <c r="S51" s="1211" t="str">
        <f>IF(N51="P",H51*R51*ROUND(M51/60,2)*0.1,"--")</f>
        <v>--</v>
      </c>
      <c r="T51" s="1212" t="str">
        <f>IF(AND(N51="F",O51="NO"),H51*R51,"--")</f>
        <v>--</v>
      </c>
      <c r="U51" s="1213" t="str">
        <f>IF(N51="F",H51*R51*ROUND(M51/60,2),"--")</f>
        <v>--</v>
      </c>
      <c r="V51" s="1148" t="str">
        <f>IF(N51="RF",H51*R51*ROUND(M51/60,2),"--")</f>
        <v>--</v>
      </c>
      <c r="W51" s="1150"/>
      <c r="X51" s="1150"/>
      <c r="Y51" s="1150"/>
      <c r="Z51" s="1150"/>
      <c r="AA51" s="1151"/>
      <c r="AB51" s="1152">
        <f>IF(D51="","","SI")</f>
      </c>
      <c r="AC51" s="1214">
        <f>IF(D51="","",SUM(S51:V51)*IF(AB51="SI",1,2))</f>
      </c>
      <c r="AD51" s="1082"/>
    </row>
    <row r="52" spans="1:30" ht="16.5" customHeight="1">
      <c r="A52" s="953"/>
      <c r="B52" s="928"/>
      <c r="C52" s="1021" t="s">
        <v>401</v>
      </c>
      <c r="D52" s="1154"/>
      <c r="E52" s="1155"/>
      <c r="F52" s="2724"/>
      <c r="G52" s="2725"/>
      <c r="H52" s="1136">
        <f>IF(F52=132,$F$24,0)</f>
        <v>0</v>
      </c>
      <c r="I52" s="1137"/>
      <c r="J52" s="1158"/>
      <c r="K52" s="1158"/>
      <c r="L52" s="1138">
        <f>IF(D52="","",(K52-J52)*24)</f>
      </c>
      <c r="M52" s="1139">
        <f>IF(D52="","",(K52-J52)*24*60)</f>
      </c>
      <c r="N52" s="1140"/>
      <c r="O52" s="2721">
        <f>IF(D52="","",IF(N52="P","--","NO"))</f>
      </c>
      <c r="P52" s="2722"/>
      <c r="Q52" s="2723"/>
      <c r="R52" s="1205">
        <f>IF(F52=500,200,IF(F52=132,40,0))</f>
        <v>0</v>
      </c>
      <c r="S52" s="1211" t="str">
        <f>IF(N52="P",H52*R52*ROUND(M52/60,2)*0.1,"--")</f>
        <v>--</v>
      </c>
      <c r="T52" s="1212" t="str">
        <f>IF(AND(N52="F",O52="NO"),H52*R52,"--")</f>
        <v>--</v>
      </c>
      <c r="U52" s="1213" t="str">
        <f>IF(N52="F",H52*R52*ROUND(M52/60,2),"--")</f>
        <v>--</v>
      </c>
      <c r="V52" s="1148" t="str">
        <f>IF(N52="RF",H52*R52*ROUND(M52/60,2),"--")</f>
        <v>--</v>
      </c>
      <c r="W52" s="1150"/>
      <c r="X52" s="1150"/>
      <c r="Y52" s="1150"/>
      <c r="Z52" s="1150"/>
      <c r="AA52" s="1151"/>
      <c r="AB52" s="1152">
        <f>IF(D52="","","SI")</f>
      </c>
      <c r="AC52" s="1214">
        <f>IF(D52="","",SUM(S52:V52)*IF(AB52="SI",1,2))</f>
      </c>
      <c r="AD52" s="1082"/>
    </row>
    <row r="53" spans="1:30" ht="16.5" customHeight="1" thickBot="1">
      <c r="A53" s="953"/>
      <c r="B53" s="928"/>
      <c r="C53" s="1060"/>
      <c r="D53" s="1159"/>
      <c r="E53" s="1160"/>
      <c r="F53" s="2749"/>
      <c r="G53" s="2750"/>
      <c r="H53" s="1163"/>
      <c r="I53" s="1164"/>
      <c r="J53" s="1165"/>
      <c r="K53" s="1166"/>
      <c r="L53" s="1167"/>
      <c r="M53" s="1168"/>
      <c r="N53" s="1169"/>
      <c r="O53" s="2718"/>
      <c r="P53" s="2719"/>
      <c r="Q53" s="2720"/>
      <c r="R53" s="1205"/>
      <c r="S53" s="1211"/>
      <c r="T53" s="1212"/>
      <c r="U53" s="1213"/>
      <c r="V53" s="1148"/>
      <c r="W53" s="1178"/>
      <c r="X53" s="1178"/>
      <c r="Y53" s="1178"/>
      <c r="Z53" s="1178"/>
      <c r="AA53" s="1179"/>
      <c r="AB53" s="1180"/>
      <c r="AC53" s="1214">
        <f>IF(D53="","",SUM(S53:V53)*IF(AB53="SI",1,2))</f>
      </c>
      <c r="AD53" s="1082"/>
    </row>
    <row r="54" spans="1:30" ht="16.5" customHeight="1" thickBot="1" thickTop="1">
      <c r="A54" s="953"/>
      <c r="B54" s="928"/>
      <c r="C54" s="1182"/>
      <c r="D54" s="973"/>
      <c r="E54" s="973"/>
      <c r="F54" s="1183"/>
      <c r="G54" s="1184"/>
      <c r="H54" s="1189"/>
      <c r="I54" s="1198"/>
      <c r="J54" s="1199"/>
      <c r="K54" s="1187"/>
      <c r="L54" s="1188"/>
      <c r="M54" s="1189"/>
      <c r="N54" s="1215"/>
      <c r="O54" s="1190"/>
      <c r="P54" s="1216"/>
      <c r="Q54" s="1217"/>
      <c r="R54" s="1218"/>
      <c r="S54" s="1218"/>
      <c r="T54" s="1218"/>
      <c r="U54" s="1197"/>
      <c r="V54" s="1197"/>
      <c r="W54" s="1197"/>
      <c r="X54" s="1197"/>
      <c r="Y54" s="1197"/>
      <c r="Z54" s="1197"/>
      <c r="AA54" s="1197"/>
      <c r="AB54" s="1197"/>
      <c r="AC54" s="1219">
        <f>SUM(AC49:AC53)</f>
        <v>0</v>
      </c>
      <c r="AD54" s="1082"/>
    </row>
    <row r="55" spans="1:30" ht="16.5" customHeight="1" thickBot="1" thickTop="1">
      <c r="A55" s="953"/>
      <c r="B55" s="928"/>
      <c r="C55" s="1182"/>
      <c r="D55" s="973"/>
      <c r="E55" s="973"/>
      <c r="F55" s="1183"/>
      <c r="G55" s="1184"/>
      <c r="H55" s="1086"/>
      <c r="I55" s="950"/>
      <c r="J55" s="1085"/>
      <c r="K55" s="950"/>
      <c r="L55" s="1187"/>
      <c r="M55" s="1188"/>
      <c r="N55" s="1189"/>
      <c r="O55" s="1190"/>
      <c r="P55" s="1191"/>
      <c r="Q55" s="1191"/>
      <c r="R55" s="1192"/>
      <c r="S55" s="1193"/>
      <c r="T55" s="1194"/>
      <c r="U55" s="1194"/>
      <c r="V55" s="1195"/>
      <c r="W55" s="1196"/>
      <c r="X55" s="1196"/>
      <c r="Y55" s="1196"/>
      <c r="Z55" s="1196"/>
      <c r="AA55" s="1196"/>
      <c r="AB55" s="1197"/>
      <c r="AC55" s="1200"/>
      <c r="AD55" s="1082"/>
    </row>
    <row r="56" spans="1:30" ht="49.5" customHeight="1" thickBot="1" thickTop="1">
      <c r="A56" s="953"/>
      <c r="B56" s="928"/>
      <c r="C56" s="1101" t="s">
        <v>32</v>
      </c>
      <c r="D56" s="984" t="s">
        <v>60</v>
      </c>
      <c r="E56" s="981" t="s">
        <v>61</v>
      </c>
      <c r="F56" s="2747" t="s">
        <v>62</v>
      </c>
      <c r="G56" s="2748"/>
      <c r="H56" s="1105" t="s">
        <v>39</v>
      </c>
      <c r="I56" s="1220"/>
      <c r="J56" s="981" t="s">
        <v>40</v>
      </c>
      <c r="K56" s="981" t="s">
        <v>41</v>
      </c>
      <c r="L56" s="984" t="s">
        <v>42</v>
      </c>
      <c r="M56" s="984" t="s">
        <v>43</v>
      </c>
      <c r="N56" s="983" t="s">
        <v>251</v>
      </c>
      <c r="O56" s="983" t="s">
        <v>44</v>
      </c>
      <c r="P56" s="2726" t="s">
        <v>46</v>
      </c>
      <c r="Q56" s="2727"/>
      <c r="R56" s="1105" t="s">
        <v>38</v>
      </c>
      <c r="S56" s="1221" t="s">
        <v>73</v>
      </c>
      <c r="T56" s="1222" t="s">
        <v>363</v>
      </c>
      <c r="U56" s="1223"/>
      <c r="V56" s="1224" t="s">
        <v>51</v>
      </c>
      <c r="W56" s="1225" t="s">
        <v>48</v>
      </c>
      <c r="Z56" s="1196"/>
      <c r="AA56" s="1196"/>
      <c r="AB56" s="1116" t="s">
        <v>53</v>
      </c>
      <c r="AC56" s="1226" t="s">
        <v>54</v>
      </c>
      <c r="AD56" s="1082"/>
    </row>
    <row r="57" spans="1:30" ht="16.5" customHeight="1" thickTop="1">
      <c r="A57" s="953"/>
      <c r="B57" s="928"/>
      <c r="C57" s="1227"/>
      <c r="D57" s="1228"/>
      <c r="E57" s="1228"/>
      <c r="F57" s="2728"/>
      <c r="G57" s="2729"/>
      <c r="H57" s="1229"/>
      <c r="I57" s="1230"/>
      <c r="J57" s="1231"/>
      <c r="K57" s="1231"/>
      <c r="L57" s="1232"/>
      <c r="M57" s="1232"/>
      <c r="N57" s="1228"/>
      <c r="O57" s="1233"/>
      <c r="P57" s="2728"/>
      <c r="Q57" s="2729"/>
      <c r="R57" s="1234"/>
      <c r="S57" s="1235"/>
      <c r="T57" s="1236"/>
      <c r="U57" s="1237"/>
      <c r="V57" s="1238"/>
      <c r="W57" s="1238"/>
      <c r="Z57" s="1196"/>
      <c r="AA57" s="1196"/>
      <c r="AB57" s="1239"/>
      <c r="AC57" s="1240"/>
      <c r="AD57" s="1082"/>
    </row>
    <row r="58" spans="1:30" ht="16.5" customHeight="1">
      <c r="A58" s="953"/>
      <c r="B58" s="928"/>
      <c r="C58" s="1021" t="s">
        <v>396</v>
      </c>
      <c r="D58" s="1241"/>
      <c r="E58" s="1241"/>
      <c r="F58" s="2744"/>
      <c r="G58" s="2745"/>
      <c r="H58" s="1242">
        <f>F58*$F$23</f>
        <v>0</v>
      </c>
      <c r="I58" s="1243"/>
      <c r="J58" s="1244"/>
      <c r="K58" s="1245"/>
      <c r="L58" s="1247">
        <f>IF(D58="","",(K58-J58)*24)</f>
      </c>
      <c r="M58" s="1028">
        <f>IF(D58="","",ROUND((K58-J58)*24*60,0))</f>
      </c>
      <c r="N58" s="1248"/>
      <c r="O58" s="1249">
        <f>IF(D58="","","--")</f>
      </c>
      <c r="P58" s="2730"/>
      <c r="Q58" s="2731"/>
      <c r="R58" s="1250">
        <f>IF(OR(N58="P",N58="RP"),$N$24/10,$N$24)</f>
        <v>20</v>
      </c>
      <c r="S58" s="1251" t="str">
        <f>IF(N58="P",H58*R58*ROUND(M58/60,2),"--")</f>
        <v>--</v>
      </c>
      <c r="T58" s="1252" t="str">
        <f>IF(AND(N58="F",P58="NO"),H58*R58,"--")</f>
        <v>--</v>
      </c>
      <c r="U58" s="1253" t="str">
        <f>IF(N58="F",H58*R58*ROUND(M58/60,2),"--")</f>
        <v>--</v>
      </c>
      <c r="V58" s="1254" t="str">
        <f>IF(N58="RF",H58*R58*ROUND(M58/60,2),"--")</f>
        <v>--</v>
      </c>
      <c r="W58" s="1254" t="str">
        <f>IF(O58="RP",J58*R58*P58/100*ROUND(N58/60,2),"--")</f>
        <v>--</v>
      </c>
      <c r="X58" s="1255"/>
      <c r="Y58" s="1255"/>
      <c r="Z58" s="1256"/>
      <c r="AA58" s="1256"/>
      <c r="AB58" s="1029">
        <f>IF(D58="","","SI")</f>
      </c>
      <c r="AC58" s="1257">
        <f>IF(D58="","",SUM(S58:W58)*IF(AB58="SI",1,2)*IF(AND(O58&lt;&gt;"--",N58="RF"),O58/100,1))</f>
      </c>
      <c r="AD58" s="1082"/>
    </row>
    <row r="59" spans="1:30" ht="16.5" customHeight="1" thickBot="1">
      <c r="A59" s="953"/>
      <c r="B59" s="928"/>
      <c r="C59" s="1021" t="s">
        <v>397</v>
      </c>
      <c r="D59" s="1241"/>
      <c r="E59" s="1241"/>
      <c r="F59" s="2744"/>
      <c r="G59" s="2745"/>
      <c r="H59" s="1242"/>
      <c r="I59" s="1258"/>
      <c r="J59" s="1244"/>
      <c r="K59" s="1245"/>
      <c r="L59" s="1247"/>
      <c r="M59" s="1028"/>
      <c r="N59" s="1248"/>
      <c r="O59" s="1249"/>
      <c r="P59" s="2730"/>
      <c r="Q59" s="2731"/>
      <c r="R59" s="1250"/>
      <c r="S59" s="1251"/>
      <c r="T59" s="1252"/>
      <c r="U59" s="1253"/>
      <c r="V59" s="1254"/>
      <c r="W59" s="1254"/>
      <c r="X59" s="1259"/>
      <c r="Y59" s="1259"/>
      <c r="Z59" s="1260"/>
      <c r="AA59" s="1260"/>
      <c r="AB59" s="1029"/>
      <c r="AC59" s="1257"/>
      <c r="AD59" s="1082"/>
    </row>
    <row r="60" spans="1:30" ht="16.5" customHeight="1" thickBot="1" thickTop="1">
      <c r="A60" s="953"/>
      <c r="B60" s="928"/>
      <c r="C60" s="1261"/>
      <c r="D60" s="1262"/>
      <c r="E60" s="1262"/>
      <c r="F60" s="2733"/>
      <c r="G60" s="2734"/>
      <c r="H60" s="1263"/>
      <c r="I60" s="1264"/>
      <c r="J60" s="1265"/>
      <c r="K60" s="1266"/>
      <c r="L60" s="1267"/>
      <c r="M60" s="1268"/>
      <c r="N60" s="1269"/>
      <c r="O60" s="1270"/>
      <c r="P60" s="2718"/>
      <c r="Q60" s="2720"/>
      <c r="R60" s="1271"/>
      <c r="S60" s="1272"/>
      <c r="T60" s="1273"/>
      <c r="U60" s="1274"/>
      <c r="V60" s="1275"/>
      <c r="W60" s="1275"/>
      <c r="X60" s="1276"/>
      <c r="Y60" s="1276"/>
      <c r="Z60" s="1178"/>
      <c r="AA60" s="1178"/>
      <c r="AB60" s="1068"/>
      <c r="AC60" s="1277"/>
      <c r="AD60" s="1082"/>
    </row>
    <row r="61" spans="1:30" ht="16.5" customHeight="1" thickBot="1" thickTop="1">
      <c r="A61" s="953"/>
      <c r="B61" s="928"/>
      <c r="C61" s="1182"/>
      <c r="D61" s="973"/>
      <c r="E61" s="973"/>
      <c r="F61" s="1183"/>
      <c r="G61" s="1184"/>
      <c r="H61" s="1086"/>
      <c r="J61" s="1198"/>
      <c r="K61" s="1199"/>
      <c r="L61" s="1187"/>
      <c r="M61" s="1188"/>
      <c r="N61" s="1189"/>
      <c r="O61" s="1190"/>
      <c r="P61" s="1191"/>
      <c r="Q61" s="1191"/>
      <c r="R61" s="1192"/>
      <c r="S61" s="1193"/>
      <c r="T61" s="1194"/>
      <c r="U61" s="1194"/>
      <c r="V61" s="1195"/>
      <c r="W61" s="1196"/>
      <c r="X61" s="1196"/>
      <c r="Y61" s="1196"/>
      <c r="Z61" s="1196"/>
      <c r="AA61" s="1196"/>
      <c r="AB61" s="1197"/>
      <c r="AC61" s="1094">
        <f>SUM(AC57:AC60)</f>
        <v>0</v>
      </c>
      <c r="AD61" s="1082"/>
    </row>
    <row r="62" spans="1:30" ht="16.5" customHeight="1" thickBot="1" thickTop="1">
      <c r="A62" s="953"/>
      <c r="B62" s="928"/>
      <c r="C62" s="1182"/>
      <c r="D62" s="973"/>
      <c r="E62" s="973"/>
      <c r="F62" s="1183"/>
      <c r="G62" s="1184"/>
      <c r="H62" s="1086"/>
      <c r="J62" s="1198"/>
      <c r="K62" s="1199"/>
      <c r="L62" s="1187"/>
      <c r="M62" s="1188"/>
      <c r="N62" s="1189"/>
      <c r="O62" s="1190"/>
      <c r="P62" s="1191"/>
      <c r="Q62" s="1191"/>
      <c r="R62" s="1192"/>
      <c r="S62" s="1193"/>
      <c r="T62" s="1194"/>
      <c r="U62" s="1194"/>
      <c r="V62" s="1195"/>
      <c r="W62" s="1196"/>
      <c r="X62" s="1196"/>
      <c r="Y62" s="1196"/>
      <c r="Z62" s="1196"/>
      <c r="AA62" s="1196"/>
      <c r="AB62" s="1197"/>
      <c r="AC62" s="1200"/>
      <c r="AD62" s="1082"/>
    </row>
    <row r="63" spans="1:30" ht="16.5" customHeight="1" thickBot="1" thickTop="1">
      <c r="A63" s="953"/>
      <c r="B63" s="928"/>
      <c r="C63" s="1182"/>
      <c r="D63" s="973"/>
      <c r="E63" s="973"/>
      <c r="F63" s="1183"/>
      <c r="G63" s="1184"/>
      <c r="H63" s="1189"/>
      <c r="I63" s="1198"/>
      <c r="J63" s="971" t="s">
        <v>402</v>
      </c>
      <c r="K63" s="972">
        <f>AC46+AC39+AC54+AC61</f>
        <v>14029.5549282</v>
      </c>
      <c r="L63" s="1188"/>
      <c r="M63" s="1189"/>
      <c r="N63" s="1278"/>
      <c r="O63" s="1191"/>
      <c r="P63" s="1216"/>
      <c r="Q63" s="1217"/>
      <c r="R63" s="1218"/>
      <c r="S63" s="1218"/>
      <c r="T63" s="1218"/>
      <c r="U63" s="1197"/>
      <c r="V63" s="1197"/>
      <c r="W63" s="1197"/>
      <c r="X63" s="1197"/>
      <c r="Y63" s="1197"/>
      <c r="Z63" s="1197"/>
      <c r="AA63" s="1197"/>
      <c r="AB63" s="1197"/>
      <c r="AC63" s="1279"/>
      <c r="AD63" s="1082"/>
    </row>
    <row r="64" spans="1:30" ht="13.5" customHeight="1" thickTop="1">
      <c r="A64" s="953"/>
      <c r="B64" s="954"/>
      <c r="C64" s="958"/>
      <c r="D64" s="1280"/>
      <c r="E64" s="1281"/>
      <c r="F64" s="1282"/>
      <c r="G64" s="1283"/>
      <c r="H64" s="1283"/>
      <c r="I64" s="1281"/>
      <c r="J64" s="1284"/>
      <c r="K64" s="1284"/>
      <c r="L64" s="1281"/>
      <c r="M64" s="1281"/>
      <c r="N64" s="1281"/>
      <c r="O64" s="1285"/>
      <c r="P64" s="1281"/>
      <c r="Q64" s="1281"/>
      <c r="R64" s="1286"/>
      <c r="S64" s="1287"/>
      <c r="T64" s="1287"/>
      <c r="U64" s="1288"/>
      <c r="AC64" s="1288"/>
      <c r="AD64" s="1289"/>
    </row>
    <row r="65" spans="1:30" ht="16.5" customHeight="1">
      <c r="A65" s="953"/>
      <c r="B65" s="954"/>
      <c r="C65" s="1290" t="s">
        <v>403</v>
      </c>
      <c r="D65" s="1291" t="s">
        <v>422</v>
      </c>
      <c r="E65" s="1281"/>
      <c r="F65" s="1282"/>
      <c r="G65" s="1283"/>
      <c r="H65" s="1283"/>
      <c r="I65" s="1281"/>
      <c r="J65" s="1284"/>
      <c r="K65" s="1284"/>
      <c r="L65" s="1281"/>
      <c r="M65" s="1281"/>
      <c r="N65" s="1281"/>
      <c r="O65" s="1285"/>
      <c r="P65" s="1281"/>
      <c r="Q65" s="1281"/>
      <c r="R65" s="1286"/>
      <c r="S65" s="1287"/>
      <c r="T65" s="1287"/>
      <c r="U65" s="1288"/>
      <c r="AC65" s="1288"/>
      <c r="AD65" s="1289"/>
    </row>
    <row r="66" spans="1:30" ht="16.5" customHeight="1">
      <c r="A66" s="953"/>
      <c r="B66" s="954"/>
      <c r="C66" s="1290"/>
      <c r="D66" s="1280"/>
      <c r="E66" s="1281"/>
      <c r="F66" s="1282"/>
      <c r="G66" s="1283"/>
      <c r="H66" s="1283"/>
      <c r="I66" s="1281"/>
      <c r="J66" s="1284"/>
      <c r="K66" s="1284"/>
      <c r="L66" s="1281"/>
      <c r="M66" s="1281"/>
      <c r="N66" s="1281"/>
      <c r="O66" s="1285"/>
      <c r="P66" s="1281"/>
      <c r="Q66" s="1281"/>
      <c r="R66" s="1281"/>
      <c r="S66" s="1286"/>
      <c r="T66" s="1287"/>
      <c r="AD66" s="1289"/>
    </row>
    <row r="67" spans="2:30" s="953" customFormat="1" ht="16.5" customHeight="1">
      <c r="B67" s="954"/>
      <c r="C67" s="958"/>
      <c r="D67" s="967" t="s">
        <v>5</v>
      </c>
      <c r="E67" s="1085" t="s">
        <v>404</v>
      </c>
      <c r="F67" s="1085" t="s">
        <v>405</v>
      </c>
      <c r="G67" s="1292" t="s">
        <v>423</v>
      </c>
      <c r="H67" s="1086"/>
      <c r="I67" s="1085"/>
      <c r="J67" s="914"/>
      <c r="K67" s="914"/>
      <c r="L67" s="1293" t="s">
        <v>424</v>
      </c>
      <c r="M67" s="914"/>
      <c r="N67" s="914"/>
      <c r="O67" s="914"/>
      <c r="P67" s="914"/>
      <c r="Q67" s="1294"/>
      <c r="R67" s="1294"/>
      <c r="S67" s="955"/>
      <c r="T67" s="914"/>
      <c r="U67" s="914"/>
      <c r="V67" s="914"/>
      <c r="W67" s="914"/>
      <c r="X67" s="955"/>
      <c r="Y67" s="955"/>
      <c r="Z67" s="955"/>
      <c r="AA67" s="955"/>
      <c r="AB67" s="955"/>
      <c r="AC67" s="1295" t="s">
        <v>425</v>
      </c>
      <c r="AD67" s="1289"/>
    </row>
    <row r="68" spans="2:30" s="953" customFormat="1" ht="16.5" customHeight="1">
      <c r="B68" s="954"/>
      <c r="C68" s="958"/>
      <c r="D68" s="1085" t="s">
        <v>406</v>
      </c>
      <c r="E68" s="1296">
        <v>285</v>
      </c>
      <c r="F68" s="1296">
        <v>500</v>
      </c>
      <c r="G68" s="1297">
        <f>E68*$F$22*$N$23/100</f>
        <v>500959.3427999999</v>
      </c>
      <c r="H68" s="1297"/>
      <c r="I68" s="1297"/>
      <c r="J68" s="943"/>
      <c r="K68" s="914"/>
      <c r="L68" s="1298">
        <v>639154</v>
      </c>
      <c r="M68" s="943"/>
      <c r="N68" s="1299" t="str">
        <f>"(DTE "&amp;DATO!$G$14&amp;DATO!$H$14&amp;")"</f>
        <v>(DTE 0312)</v>
      </c>
      <c r="O68" s="914"/>
      <c r="P68" s="914"/>
      <c r="Q68" s="1294"/>
      <c r="R68" s="1294"/>
      <c r="S68" s="955"/>
      <c r="T68" s="914"/>
      <c r="U68" s="914"/>
      <c r="V68" s="914"/>
      <c r="W68" s="914"/>
      <c r="X68" s="955"/>
      <c r="Y68" s="955"/>
      <c r="Z68" s="955"/>
      <c r="AA68" s="955"/>
      <c r="AB68" s="1300"/>
      <c r="AC68" s="1301">
        <f>L68+G68</f>
        <v>1140113.3428</v>
      </c>
      <c r="AD68" s="1289"/>
    </row>
    <row r="69" spans="2:30" s="953" customFormat="1" ht="16.5" customHeight="1">
      <c r="B69" s="954"/>
      <c r="C69" s="958"/>
      <c r="D69" s="1085" t="s">
        <v>407</v>
      </c>
      <c r="E69" s="1296">
        <v>46.63</v>
      </c>
      <c r="F69" s="1296">
        <v>500</v>
      </c>
      <c r="G69" s="1297">
        <f>E69*$F$22*$N$23/100</f>
        <v>81963.97949040002</v>
      </c>
      <c r="H69" s="1297"/>
      <c r="I69" s="1297"/>
      <c r="J69" s="943"/>
      <c r="K69" s="914"/>
      <c r="L69" s="1298">
        <v>34</v>
      </c>
      <c r="M69" s="943"/>
      <c r="N69" s="1299" t="str">
        <f>"(DTE "&amp;DATO!$G$14&amp;DATO!$H$14&amp;")"</f>
        <v>(DTE 0312)</v>
      </c>
      <c r="O69" s="914"/>
      <c r="P69" s="914"/>
      <c r="Q69" s="1294"/>
      <c r="R69" s="1294"/>
      <c r="S69" s="955"/>
      <c r="T69" s="914"/>
      <c r="U69" s="914"/>
      <c r="V69" s="914"/>
      <c r="W69" s="914"/>
      <c r="X69" s="955"/>
      <c r="Y69" s="955"/>
      <c r="Z69" s="955"/>
      <c r="AA69" s="955"/>
      <c r="AB69" s="1300"/>
      <c r="AC69" s="1301">
        <f>L69+G69</f>
        <v>81997.97949040002</v>
      </c>
      <c r="AD69" s="1289"/>
    </row>
    <row r="70" spans="2:30" s="953" customFormat="1" ht="16.5" customHeight="1">
      <c r="B70" s="954"/>
      <c r="C70" s="958"/>
      <c r="D70" s="1085" t="s">
        <v>408</v>
      </c>
      <c r="E70" s="1296">
        <v>297.7</v>
      </c>
      <c r="F70" s="1296">
        <v>500</v>
      </c>
      <c r="G70" s="1297">
        <f>E70*$F$22*$N$23/100</f>
        <v>523282.794216</v>
      </c>
      <c r="H70" s="1297"/>
      <c r="I70" s="1297"/>
      <c r="J70" s="943"/>
      <c r="K70" s="914"/>
      <c r="L70" s="1298">
        <v>0</v>
      </c>
      <c r="M70" s="943"/>
      <c r="N70" s="1299" t="str">
        <f>"(DTE "&amp;DATO!$G$14&amp;DATO!$H$14&amp;")"</f>
        <v>(DTE 0312)</v>
      </c>
      <c r="O70" s="914"/>
      <c r="P70" s="914"/>
      <c r="Q70" s="1294"/>
      <c r="R70" s="1294"/>
      <c r="S70" s="955"/>
      <c r="T70" s="914"/>
      <c r="U70" s="914"/>
      <c r="V70" s="914"/>
      <c r="W70" s="914"/>
      <c r="X70" s="955"/>
      <c r="Y70" s="955"/>
      <c r="Z70" s="955"/>
      <c r="AA70" s="955"/>
      <c r="AB70" s="1300"/>
      <c r="AC70" s="1301">
        <f>L70+G70</f>
        <v>523282.794216</v>
      </c>
      <c r="AD70" s="1289"/>
    </row>
    <row r="71" spans="2:30" s="953" customFormat="1" ht="16.5" customHeight="1">
      <c r="B71" s="954"/>
      <c r="C71" s="958"/>
      <c r="D71" s="1302"/>
      <c r="E71" s="1296"/>
      <c r="F71" s="1296"/>
      <c r="G71" s="1297"/>
      <c r="H71" s="1302"/>
      <c r="I71" s="1303"/>
      <c r="J71" s="943"/>
      <c r="K71" s="914"/>
      <c r="L71" s="1297"/>
      <c r="M71" s="943"/>
      <c r="N71" s="1299"/>
      <c r="O71" s="1304"/>
      <c r="P71" s="914"/>
      <c r="Q71" s="1294"/>
      <c r="R71" s="1294"/>
      <c r="S71" s="955"/>
      <c r="T71" s="914"/>
      <c r="U71" s="914"/>
      <c r="V71" s="914"/>
      <c r="W71" s="914"/>
      <c r="X71" s="955"/>
      <c r="Y71" s="955"/>
      <c r="Z71" s="955"/>
      <c r="AA71" s="955"/>
      <c r="AB71" s="955"/>
      <c r="AC71" s="1301"/>
      <c r="AD71" s="1289"/>
    </row>
    <row r="72" spans="1:30" ht="16.5" customHeight="1">
      <c r="A72" s="953"/>
      <c r="B72" s="954"/>
      <c r="C72" s="958"/>
      <c r="D72" s="1612" t="s">
        <v>532</v>
      </c>
      <c r="E72" s="1482" t="s">
        <v>409</v>
      </c>
      <c r="F72" s="1482" t="s">
        <v>405</v>
      </c>
      <c r="G72" s="1613" t="s">
        <v>533</v>
      </c>
      <c r="I72" s="1305"/>
      <c r="J72" s="1085"/>
      <c r="L72" s="1293"/>
      <c r="M72" s="1305"/>
      <c r="N72" s="1306"/>
      <c r="O72" s="1294"/>
      <c r="P72" s="1294"/>
      <c r="Q72" s="1294"/>
      <c r="R72" s="1294"/>
      <c r="S72" s="1294"/>
      <c r="AC72" s="1301"/>
      <c r="AD72" s="1289"/>
    </row>
    <row r="73" spans="1:30" ht="16.5" customHeight="1">
      <c r="A73" s="953"/>
      <c r="B73" s="954"/>
      <c r="C73" s="958"/>
      <c r="D73" s="1482" t="s">
        <v>412</v>
      </c>
      <c r="E73" s="1620">
        <v>450</v>
      </c>
      <c r="F73" s="1620">
        <v>500</v>
      </c>
      <c r="G73" s="1621">
        <f>+E73*F23*N23</f>
        <v>217285.2</v>
      </c>
      <c r="H73" s="943"/>
      <c r="I73" s="943"/>
      <c r="J73" s="1298"/>
      <c r="L73" s="1297"/>
      <c r="M73" s="943"/>
      <c r="N73" s="1299"/>
      <c r="O73" s="1307"/>
      <c r="P73" s="1307"/>
      <c r="Q73" s="1307"/>
      <c r="R73" s="1307"/>
      <c r="S73" s="1307"/>
      <c r="AC73" s="1308">
        <f>G73+L73</f>
        <v>217285.2</v>
      </c>
      <c r="AD73" s="1289"/>
    </row>
    <row r="74" spans="1:30" ht="16.5" customHeight="1">
      <c r="A74" s="953"/>
      <c r="B74" s="954"/>
      <c r="C74" s="958"/>
      <c r="D74" s="1482" t="s">
        <v>534</v>
      </c>
      <c r="E74" s="1620">
        <v>300</v>
      </c>
      <c r="F74" s="1620">
        <v>500</v>
      </c>
      <c r="G74" s="1621">
        <f>+E74*F23*N23</f>
        <v>144856.80000000002</v>
      </c>
      <c r="H74" s="943"/>
      <c r="I74" s="943"/>
      <c r="J74" s="1298"/>
      <c r="L74" s="1297"/>
      <c r="M74" s="943"/>
      <c r="N74" s="1299"/>
      <c r="O74" s="1307"/>
      <c r="P74" s="1307"/>
      <c r="Q74" s="1307"/>
      <c r="R74" s="1307"/>
      <c r="S74" s="1307"/>
      <c r="AC74" s="1308">
        <f>G74+L74</f>
        <v>144856.80000000002</v>
      </c>
      <c r="AD74" s="1289"/>
    </row>
    <row r="75" spans="1:30" ht="16.5" customHeight="1">
      <c r="A75" s="953"/>
      <c r="B75" s="954"/>
      <c r="C75" s="958"/>
      <c r="D75" s="1085"/>
      <c r="E75" s="1296"/>
      <c r="F75" s="1296"/>
      <c r="G75" s="1297"/>
      <c r="H75" s="943"/>
      <c r="I75" s="943"/>
      <c r="J75" s="1298"/>
      <c r="L75" s="1297"/>
      <c r="M75" s="943"/>
      <c r="N75" s="1299"/>
      <c r="O75" s="1307"/>
      <c r="P75" s="1307"/>
      <c r="Q75" s="1307"/>
      <c r="R75" s="1307"/>
      <c r="S75" s="1307"/>
      <c r="AC75" s="1308"/>
      <c r="AD75" s="1289"/>
    </row>
    <row r="76" spans="1:30" ht="16.5" customHeight="1">
      <c r="A76" s="953"/>
      <c r="B76" s="954"/>
      <c r="C76" s="958"/>
      <c r="D76" s="1612" t="s">
        <v>410</v>
      </c>
      <c r="E76" s="1626" t="s">
        <v>411</v>
      </c>
      <c r="F76" s="1626"/>
      <c r="G76" s="1482" t="s">
        <v>405</v>
      </c>
      <c r="H76" s="781"/>
      <c r="I76" s="1615"/>
      <c r="J76" s="1613" t="s">
        <v>427</v>
      </c>
      <c r="L76" s="1298"/>
      <c r="M76" s="943"/>
      <c r="N76" s="1299"/>
      <c r="O76" s="1307"/>
      <c r="P76" s="1307"/>
      <c r="Q76" s="1307"/>
      <c r="R76" s="1307"/>
      <c r="S76" s="1307"/>
      <c r="AC76" s="1308"/>
      <c r="AD76" s="1289"/>
    </row>
    <row r="77" spans="1:30" ht="16.5" customHeight="1">
      <c r="A77" s="953"/>
      <c r="B77" s="954"/>
      <c r="C77" s="958"/>
      <c r="D77" s="1482" t="s">
        <v>412</v>
      </c>
      <c r="E77" s="2735" t="s">
        <v>412</v>
      </c>
      <c r="F77" s="2735"/>
      <c r="G77" s="1620">
        <v>500</v>
      </c>
      <c r="H77" s="1361"/>
      <c r="I77" s="1361"/>
      <c r="J77" s="1621">
        <f>+F24*N23</f>
        <v>95866.63200000001</v>
      </c>
      <c r="L77" s="1298"/>
      <c r="M77" s="943"/>
      <c r="N77" s="1299"/>
      <c r="O77" s="1307"/>
      <c r="P77" s="1307"/>
      <c r="Q77" s="1307"/>
      <c r="R77" s="1307"/>
      <c r="S77" s="1307"/>
      <c r="AC77" s="1308">
        <f>G77+L77</f>
        <v>500</v>
      </c>
      <c r="AD77" s="1289"/>
    </row>
    <row r="78" spans="1:30" ht="16.5" customHeight="1">
      <c r="A78" s="953"/>
      <c r="B78" s="954"/>
      <c r="C78" s="958"/>
      <c r="D78" s="1482" t="s">
        <v>534</v>
      </c>
      <c r="E78" s="2735" t="s">
        <v>534</v>
      </c>
      <c r="F78" s="2735"/>
      <c r="G78" s="1620">
        <v>132</v>
      </c>
      <c r="H78" s="1361"/>
      <c r="I78" s="1361"/>
      <c r="J78" s="1621">
        <f>+F25*N23</f>
        <v>76693.752</v>
      </c>
      <c r="L78" s="1298"/>
      <c r="M78" s="943"/>
      <c r="N78" s="1299"/>
      <c r="O78" s="1307"/>
      <c r="P78" s="1307"/>
      <c r="Q78" s="1307"/>
      <c r="R78" s="1307"/>
      <c r="S78" s="1307"/>
      <c r="AC78" s="1309">
        <f>J78</f>
        <v>76693.752</v>
      </c>
      <c r="AD78" s="1289"/>
    </row>
    <row r="79" spans="1:30" ht="6" customHeight="1" thickBot="1">
      <c r="A79" s="953"/>
      <c r="B79" s="954"/>
      <c r="C79" s="958"/>
      <c r="D79" s="1085"/>
      <c r="E79" s="1296"/>
      <c r="F79" s="1296"/>
      <c r="G79" s="1296"/>
      <c r="H79" s="943"/>
      <c r="I79" s="943"/>
      <c r="J79" s="1297"/>
      <c r="L79" s="1298"/>
      <c r="M79" s="943"/>
      <c r="N79" s="1299"/>
      <c r="O79" s="1307"/>
      <c r="P79" s="1307"/>
      <c r="Q79" s="1307"/>
      <c r="R79" s="1307"/>
      <c r="S79" s="1307"/>
      <c r="AC79" s="1308"/>
      <c r="AD79" s="1289"/>
    </row>
    <row r="80" spans="1:30" ht="18" customHeight="1" thickBot="1" thickTop="1">
      <c r="A80" s="953"/>
      <c r="B80" s="954"/>
      <c r="C80" s="958"/>
      <c r="D80" s="1284"/>
      <c r="E80" s="963"/>
      <c r="F80" s="1085"/>
      <c r="G80" s="1085"/>
      <c r="H80" s="1086"/>
      <c r="J80" s="1085"/>
      <c r="L80" s="1310"/>
      <c r="M80" s="1306"/>
      <c r="N80" s="1306"/>
      <c r="O80" s="1294"/>
      <c r="P80" s="1294"/>
      <c r="Q80" s="1294"/>
      <c r="R80" s="1294"/>
      <c r="S80" s="1294"/>
      <c r="AB80" s="1311" t="s">
        <v>413</v>
      </c>
      <c r="AC80" s="1312">
        <f>SUM(AC68:AC78)</f>
        <v>2184729.8685064</v>
      </c>
      <c r="AD80" s="1289"/>
    </row>
    <row r="81" spans="2:30" ht="16.5" customHeight="1" thickBot="1" thickTop="1">
      <c r="B81" s="954"/>
      <c r="E81" s="1085"/>
      <c r="F81" s="1313"/>
      <c r="G81" s="1084"/>
      <c r="H81" s="1284"/>
      <c r="I81" s="1284"/>
      <c r="J81" s="1284"/>
      <c r="K81" s="1085"/>
      <c r="L81" s="1085"/>
      <c r="M81" s="1284"/>
      <c r="N81" s="1085"/>
      <c r="O81" s="1284"/>
      <c r="P81" s="1284"/>
      <c r="Q81" s="1284"/>
      <c r="R81" s="1284"/>
      <c r="S81" s="1284"/>
      <c r="T81" s="1284"/>
      <c r="U81" s="1284"/>
      <c r="AC81" s="1284"/>
      <c r="AD81" s="1289"/>
    </row>
    <row r="82" spans="2:30" ht="16.5" customHeight="1" thickBot="1" thickTop="1">
      <c r="B82" s="954"/>
      <c r="C82" s="1290"/>
      <c r="D82" s="1314"/>
      <c r="E82" s="1085"/>
      <c r="F82" s="1313"/>
      <c r="G82" s="1084"/>
      <c r="H82" s="1284"/>
      <c r="I82" s="1284"/>
      <c r="J82" s="1284"/>
      <c r="K82" s="1085"/>
      <c r="L82" s="1085"/>
      <c r="M82" s="1284"/>
      <c r="N82" s="1085"/>
      <c r="O82" s="1284"/>
      <c r="P82" s="1284"/>
      <c r="Q82" s="1284"/>
      <c r="R82" s="1284"/>
      <c r="S82" s="1284"/>
      <c r="T82" s="1284"/>
      <c r="U82" s="1284"/>
      <c r="AB82" s="1311" t="s">
        <v>414</v>
      </c>
      <c r="AC82" s="1312">
        <v>1566713.1211038402</v>
      </c>
      <c r="AD82" s="1289"/>
    </row>
    <row r="83" spans="2:30" ht="16.5" customHeight="1" thickTop="1">
      <c r="B83" s="954"/>
      <c r="C83" s="1290" t="s">
        <v>415</v>
      </c>
      <c r="D83" s="1314" t="s">
        <v>416</v>
      </c>
      <c r="E83" s="1085"/>
      <c r="F83" s="1313"/>
      <c r="G83" s="1084"/>
      <c r="H83" s="1284"/>
      <c r="I83" s="1284"/>
      <c r="J83" s="1284"/>
      <c r="K83" s="1085"/>
      <c r="L83" s="1085"/>
      <c r="M83" s="1284"/>
      <c r="N83" s="1085"/>
      <c r="O83" s="1284"/>
      <c r="P83" s="1284"/>
      <c r="Q83" s="1284"/>
      <c r="R83" s="1284"/>
      <c r="S83" s="1284"/>
      <c r="T83" s="1284"/>
      <c r="U83" s="1284"/>
      <c r="AC83" s="1284"/>
      <c r="AD83" s="1289"/>
    </row>
    <row r="84" spans="2:30" s="953" customFormat="1" ht="16.5" customHeight="1">
      <c r="B84" s="954"/>
      <c r="C84" s="958"/>
      <c r="D84" s="967" t="s">
        <v>417</v>
      </c>
      <c r="E84" s="1315">
        <f>10*K63*K30/AC80</f>
        <v>4024.3488416780615</v>
      </c>
      <c r="G84" s="1084"/>
      <c r="L84" s="1085"/>
      <c r="N84" s="1085"/>
      <c r="O84" s="1086"/>
      <c r="V84" s="914"/>
      <c r="W84" s="914"/>
      <c r="AD84" s="1289"/>
    </row>
    <row r="85" spans="2:30" s="953" customFormat="1" ht="16.5" customHeight="1">
      <c r="B85" s="954"/>
      <c r="C85" s="958"/>
      <c r="E85" s="1316"/>
      <c r="F85" s="968"/>
      <c r="G85" s="1084"/>
      <c r="J85" s="1084"/>
      <c r="K85" s="1099"/>
      <c r="L85" s="1085"/>
      <c r="M85" s="1085"/>
      <c r="N85" s="1085"/>
      <c r="O85" s="1086"/>
      <c r="P85" s="1085"/>
      <c r="Q85" s="1085"/>
      <c r="R85" s="1098"/>
      <c r="S85" s="1098"/>
      <c r="T85" s="1098"/>
      <c r="U85" s="1317"/>
      <c r="V85" s="914"/>
      <c r="W85" s="914"/>
      <c r="AD85" s="1289"/>
    </row>
    <row r="86" spans="2:30" ht="16.5" customHeight="1">
      <c r="B86" s="954"/>
      <c r="C86" s="958"/>
      <c r="D86" s="1318" t="s">
        <v>418</v>
      </c>
      <c r="E86" s="1319"/>
      <c r="F86" s="968"/>
      <c r="G86" s="1084"/>
      <c r="H86" s="1284"/>
      <c r="I86" s="1284"/>
      <c r="O86" s="1086"/>
      <c r="P86" s="1320" t="s">
        <v>428</v>
      </c>
      <c r="R86" s="1305"/>
      <c r="S86" s="1305"/>
      <c r="T86" s="1305"/>
      <c r="U86" s="1306"/>
      <c r="AC86" s="1306"/>
      <c r="AD86" s="1289"/>
    </row>
    <row r="87" spans="2:30" ht="16.5" customHeight="1" thickBot="1">
      <c r="B87" s="954"/>
      <c r="C87" s="958"/>
      <c r="D87" s="1318"/>
      <c r="E87" s="1319"/>
      <c r="F87" s="968"/>
      <c r="G87" s="1084"/>
      <c r="H87" s="1284"/>
      <c r="I87" s="1284"/>
      <c r="N87" s="1085"/>
      <c r="O87" s="1086"/>
      <c r="Q87" s="1085"/>
      <c r="R87" s="1305"/>
      <c r="S87" s="1305"/>
      <c r="T87" s="1305"/>
      <c r="U87" s="1306"/>
      <c r="AC87" s="1306"/>
      <c r="AD87" s="1289"/>
    </row>
    <row r="88" spans="2:30" s="1327" customFormat="1" ht="24" thickBot="1" thickTop="1">
      <c r="B88" s="1321"/>
      <c r="C88" s="1322"/>
      <c r="D88" s="1323"/>
      <c r="E88" s="1324"/>
      <c r="F88" s="1325"/>
      <c r="G88" s="1326"/>
      <c r="I88" s="914"/>
      <c r="J88" s="1328" t="s">
        <v>419</v>
      </c>
      <c r="K88" s="1329">
        <f>IF(E84&gt;3*K30,K30*3,E84)</f>
        <v>4024.3488416780615</v>
      </c>
      <c r="L88" s="1330"/>
      <c r="M88" s="2732"/>
      <c r="N88" s="2732"/>
      <c r="O88" s="2732"/>
      <c r="P88" s="1331"/>
      <c r="Q88" s="1331"/>
      <c r="R88" s="1332"/>
      <c r="S88" s="1332"/>
      <c r="T88" s="1332"/>
      <c r="U88" s="1333"/>
      <c r="V88" s="914"/>
      <c r="W88" s="914"/>
      <c r="AC88" s="1333"/>
      <c r="AD88" s="1334"/>
    </row>
    <row r="89" spans="2:30" ht="16.5" customHeight="1" thickBot="1" thickTop="1">
      <c r="B89" s="1335"/>
      <c r="C89" s="1336"/>
      <c r="D89" s="1336"/>
      <c r="E89" s="1336"/>
      <c r="F89" s="1336"/>
      <c r="G89" s="1336"/>
      <c r="H89" s="1336"/>
      <c r="I89" s="1336"/>
      <c r="J89" s="1336"/>
      <c r="K89" s="1336"/>
      <c r="L89" s="1336"/>
      <c r="M89" s="1336"/>
      <c r="N89" s="1336"/>
      <c r="O89" s="1336"/>
      <c r="P89" s="1336"/>
      <c r="Q89" s="1336"/>
      <c r="R89" s="1336"/>
      <c r="S89" s="1336"/>
      <c r="T89" s="1336"/>
      <c r="U89" s="1336"/>
      <c r="V89" s="1337"/>
      <c r="W89" s="1337"/>
      <c r="X89" s="1337"/>
      <c r="Y89" s="1337"/>
      <c r="Z89" s="1337"/>
      <c r="AA89" s="1337"/>
      <c r="AB89" s="1337"/>
      <c r="AC89" s="1336"/>
      <c r="AD89" s="1338"/>
    </row>
    <row r="90" spans="2:23" ht="16.5" customHeight="1" thickTop="1">
      <c r="B90" s="950"/>
      <c r="C90" s="1339"/>
      <c r="W90" s="950"/>
    </row>
  </sheetData>
  <sheetProtection password="CC12"/>
  <mergeCells count="26">
    <mergeCell ref="K24:M24"/>
    <mergeCell ref="F56:G56"/>
    <mergeCell ref="F57:G57"/>
    <mergeCell ref="F50:G50"/>
    <mergeCell ref="F53:G53"/>
    <mergeCell ref="F48:G48"/>
    <mergeCell ref="O48:Q48"/>
    <mergeCell ref="F49:G49"/>
    <mergeCell ref="O49:Q49"/>
    <mergeCell ref="P60:Q60"/>
    <mergeCell ref="F58:G58"/>
    <mergeCell ref="F59:G59"/>
    <mergeCell ref="P56:Q56"/>
    <mergeCell ref="P57:Q57"/>
    <mergeCell ref="P58:Q58"/>
    <mergeCell ref="P59:Q59"/>
    <mergeCell ref="M88:O88"/>
    <mergeCell ref="F60:G60"/>
    <mergeCell ref="E78:F78"/>
    <mergeCell ref="E77:F77"/>
    <mergeCell ref="O53:Q53"/>
    <mergeCell ref="O50:Q50"/>
    <mergeCell ref="F51:G51"/>
    <mergeCell ref="O51:Q51"/>
    <mergeCell ref="F52:G52"/>
    <mergeCell ref="O52:Q52"/>
  </mergeCells>
  <printOptions horizontalCentered="1"/>
  <pageMargins left="0.24" right="0.4" top="0.3" bottom="0.45" header="0.25" footer="0.31"/>
  <pageSetup fitToHeight="1" fitToWidth="1" orientation="landscape" paperSize="9" scale="35" r:id="rId2"/>
  <headerFooter alignWithMargins="0">
    <oddFooter>&amp;L&amp;"Times New Roman,Normal"&amp;8&amp;F-&amp;A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AG86"/>
  <sheetViews>
    <sheetView zoomScale="60" zoomScaleNormal="60" zoomScalePageLayoutView="0" workbookViewId="0" topLeftCell="B1">
      <selection activeCell="N47" sqref="N47"/>
    </sheetView>
  </sheetViews>
  <sheetFormatPr defaultColWidth="11.421875" defaultRowHeight="12.75"/>
  <cols>
    <col min="1" max="1" width="21.28125" style="914" customWidth="1"/>
    <col min="2" max="2" width="8.421875" style="914" customWidth="1"/>
    <col min="3" max="3" width="4.7109375" style="914" customWidth="1"/>
    <col min="4" max="4" width="30.140625" style="914" customWidth="1"/>
    <col min="5" max="5" width="22.421875" style="914" customWidth="1"/>
    <col min="6" max="6" width="15.00390625" style="914" customWidth="1"/>
    <col min="7" max="7" width="14.7109375" style="914" customWidth="1"/>
    <col min="8" max="8" width="8.00390625" style="914" hidden="1" customWidth="1"/>
    <col min="9" max="9" width="9.8515625" style="914" hidden="1" customWidth="1"/>
    <col min="10" max="11" width="18.7109375" style="914" customWidth="1"/>
    <col min="12" max="12" width="11.28125" style="914" customWidth="1"/>
    <col min="13" max="13" width="10.7109375" style="914" customWidth="1"/>
    <col min="14" max="14" width="9.7109375" style="914" customWidth="1"/>
    <col min="15" max="15" width="10.57421875" style="914" customWidth="1"/>
    <col min="16" max="16" width="8.421875" style="914" customWidth="1"/>
    <col min="17" max="17" width="5.8515625" style="914" bestFit="1" customWidth="1"/>
    <col min="18" max="18" width="12.28125" style="914" hidden="1" customWidth="1"/>
    <col min="19" max="19" width="13.140625" style="914" hidden="1" customWidth="1"/>
    <col min="20" max="20" width="11.57421875" style="914" hidden="1" customWidth="1"/>
    <col min="21" max="21" width="16.00390625" style="914" hidden="1" customWidth="1"/>
    <col min="22" max="22" width="11.8515625" style="914" hidden="1" customWidth="1"/>
    <col min="23" max="23" width="12.28125" style="914" hidden="1" customWidth="1"/>
    <col min="24" max="27" width="8.57421875" style="914" hidden="1" customWidth="1"/>
    <col min="28" max="28" width="9.7109375" style="914" customWidth="1"/>
    <col min="29" max="29" width="21.00390625" style="914" customWidth="1"/>
    <col min="30" max="30" width="6.421875" style="914" customWidth="1"/>
    <col min="31" max="31" width="4.140625" style="914" customWidth="1"/>
    <col min="32" max="32" width="7.140625" style="914" customWidth="1"/>
    <col min="33" max="33" width="5.28125" style="914" customWidth="1"/>
    <col min="34" max="34" width="5.421875" style="914" customWidth="1"/>
    <col min="35" max="35" width="4.7109375" style="914" customWidth="1"/>
    <col min="36" max="36" width="5.28125" style="914" customWidth="1"/>
    <col min="37" max="38" width="13.28125" style="914" customWidth="1"/>
    <col min="39" max="39" width="6.57421875" style="914" customWidth="1"/>
    <col min="40" max="40" width="6.421875" style="914" customWidth="1"/>
    <col min="41" max="44" width="11.421875" style="914" customWidth="1"/>
    <col min="45" max="45" width="12.7109375" style="914" customWidth="1"/>
    <col min="46" max="48" width="11.421875" style="914" customWidth="1"/>
    <col min="49" max="49" width="21.00390625" style="914" customWidth="1"/>
    <col min="50" max="16384" width="11.421875" style="914" customWidth="1"/>
  </cols>
  <sheetData>
    <row r="1" spans="1:30" ht="13.5">
      <c r="A1" s="912"/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AD1" s="915"/>
    </row>
    <row r="2" spans="1:23" ht="27" customHeight="1">
      <c r="A2" s="912"/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</row>
    <row r="3" spans="1:23" ht="27" customHeight="1">
      <c r="A3" s="912"/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</row>
    <row r="4" spans="1:23" ht="11.25" customHeight="1">
      <c r="A4" s="916" t="s">
        <v>2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3"/>
      <c r="R4" s="913"/>
      <c r="S4" s="913"/>
      <c r="T4" s="913"/>
      <c r="U4" s="913"/>
      <c r="V4" s="913"/>
      <c r="W4" s="913"/>
    </row>
    <row r="5" spans="1:23" ht="11.25" customHeight="1">
      <c r="A5" s="916" t="s">
        <v>3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</row>
    <row r="6" spans="1:30" s="920" customFormat="1" ht="30.75">
      <c r="A6" s="917"/>
      <c r="B6" s="918" t="str">
        <f>'TOT-0312'!B2</f>
        <v>ANEXO IV al Memorándum D.T.E.E.  N° 783/ 2013</v>
      </c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19"/>
      <c r="N6" s="919"/>
      <c r="O6" s="919"/>
      <c r="P6" s="919"/>
      <c r="Q6" s="919"/>
      <c r="R6" s="919"/>
      <c r="S6" s="919"/>
      <c r="T6" s="919"/>
      <c r="U6" s="919"/>
      <c r="V6" s="919"/>
      <c r="W6" s="919"/>
      <c r="AB6" s="919"/>
      <c r="AC6" s="919"/>
      <c r="AD6" s="919"/>
    </row>
    <row r="7" s="921" customFormat="1" ht="11.25">
      <c r="B7" s="922"/>
    </row>
    <row r="8" s="921" customFormat="1" ht="12" thickBot="1">
      <c r="B8" s="916"/>
    </row>
    <row r="9" spans="1:30" ht="16.5" customHeight="1" thickTop="1">
      <c r="A9" s="913"/>
      <c r="B9" s="923"/>
      <c r="C9" s="924"/>
      <c r="D9" s="924"/>
      <c r="E9" s="925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6"/>
      <c r="X9" s="926"/>
      <c r="Y9" s="926"/>
      <c r="Z9" s="926"/>
      <c r="AA9" s="926"/>
      <c r="AB9" s="926"/>
      <c r="AC9" s="926"/>
      <c r="AD9" s="927"/>
    </row>
    <row r="10" spans="1:30" ht="20.25">
      <c r="A10" s="913"/>
      <c r="B10" s="928"/>
      <c r="C10" s="929"/>
      <c r="D10" s="930" t="s">
        <v>377</v>
      </c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31"/>
      <c r="Q10" s="931"/>
      <c r="R10" s="929"/>
      <c r="S10" s="929"/>
      <c r="T10" s="929"/>
      <c r="U10" s="929"/>
      <c r="V10" s="929"/>
      <c r="AD10" s="932"/>
    </row>
    <row r="11" spans="1:30" ht="16.5" customHeight="1">
      <c r="A11" s="913"/>
      <c r="B11" s="928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AD11" s="932"/>
    </row>
    <row r="12" spans="2:30" s="933" customFormat="1" ht="20.25">
      <c r="B12" s="934"/>
      <c r="C12" s="935"/>
      <c r="D12" s="930" t="s">
        <v>378</v>
      </c>
      <c r="E12" s="935"/>
      <c r="F12" s="935"/>
      <c r="G12" s="935"/>
      <c r="H12" s="935"/>
      <c r="N12" s="935"/>
      <c r="O12" s="935"/>
      <c r="P12" s="936"/>
      <c r="Q12" s="936"/>
      <c r="R12" s="935"/>
      <c r="S12" s="935"/>
      <c r="T12" s="935"/>
      <c r="U12" s="935"/>
      <c r="V12" s="935"/>
      <c r="W12" s="914"/>
      <c r="X12" s="935"/>
      <c r="Y12" s="935"/>
      <c r="Z12" s="935"/>
      <c r="AA12" s="935"/>
      <c r="AB12" s="935"/>
      <c r="AC12" s="914"/>
      <c r="AD12" s="937"/>
    </row>
    <row r="13" spans="1:30" ht="16.5" customHeight="1">
      <c r="A13" s="913"/>
      <c r="B13" s="928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929"/>
      <c r="N13" s="929"/>
      <c r="O13" s="929"/>
      <c r="P13" s="929"/>
      <c r="Q13" s="929"/>
      <c r="R13" s="929"/>
      <c r="S13" s="929"/>
      <c r="T13" s="929"/>
      <c r="U13" s="929"/>
      <c r="V13" s="929"/>
      <c r="AD13" s="932"/>
    </row>
    <row r="14" spans="2:30" s="933" customFormat="1" ht="20.25">
      <c r="B14" s="934"/>
      <c r="C14" s="935"/>
      <c r="D14" s="930" t="s">
        <v>436</v>
      </c>
      <c r="E14" s="935"/>
      <c r="F14" s="935"/>
      <c r="G14" s="935"/>
      <c r="H14" s="935"/>
      <c r="N14" s="935"/>
      <c r="O14" s="935"/>
      <c r="P14" s="936"/>
      <c r="Q14" s="936"/>
      <c r="R14" s="935"/>
      <c r="S14" s="935"/>
      <c r="T14" s="935"/>
      <c r="U14" s="935"/>
      <c r="V14" s="935"/>
      <c r="W14" s="914"/>
      <c r="X14" s="935"/>
      <c r="Y14" s="935"/>
      <c r="Z14" s="935"/>
      <c r="AA14" s="935"/>
      <c r="AB14" s="935"/>
      <c r="AC14" s="914"/>
      <c r="AD14" s="937"/>
    </row>
    <row r="15" spans="1:30" ht="16.5" customHeight="1">
      <c r="A15" s="913"/>
      <c r="B15" s="928"/>
      <c r="C15" s="929"/>
      <c r="D15" s="929"/>
      <c r="E15" s="913"/>
      <c r="F15" s="913"/>
      <c r="G15" s="913"/>
      <c r="H15" s="913"/>
      <c r="I15" s="938"/>
      <c r="J15" s="938"/>
      <c r="K15" s="938"/>
      <c r="L15" s="938"/>
      <c r="M15" s="938"/>
      <c r="N15" s="938"/>
      <c r="O15" s="938"/>
      <c r="P15" s="938"/>
      <c r="Q15" s="938"/>
      <c r="R15" s="929"/>
      <c r="S15" s="929"/>
      <c r="T15" s="929"/>
      <c r="U15" s="929"/>
      <c r="V15" s="929"/>
      <c r="AD15" s="932"/>
    </row>
    <row r="16" spans="2:30" s="933" customFormat="1" ht="19.5">
      <c r="B16" s="939" t="str">
        <f>'TOT-0312'!B14</f>
        <v>Desde el 01 al 31 de Marzo de 2012</v>
      </c>
      <c r="C16" s="940"/>
      <c r="D16" s="941"/>
      <c r="E16" s="941"/>
      <c r="F16" s="941"/>
      <c r="G16" s="941"/>
      <c r="H16" s="941"/>
      <c r="I16" s="942"/>
      <c r="J16" s="943"/>
      <c r="K16" s="942"/>
      <c r="L16" s="942"/>
      <c r="M16" s="942"/>
      <c r="N16" s="942"/>
      <c r="O16" s="942"/>
      <c r="P16" s="942"/>
      <c r="Q16" s="942"/>
      <c r="R16" s="942"/>
      <c r="S16" s="942"/>
      <c r="T16" s="942"/>
      <c r="U16" s="944"/>
      <c r="V16" s="944"/>
      <c r="W16" s="914"/>
      <c r="X16" s="945"/>
      <c r="Y16" s="945"/>
      <c r="Z16" s="945"/>
      <c r="AA16" s="945"/>
      <c r="AB16" s="944"/>
      <c r="AC16" s="943"/>
      <c r="AD16" s="946"/>
    </row>
    <row r="17" spans="1:30" ht="16.5" customHeight="1">
      <c r="A17" s="913"/>
      <c r="B17" s="928"/>
      <c r="C17" s="929"/>
      <c r="D17" s="929"/>
      <c r="E17" s="947"/>
      <c r="F17" s="947"/>
      <c r="G17" s="929"/>
      <c r="H17" s="929"/>
      <c r="I17" s="929"/>
      <c r="J17" s="948"/>
      <c r="K17" s="929"/>
      <c r="L17" s="929"/>
      <c r="M17" s="929"/>
      <c r="N17" s="913"/>
      <c r="O17" s="913"/>
      <c r="P17" s="929"/>
      <c r="Q17" s="929"/>
      <c r="R17" s="929"/>
      <c r="S17" s="929"/>
      <c r="T17" s="929"/>
      <c r="U17" s="929"/>
      <c r="V17" s="929"/>
      <c r="AD17" s="932"/>
    </row>
    <row r="18" spans="1:30" ht="16.5" customHeight="1">
      <c r="A18" s="913"/>
      <c r="B18" s="928"/>
      <c r="C18" s="929"/>
      <c r="D18" s="929"/>
      <c r="E18" s="947"/>
      <c r="F18" s="947"/>
      <c r="G18" s="929"/>
      <c r="H18" s="929"/>
      <c r="I18" s="949"/>
      <c r="J18" s="929"/>
      <c r="K18" s="950"/>
      <c r="M18" s="929"/>
      <c r="N18" s="913"/>
      <c r="O18" s="913"/>
      <c r="P18" s="929"/>
      <c r="Q18" s="929"/>
      <c r="R18" s="929"/>
      <c r="S18" s="929"/>
      <c r="T18" s="929"/>
      <c r="U18" s="929"/>
      <c r="V18" s="929"/>
      <c r="AD18" s="932"/>
    </row>
    <row r="19" spans="1:30" ht="16.5" customHeight="1">
      <c r="A19" s="913"/>
      <c r="B19" s="928"/>
      <c r="C19" s="929"/>
      <c r="D19" s="929"/>
      <c r="E19" s="947"/>
      <c r="F19" s="947"/>
      <c r="G19" s="929"/>
      <c r="H19" s="929"/>
      <c r="I19" s="949"/>
      <c r="J19" s="929"/>
      <c r="K19" s="950"/>
      <c r="M19" s="929"/>
      <c r="N19" s="913"/>
      <c r="O19" s="913"/>
      <c r="P19" s="929"/>
      <c r="Q19" s="929"/>
      <c r="R19" s="929"/>
      <c r="S19" s="929"/>
      <c r="T19" s="929"/>
      <c r="U19" s="929"/>
      <c r="V19" s="929"/>
      <c r="AD19" s="932"/>
    </row>
    <row r="20" spans="1:30" ht="16.5" customHeight="1">
      <c r="A20" s="913"/>
      <c r="B20" s="928"/>
      <c r="C20" s="951" t="s">
        <v>379</v>
      </c>
      <c r="D20" s="952" t="s">
        <v>380</v>
      </c>
      <c r="E20" s="947"/>
      <c r="F20" s="947"/>
      <c r="G20" s="929"/>
      <c r="H20" s="929"/>
      <c r="I20" s="929"/>
      <c r="J20" s="948"/>
      <c r="K20" s="929"/>
      <c r="L20" s="929"/>
      <c r="M20" s="929"/>
      <c r="N20" s="913"/>
      <c r="O20" s="913"/>
      <c r="P20" s="929"/>
      <c r="Q20" s="929"/>
      <c r="R20" s="929"/>
      <c r="S20" s="929"/>
      <c r="T20" s="929"/>
      <c r="U20" s="929"/>
      <c r="V20" s="929"/>
      <c r="AD20" s="932"/>
    </row>
    <row r="21" spans="2:30" s="953" customFormat="1" ht="16.5" customHeight="1">
      <c r="B21" s="954"/>
      <c r="C21" s="955"/>
      <c r="D21" s="956"/>
      <c r="E21" s="957"/>
      <c r="F21" s="958"/>
      <c r="G21" s="955"/>
      <c r="H21" s="955"/>
      <c r="I21" s="955"/>
      <c r="J21" s="959"/>
      <c r="K21" s="955"/>
      <c r="L21" s="955"/>
      <c r="M21" s="955"/>
      <c r="P21" s="955"/>
      <c r="Q21" s="955"/>
      <c r="R21" s="955"/>
      <c r="S21" s="955"/>
      <c r="T21" s="955"/>
      <c r="U21" s="955"/>
      <c r="V21" s="955"/>
      <c r="W21" s="914"/>
      <c r="AD21" s="960"/>
    </row>
    <row r="22" spans="2:30" s="953" customFormat="1" ht="16.5" customHeight="1">
      <c r="B22" s="954"/>
      <c r="C22" s="955"/>
      <c r="D22" s="961" t="s">
        <v>381</v>
      </c>
      <c r="F22" s="962">
        <v>236.257</v>
      </c>
      <c r="G22" s="961" t="s">
        <v>382</v>
      </c>
      <c r="H22" s="955"/>
      <c r="K22" s="955"/>
      <c r="L22" s="963"/>
      <c r="M22" s="964" t="s">
        <v>383</v>
      </c>
      <c r="N22" s="965">
        <v>0.04</v>
      </c>
      <c r="R22" s="955"/>
      <c r="S22" s="955"/>
      <c r="T22" s="955"/>
      <c r="U22" s="955"/>
      <c r="V22" s="955"/>
      <c r="W22" s="914"/>
      <c r="AD22" s="960"/>
    </row>
    <row r="23" spans="2:30" s="953" customFormat="1" ht="16.5" customHeight="1">
      <c r="B23" s="954"/>
      <c r="C23" s="955"/>
      <c r="D23" s="961" t="s">
        <v>384</v>
      </c>
      <c r="F23" s="962">
        <v>0.649</v>
      </c>
      <c r="G23" s="961" t="s">
        <v>385</v>
      </c>
      <c r="H23" s="955"/>
      <c r="K23" s="955"/>
      <c r="L23" s="955"/>
      <c r="M23" s="956" t="s">
        <v>386</v>
      </c>
      <c r="N23" s="955">
        <f>MID(B16,16,2)*24</f>
        <v>744</v>
      </c>
      <c r="O23" s="955"/>
      <c r="P23" s="966"/>
      <c r="Q23" s="955"/>
      <c r="R23" s="955"/>
      <c r="S23" s="955"/>
      <c r="T23" s="955"/>
      <c r="U23" s="955"/>
      <c r="V23" s="955"/>
      <c r="W23" s="914"/>
      <c r="AD23" s="960"/>
    </row>
    <row r="24" spans="2:30" s="953" customFormat="1" ht="16.5" customHeight="1">
      <c r="B24" s="954"/>
      <c r="C24" s="955"/>
      <c r="D24" s="953" t="s">
        <v>387</v>
      </c>
      <c r="F24" s="967" t="s">
        <v>325</v>
      </c>
      <c r="G24" s="961" t="s">
        <v>39</v>
      </c>
      <c r="H24" s="955"/>
      <c r="K24" s="2746" t="s">
        <v>388</v>
      </c>
      <c r="L24" s="2746"/>
      <c r="M24" s="2746"/>
      <c r="N24" s="969">
        <v>20</v>
      </c>
      <c r="O24" s="955"/>
      <c r="P24" s="966"/>
      <c r="Q24" s="955"/>
      <c r="R24" s="955"/>
      <c r="S24" s="955"/>
      <c r="T24" s="955"/>
      <c r="U24" s="955"/>
      <c r="V24" s="955"/>
      <c r="W24" s="914"/>
      <c r="AD24" s="960"/>
    </row>
    <row r="25" spans="2:30" s="953" customFormat="1" ht="16.5" customHeight="1">
      <c r="B25" s="954"/>
      <c r="C25" s="955"/>
      <c r="F25" s="967"/>
      <c r="G25" s="961"/>
      <c r="H25" s="955"/>
      <c r="K25" s="968"/>
      <c r="L25" s="968"/>
      <c r="M25" s="968"/>
      <c r="N25" s="969"/>
      <c r="O25" s="955"/>
      <c r="P25" s="966"/>
      <c r="Q25" s="955"/>
      <c r="R25" s="955"/>
      <c r="S25" s="955"/>
      <c r="T25" s="955"/>
      <c r="U25" s="955"/>
      <c r="V25" s="955"/>
      <c r="W25" s="914"/>
      <c r="AD25" s="960"/>
    </row>
    <row r="26" spans="2:30" s="953" customFormat="1" ht="8.25" customHeight="1">
      <c r="B26" s="954"/>
      <c r="C26" s="955"/>
      <c r="D26" s="955"/>
      <c r="E26" s="968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5"/>
      <c r="U26" s="955"/>
      <c r="V26" s="955"/>
      <c r="W26" s="914"/>
      <c r="AD26" s="960"/>
    </row>
    <row r="27" spans="1:30" ht="16.5" customHeight="1">
      <c r="A27" s="913"/>
      <c r="B27" s="928"/>
      <c r="C27" s="951" t="s">
        <v>389</v>
      </c>
      <c r="D27" s="970" t="s">
        <v>420</v>
      </c>
      <c r="I27" s="929"/>
      <c r="J27" s="953"/>
      <c r="O27" s="929"/>
      <c r="P27" s="929"/>
      <c r="Q27" s="929"/>
      <c r="R27" s="929"/>
      <c r="S27" s="929"/>
      <c r="T27" s="929"/>
      <c r="V27" s="929"/>
      <c r="X27" s="929"/>
      <c r="Y27" s="929"/>
      <c r="Z27" s="929"/>
      <c r="AA27" s="929"/>
      <c r="AB27" s="929"/>
      <c r="AC27" s="929"/>
      <c r="AD27" s="932"/>
    </row>
    <row r="28" spans="1:30" ht="10.5" customHeight="1" thickBot="1">
      <c r="A28" s="913"/>
      <c r="B28" s="928"/>
      <c r="C28" s="947"/>
      <c r="D28" s="970"/>
      <c r="I28" s="929"/>
      <c r="J28" s="953"/>
      <c r="O28" s="929"/>
      <c r="P28" s="929"/>
      <c r="Q28" s="929"/>
      <c r="R28" s="929"/>
      <c r="S28" s="929"/>
      <c r="T28" s="929"/>
      <c r="V28" s="929"/>
      <c r="X28" s="929"/>
      <c r="Y28" s="929"/>
      <c r="Z28" s="929"/>
      <c r="AA28" s="929"/>
      <c r="AB28" s="929"/>
      <c r="AC28" s="929"/>
      <c r="AD28" s="932"/>
    </row>
    <row r="29" spans="2:30" s="953" customFormat="1" ht="16.5" customHeight="1" thickBot="1" thickTop="1">
      <c r="B29" s="954"/>
      <c r="C29" s="958"/>
      <c r="D29" s="914"/>
      <c r="E29" s="914"/>
      <c r="F29" s="914"/>
      <c r="G29" s="914"/>
      <c r="H29" s="914"/>
      <c r="I29" s="914"/>
      <c r="J29" s="971" t="s">
        <v>390</v>
      </c>
      <c r="K29" s="972">
        <f>N22*AC78</f>
        <v>32892.9741353152</v>
      </c>
      <c r="L29" s="914"/>
      <c r="S29" s="914"/>
      <c r="T29" s="914"/>
      <c r="U29" s="914"/>
      <c r="W29" s="914"/>
      <c r="AD29" s="960"/>
    </row>
    <row r="30" spans="2:30" s="953" customFormat="1" ht="11.25" customHeight="1" thickTop="1">
      <c r="B30" s="954"/>
      <c r="C30" s="958"/>
      <c r="D30" s="955"/>
      <c r="E30" s="968"/>
      <c r="F30" s="955"/>
      <c r="G30" s="955"/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5"/>
      <c r="U30" s="914"/>
      <c r="W30" s="914"/>
      <c r="AD30" s="960"/>
    </row>
    <row r="31" spans="1:30" ht="16.5" customHeight="1">
      <c r="A31" s="913"/>
      <c r="B31" s="928"/>
      <c r="C31" s="951" t="s">
        <v>391</v>
      </c>
      <c r="D31" s="970" t="s">
        <v>421</v>
      </c>
      <c r="E31" s="973"/>
      <c r="F31" s="929"/>
      <c r="G31" s="929"/>
      <c r="H31" s="929"/>
      <c r="I31" s="929"/>
      <c r="J31" s="929"/>
      <c r="K31" s="929"/>
      <c r="L31" s="929"/>
      <c r="M31" s="929"/>
      <c r="N31" s="929"/>
      <c r="O31" s="929"/>
      <c r="P31" s="929"/>
      <c r="Q31" s="929"/>
      <c r="R31" s="929"/>
      <c r="S31" s="929"/>
      <c r="T31" s="929"/>
      <c r="U31" s="929"/>
      <c r="V31" s="929"/>
      <c r="AD31" s="932"/>
    </row>
    <row r="32" spans="1:30" ht="21.75" customHeight="1" thickBot="1">
      <c r="A32" s="913"/>
      <c r="B32" s="928"/>
      <c r="C32" s="929"/>
      <c r="D32" s="929"/>
      <c r="E32" s="973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AD32" s="932"/>
    </row>
    <row r="33" spans="2:31" s="913" customFormat="1" ht="33.75" customHeight="1" thickBot="1" thickTop="1">
      <c r="B33" s="928"/>
      <c r="C33" s="974" t="s">
        <v>32</v>
      </c>
      <c r="D33" s="975" t="s">
        <v>5</v>
      </c>
      <c r="E33" s="976" t="s">
        <v>35</v>
      </c>
      <c r="F33" s="977" t="s">
        <v>36</v>
      </c>
      <c r="G33" s="978" t="s">
        <v>37</v>
      </c>
      <c r="H33" s="979" t="s">
        <v>38</v>
      </c>
      <c r="I33" s="980" t="s">
        <v>39</v>
      </c>
      <c r="J33" s="981" t="s">
        <v>40</v>
      </c>
      <c r="K33" s="982" t="s">
        <v>41</v>
      </c>
      <c r="L33" s="983" t="s">
        <v>42</v>
      </c>
      <c r="M33" s="984" t="s">
        <v>43</v>
      </c>
      <c r="N33" s="983" t="s">
        <v>392</v>
      </c>
      <c r="O33" s="983" t="s">
        <v>44</v>
      </c>
      <c r="P33" s="982" t="s">
        <v>45</v>
      </c>
      <c r="Q33" s="981" t="s">
        <v>46</v>
      </c>
      <c r="R33" s="985" t="s">
        <v>47</v>
      </c>
      <c r="S33" s="986" t="s">
        <v>48</v>
      </c>
      <c r="T33" s="987" t="s">
        <v>393</v>
      </c>
      <c r="U33" s="988"/>
      <c r="V33" s="989"/>
      <c r="W33" s="990" t="s">
        <v>394</v>
      </c>
      <c r="X33" s="991"/>
      <c r="Y33" s="992"/>
      <c r="Z33" s="993" t="s">
        <v>51</v>
      </c>
      <c r="AA33" s="994" t="s">
        <v>395</v>
      </c>
      <c r="AB33" s="995" t="s">
        <v>53</v>
      </c>
      <c r="AC33" s="996" t="s">
        <v>54</v>
      </c>
      <c r="AD33" s="997"/>
      <c r="AE33" s="914"/>
    </row>
    <row r="34" spans="1:30" ht="16.5" customHeight="1" thickTop="1">
      <c r="A34" s="913"/>
      <c r="B34" s="928"/>
      <c r="C34" s="998"/>
      <c r="D34" s="999"/>
      <c r="E34" s="1000"/>
      <c r="F34" s="1001"/>
      <c r="G34" s="1002"/>
      <c r="H34" s="1003"/>
      <c r="I34" s="1004"/>
      <c r="J34" s="1005"/>
      <c r="K34" s="1006"/>
      <c r="L34" s="998"/>
      <c r="M34" s="998"/>
      <c r="N34" s="1007"/>
      <c r="O34" s="1007"/>
      <c r="P34" s="998"/>
      <c r="Q34" s="1008"/>
      <c r="R34" s="1009"/>
      <c r="S34" s="1010"/>
      <c r="T34" s="1011"/>
      <c r="U34" s="1012"/>
      <c r="V34" s="1013"/>
      <c r="W34" s="1014"/>
      <c r="X34" s="1015"/>
      <c r="Y34" s="1016"/>
      <c r="Z34" s="1017"/>
      <c r="AA34" s="1018"/>
      <c r="AB34" s="1019"/>
      <c r="AC34" s="1020"/>
      <c r="AD34" s="932"/>
    </row>
    <row r="35" spans="1:30" ht="16.5" customHeight="1">
      <c r="A35" s="913"/>
      <c r="B35" s="928"/>
      <c r="C35" s="1021" t="s">
        <v>396</v>
      </c>
      <c r="D35" s="646" t="s">
        <v>430</v>
      </c>
      <c r="E35" s="647">
        <v>500</v>
      </c>
      <c r="F35" s="648">
        <v>519.3</v>
      </c>
      <c r="G35" s="1022" t="s">
        <v>258</v>
      </c>
      <c r="H35" s="1023">
        <f>IF(G35="A",200,IF(G35="B",60,20))</f>
        <v>20</v>
      </c>
      <c r="I35" s="1024">
        <f>IF(F35&gt;100,F35,100)*$F$22/100</f>
        <v>1226.8826009999998</v>
      </c>
      <c r="J35" s="1025">
        <v>40973.311111111114</v>
      </c>
      <c r="K35" s="1026">
        <v>40973.39791666667</v>
      </c>
      <c r="L35" s="1027">
        <f>IF(D35="","",(K35-J35)*24)</f>
        <v>2.083333333313931</v>
      </c>
      <c r="M35" s="1028">
        <f>IF(D35="","",ROUND((K35-J35)*24*60,0))</f>
        <v>125</v>
      </c>
      <c r="N35" s="1029" t="s">
        <v>253</v>
      </c>
      <c r="O35" s="1030" t="str">
        <f>IF(D35="","","--")</f>
        <v>--</v>
      </c>
      <c r="P35" s="1029" t="str">
        <f>IF(D35="","","NO")</f>
        <v>NO</v>
      </c>
      <c r="Q35" s="1029" t="str">
        <f>IF(D35="","",IF(OR(N35="P",N35="RP"),"--","NO"))</f>
        <v>--</v>
      </c>
      <c r="R35" s="1031">
        <f>IF(N35="P",+I35*H35*ROUND(M35/60,2)/100,"--")</f>
        <v>510.3831620159999</v>
      </c>
      <c r="S35" s="1050" t="str">
        <f>IF(N35="RP",I35*H35*ROUND(M35/60,2)*0.01*O35/100,"--")</f>
        <v>--</v>
      </c>
      <c r="T35" s="1033" t="str">
        <f>IF(AND(N35="F",Q35="NO"),IF(P35="SI",1.2,1)*I35*H35,"--")</f>
        <v>--</v>
      </c>
      <c r="U35" s="1034" t="str">
        <f>IF(AND(M35&gt;10,N35="F"),IF(M35&lt;=300,ROUND(M35/60,2),5)*I35*H35*IF(P35="SI",1.2,1),"--")</f>
        <v>--</v>
      </c>
      <c r="V35" s="1035" t="str">
        <f>IF(AND(N35="F",M35&gt;300),IF(P35="SI",1.2,1)*(ROUND(M35/60,2)-5)*I35*H35*0.1,"--")</f>
        <v>--</v>
      </c>
      <c r="W35" s="1036" t="str">
        <f>IF(AND(N35="R",Q35="NO"),IF(P35="SI",1.2,1)*I35*H35*O35/100,"--")</f>
        <v>--</v>
      </c>
      <c r="X35" s="1037" t="str">
        <f>IF(AND(M35&gt;10,N35="R"),IF(M35&lt;=300,ROUND(M35/60,2),5)*I35*H35*O35/100*IF(P35="SI",1.2,1),"--")</f>
        <v>--</v>
      </c>
      <c r="Y35" s="1038" t="str">
        <f>IF(AND(N35="R",M35&gt;300),IF(P35="SI",1.2,1)*(ROUND(M35/60,2)-5)*I35*H35*O35/100*0.1,"--")</f>
        <v>--</v>
      </c>
      <c r="Z35" s="1039" t="str">
        <f>IF(N35="RF",IF(P35="SI",1.2,1)*ROUND(M35/60,2)*I35*H35*0.1,"--")</f>
        <v>--</v>
      </c>
      <c r="AA35" s="1040" t="str">
        <f>IF(N35="RR",IF(P35="SI",1.2,1)*ROUND(M35/60,2)*I35*H35*O35/100*0.1,"--")</f>
        <v>--</v>
      </c>
      <c r="AB35" s="1041" t="str">
        <f>IF(D35="","","SI")</f>
        <v>SI</v>
      </c>
      <c r="AC35" s="1042">
        <f>IF(D35="","",SUM(R35:AA35)*IF(AB35="SI",1,2))</f>
        <v>510.3831620159999</v>
      </c>
      <c r="AD35" s="932"/>
    </row>
    <row r="36" spans="1:30" ht="16.5" customHeight="1">
      <c r="A36" s="913"/>
      <c r="B36" s="928"/>
      <c r="C36" s="1021" t="s">
        <v>397</v>
      </c>
      <c r="D36" s="646" t="s">
        <v>430</v>
      </c>
      <c r="E36" s="647">
        <v>500</v>
      </c>
      <c r="F36" s="648">
        <v>519.3</v>
      </c>
      <c r="G36" s="1022" t="s">
        <v>258</v>
      </c>
      <c r="H36" s="1023">
        <f>IF(G36="A",200,IF(G36="B",60,20))</f>
        <v>20</v>
      </c>
      <c r="I36" s="1024">
        <f>IF(F36&gt;100,F36,100)*$F$22/100</f>
        <v>1226.8826009999998</v>
      </c>
      <c r="J36" s="1340">
        <v>40974.364583333336</v>
      </c>
      <c r="K36" s="1341">
        <v>40974.441666666666</v>
      </c>
      <c r="L36" s="1027">
        <f>IF(D36="","",(K36-J36)*24)</f>
        <v>1.8499999999185093</v>
      </c>
      <c r="M36" s="1028">
        <f>IF(D36="","",ROUND((K36-J36)*24*60,0))</f>
        <v>111</v>
      </c>
      <c r="N36" s="1047" t="s">
        <v>253</v>
      </c>
      <c r="O36" s="1030" t="str">
        <f>IF(D36="","","--")</f>
        <v>--</v>
      </c>
      <c r="P36" s="1029" t="str">
        <f>IF(D36="","","NO")</f>
        <v>NO</v>
      </c>
      <c r="Q36" s="1029" t="str">
        <f>IF(D36="","",IF(OR(N36="P",N36="RP"),"--","NO"))</f>
        <v>--</v>
      </c>
      <c r="R36" s="1031">
        <f>IF(N36="P",+I36*H36*ROUND(M36/60,2)/100,"--")</f>
        <v>453.94656236999987</v>
      </c>
      <c r="S36" s="1050" t="str">
        <f>IF(N36="RP",I36*H36*ROUND(M36/60,2)*0.01*O36/100,"--")</f>
        <v>--</v>
      </c>
      <c r="T36" s="1033" t="str">
        <f>IF(AND(N36="F",Q36="NO"),IF(P36="SI",1.2,1)*I36*H36,"--")</f>
        <v>--</v>
      </c>
      <c r="U36" s="1034" t="str">
        <f>IF(AND(M36&gt;10,N36="F"),IF(M36&lt;=300,ROUND(M36/60,2),5)*I36*H36*IF(P36="SI",1.2,1),"--")</f>
        <v>--</v>
      </c>
      <c r="V36" s="1035" t="str">
        <f>IF(AND(N36="F",M36&gt;300),IF(P36="SI",1.2,1)*(ROUND(M36/60,2)-5)*I36*H36*0.1,"--")</f>
        <v>--</v>
      </c>
      <c r="W36" s="1036" t="str">
        <f>IF(AND(N36="R",Q36="NO"),IF(P36="SI",1.2,1)*I36*H36*O36/100,"--")</f>
        <v>--</v>
      </c>
      <c r="X36" s="1037" t="str">
        <f>IF(AND(M36&gt;10,N36="R"),IF(M36&lt;=300,ROUND(M36/60,2),5)*I36*H36*O36/100*IF(P36="SI",1.2,1),"--")</f>
        <v>--</v>
      </c>
      <c r="Y36" s="1038" t="str">
        <f>IF(AND(N36="R",M36&gt;300),IF(P36="SI",1.2,1)*(ROUND(M36/60,2)-5)*I36*H36*O36/100*0.1,"--")</f>
        <v>--</v>
      </c>
      <c r="Z36" s="1039" t="str">
        <f>IF(N36="RF",IF(P36="SI",1.2,1)*ROUND(M36/60,2)*I36*H36*0.1,"--")</f>
        <v>--</v>
      </c>
      <c r="AA36" s="1040" t="str">
        <f>IF(N36="RR",IF(P36="SI",1.2,1)*ROUND(M36/60,2)*I36*H36*O36/100*0.1,"--")</f>
        <v>--</v>
      </c>
      <c r="AB36" s="1041" t="str">
        <f>IF(D36="","","SI")</f>
        <v>SI</v>
      </c>
      <c r="AC36" s="1042">
        <f>IF(D36="","",SUM(R36:AA36)*IF(AB36="SI",1,2))</f>
        <v>453.94656236999987</v>
      </c>
      <c r="AD36" s="932"/>
    </row>
    <row r="37" spans="1:30" ht="16.5" customHeight="1">
      <c r="A37" s="913"/>
      <c r="B37" s="928"/>
      <c r="C37" s="1021" t="s">
        <v>401</v>
      </c>
      <c r="D37" s="646" t="s">
        <v>430</v>
      </c>
      <c r="E37" s="647">
        <v>500</v>
      </c>
      <c r="F37" s="648">
        <v>519.3</v>
      </c>
      <c r="G37" s="1022" t="s">
        <v>258</v>
      </c>
      <c r="H37" s="1023">
        <f>IF(G37="A",200,IF(G37="B",60,20))</f>
        <v>20</v>
      </c>
      <c r="I37" s="1024">
        <f>IF(F37&gt;100,F37,100)*$F$22/100</f>
        <v>1226.8826009999998</v>
      </c>
      <c r="J37" s="1342">
        <v>40981.40138888889</v>
      </c>
      <c r="K37" s="1341">
        <v>40981.634722222225</v>
      </c>
      <c r="L37" s="1027">
        <f>IF(D37="","",(K37-J37)*24)</f>
        <v>5.600000000093132</v>
      </c>
      <c r="M37" s="1028">
        <f>IF(D37="","",ROUND((K37-J37)*24*60,0))</f>
        <v>336</v>
      </c>
      <c r="N37" s="1047" t="s">
        <v>253</v>
      </c>
      <c r="O37" s="1030" t="str">
        <f>IF(D37="","","--")</f>
        <v>--</v>
      </c>
      <c r="P37" s="1029" t="str">
        <f>IF(D37="","","NO")</f>
        <v>NO</v>
      </c>
      <c r="Q37" s="1029" t="str">
        <f>IF(D37="","",IF(OR(N37="P",N37="RP"),"--","NO"))</f>
        <v>--</v>
      </c>
      <c r="R37" s="1031">
        <f>IF(N37="P",+I37*H37*ROUND(M37/60,2)/100,"--")</f>
        <v>1374.1085131199995</v>
      </c>
      <c r="S37" s="1050" t="str">
        <f>IF(N37="RP",I37*H37*ROUND(M37/60,2)*0.01*O37/100,"--")</f>
        <v>--</v>
      </c>
      <c r="T37" s="1033" t="str">
        <f>IF(AND(N37="F",Q37="NO"),IF(P37="SI",1.2,1)*I37*H37,"--")</f>
        <v>--</v>
      </c>
      <c r="U37" s="1034" t="str">
        <f>IF(AND(M37&gt;10,N37="F"),IF(M37&lt;=300,ROUND(M37/60,2),5)*I37*H37*IF(P37="SI",1.2,1),"--")</f>
        <v>--</v>
      </c>
      <c r="V37" s="1035" t="str">
        <f>IF(AND(N37="F",M37&gt;300),IF(P37="SI",1.2,1)*(ROUND(M37/60,2)-5)*I37*H37*0.1,"--")</f>
        <v>--</v>
      </c>
      <c r="W37" s="1036" t="str">
        <f>IF(AND(N37="R",Q37="NO"),IF(P37="SI",1.2,1)*I37*H37*O37/100,"--")</f>
        <v>--</v>
      </c>
      <c r="X37" s="1037" t="str">
        <f>IF(AND(M37&gt;10,N37="R"),IF(M37&lt;=300,ROUND(M37/60,2),5)*I37*H37*O37/100*IF(P37="SI",1.2,1),"--")</f>
        <v>--</v>
      </c>
      <c r="Y37" s="1038" t="str">
        <f>IF(AND(N37="R",M37&gt;300),IF(P37="SI",1.2,1)*(ROUND(M37/60,2)-5)*I37*H37*O37/100*0.1,"--")</f>
        <v>--</v>
      </c>
      <c r="Z37" s="1039" t="str">
        <f>IF(N37="RF",IF(P37="SI",1.2,1)*ROUND(M37/60,2)*I37*H37*0.1,"--")</f>
        <v>--</v>
      </c>
      <c r="AA37" s="1040" t="str">
        <f>IF(N37="RR",IF(P37="SI",1.2,1)*ROUND(M37/60,2)*I37*H37*O37/100*0.1,"--")</f>
        <v>--</v>
      </c>
      <c r="AB37" s="1041" t="str">
        <f>IF(D37="","","SI")</f>
        <v>SI</v>
      </c>
      <c r="AC37" s="1042">
        <f>IF(D37="","",SUM(R37:AA37)*IF(AB37="SI",1,2))</f>
        <v>1374.1085131199995</v>
      </c>
      <c r="AD37" s="932"/>
    </row>
    <row r="38" spans="1:30" ht="16.5" customHeight="1">
      <c r="A38" s="913"/>
      <c r="B38" s="928"/>
      <c r="C38" s="1021" t="s">
        <v>431</v>
      </c>
      <c r="D38" s="646" t="s">
        <v>430</v>
      </c>
      <c r="E38" s="647">
        <v>500</v>
      </c>
      <c r="F38" s="648">
        <v>519.3</v>
      </c>
      <c r="G38" s="1022" t="s">
        <v>258</v>
      </c>
      <c r="H38" s="1023">
        <f>IF(G38="A",200,IF(G38="B",60,20))</f>
        <v>20</v>
      </c>
      <c r="I38" s="1024">
        <f>IF(F38&gt;100,F38,100)*$F$22/100</f>
        <v>1226.8826009999998</v>
      </c>
      <c r="J38" s="1342">
        <v>40985.62430555555</v>
      </c>
      <c r="K38" s="1341">
        <v>40985.64166666667</v>
      </c>
      <c r="L38" s="1027">
        <f>IF(D38="","",(K38-J38)*24)</f>
        <v>0.41666666680248454</v>
      </c>
      <c r="M38" s="1028">
        <f>IF(D38="","",ROUND((K38-J38)*24*60,0))</f>
        <v>25</v>
      </c>
      <c r="N38" s="1047" t="s">
        <v>256</v>
      </c>
      <c r="O38" s="1030" t="str">
        <f>IF(D38="","","--")</f>
        <v>--</v>
      </c>
      <c r="P38" s="1029" t="str">
        <f>IF(D38="","","NO")</f>
        <v>NO</v>
      </c>
      <c r="Q38" s="1029" t="s">
        <v>77</v>
      </c>
      <c r="R38" s="1031" t="str">
        <f>IF(N38="P",+I38*H38*ROUND(M38/60,2)/100,"--")</f>
        <v>--</v>
      </c>
      <c r="S38" s="1050" t="str">
        <f>IF(N38="RP",I38*H38*ROUND(M38/60,2)*0.01*O38/100,"--")</f>
        <v>--</v>
      </c>
      <c r="T38" s="1033" t="str">
        <f>IF(AND(N38="F",Q38="NO"),IF(P38="SI",1.2,1)*I38*H38,"--")</f>
        <v>--</v>
      </c>
      <c r="U38" s="1034">
        <f>IF(AND(M38&gt;10,N38="F"),IF(M38&lt;=300,ROUND(M38/60,2),5)*I38*H38*IF(P38="SI",1.2,1),"--")</f>
        <v>10305.813848399997</v>
      </c>
      <c r="V38" s="1035" t="str">
        <f>IF(AND(N38="F",M38&gt;300),IF(P38="SI",1.2,1)*(ROUND(M38/60,2)-5)*I38*H38*0.1,"--")</f>
        <v>--</v>
      </c>
      <c r="W38" s="1036" t="str">
        <f>IF(AND(N38="R",Q38="NO"),IF(P38="SI",1.2,1)*I38*H38*O38/100,"--")</f>
        <v>--</v>
      </c>
      <c r="X38" s="1037" t="str">
        <f>IF(AND(M38&gt;10,N38="R"),IF(M38&lt;=300,ROUND(M38/60,2),5)*I38*H38*O38/100*IF(P38="SI",1.2,1),"--")</f>
        <v>--</v>
      </c>
      <c r="Y38" s="1038" t="str">
        <f>IF(AND(N38="R",M38&gt;300),IF(P38="SI",1.2,1)*(ROUND(M38/60,2)-5)*I38*H38*O38/100*0.1,"--")</f>
        <v>--</v>
      </c>
      <c r="Z38" s="1039" t="str">
        <f>IF(N38="RF",IF(P38="SI",1.2,1)*ROUND(M38/60,2)*I38*H38*0.1,"--")</f>
        <v>--</v>
      </c>
      <c r="AA38" s="1040" t="str">
        <f>IF(N38="RR",IF(P38="SI",1.2,1)*ROUND(M38/60,2)*I38*H38*O38/100*0.1,"--")</f>
        <v>--</v>
      </c>
      <c r="AB38" s="1041" t="str">
        <f>IF(D38="","","SI")</f>
        <v>SI</v>
      </c>
      <c r="AC38" s="1042">
        <f>IF(D38="","",SUM(R38:AA38)*IF(AB38="SI",1,2))</f>
        <v>10305.813848399997</v>
      </c>
      <c r="AD38" s="932"/>
    </row>
    <row r="39" spans="1:30" ht="16.5" customHeight="1">
      <c r="A39" s="913"/>
      <c r="B39" s="928"/>
      <c r="C39" s="1021" t="s">
        <v>432</v>
      </c>
      <c r="D39" s="646"/>
      <c r="E39" s="647"/>
      <c r="F39" s="648"/>
      <c r="G39" s="1022"/>
      <c r="H39" s="1023">
        <f>IF(G39="A",200,IF(G39="B",60,20))</f>
        <v>20</v>
      </c>
      <c r="I39" s="1024"/>
      <c r="J39" s="1043"/>
      <c r="K39" s="1044"/>
      <c r="L39" s="1045">
        <f>IF(D39="","",(K39-J39)*24)</f>
      </c>
      <c r="M39" s="1046">
        <f>IF(D39="","",ROUND((K39-J39)*24*60,0))</f>
      </c>
      <c r="N39" s="1047"/>
      <c r="O39" s="1048">
        <f>IF(D39="","","--")</f>
      </c>
      <c r="P39" s="1047">
        <f>IF(D39="","","NO")</f>
      </c>
      <c r="Q39" s="1047">
        <f>IF(D39="","",IF(OR(N39="P",N39="RP"),"--","NO"))</f>
      </c>
      <c r="R39" s="1049" t="str">
        <f>IF(N39="P",+I39*H39*ROUND(M39/60,2)/100,"--")</f>
        <v>--</v>
      </c>
      <c r="S39" s="1050" t="str">
        <f>IF(N39="RP",I39*H39*ROUND(M39/60,2)*0.01*O39/100,"--")</f>
        <v>--</v>
      </c>
      <c r="T39" s="1051" t="str">
        <f>IF(AND(N39="F",Q39="NO"),IF(P39="SI",1.2,1)*I39*H39,"--")</f>
        <v>--</v>
      </c>
      <c r="U39" s="1052" t="str">
        <f>IF(AND(M39&gt;10,N39="F"),IF(M39&lt;=300,ROUND(M39/60,2),5)*I39*H39*IF(P39="SI",1.2,1),"--")</f>
        <v>--</v>
      </c>
      <c r="V39" s="1053" t="str">
        <f>IF(AND(N39="F",M39&gt;300),IF(P39="SI",1.2,1)*(ROUND(M39/60,2)-5)*I39*H39*0.1,"--")</f>
        <v>--</v>
      </c>
      <c r="W39" s="1054" t="str">
        <f>IF(AND(N39="R",Q39="NO"),IF(P39="SI",1.2,1)*I39*H39*O39/100,"--")</f>
        <v>--</v>
      </c>
      <c r="X39" s="1055" t="str">
        <f>IF(AND(M39&gt;10,N39="R"),IF(M39&lt;=300,ROUND(M39/60,2),5)*I39*H39*O39/100*IF(P39="SI",1.2,1),"--")</f>
        <v>--</v>
      </c>
      <c r="Y39" s="1056" t="str">
        <f>IF(AND(N39="R",M39&gt;300),IF(P39="SI",1.2,1)*(ROUND(M39/60,2)-5)*I39*H39*O39/100*0.1,"--")</f>
        <v>--</v>
      </c>
      <c r="Z39" s="1057" t="str">
        <f>IF(N39="RF",IF(P39="SI",1.2,1)*ROUND(M39/60,2)*I39*H39*0.1,"--")</f>
        <v>--</v>
      </c>
      <c r="AA39" s="1058" t="str">
        <f>IF(N39="RR",IF(P39="SI",1.2,1)*ROUND(M39/60,2)*I39*H39*O39/100*0.1,"--")</f>
        <v>--</v>
      </c>
      <c r="AB39" s="1059">
        <f>IF(D39="","","SI")</f>
      </c>
      <c r="AC39" s="1042">
        <f>IF(D39="","",SUM(R39:AA39)*IF(AB39="SI",1,2))</f>
      </c>
      <c r="AD39" s="932"/>
    </row>
    <row r="40" spans="1:30" ht="16.5" customHeight="1" thickBot="1">
      <c r="A40" s="953"/>
      <c r="B40" s="928"/>
      <c r="C40" s="1060"/>
      <c r="D40" s="1061"/>
      <c r="E40" s="1062"/>
      <c r="F40" s="1063"/>
      <c r="G40" s="1064"/>
      <c r="H40" s="1065"/>
      <c r="I40" s="1066"/>
      <c r="J40" s="1067"/>
      <c r="K40" s="1067"/>
      <c r="L40" s="1068"/>
      <c r="M40" s="1068"/>
      <c r="N40" s="1068"/>
      <c r="O40" s="1069"/>
      <c r="P40" s="1068"/>
      <c r="Q40" s="1068"/>
      <c r="R40" s="1070"/>
      <c r="S40" s="1071"/>
      <c r="T40" s="1072"/>
      <c r="U40" s="1073"/>
      <c r="V40" s="1074"/>
      <c r="W40" s="1075"/>
      <c r="X40" s="1076"/>
      <c r="Y40" s="1077"/>
      <c r="Z40" s="1078"/>
      <c r="AA40" s="1079"/>
      <c r="AB40" s="1080"/>
      <c r="AC40" s="1081"/>
      <c r="AD40" s="1082"/>
    </row>
    <row r="41" spans="1:30" ht="16.5" customHeight="1" thickBot="1" thickTop="1">
      <c r="A41" s="953"/>
      <c r="B41" s="928"/>
      <c r="C41" s="958"/>
      <c r="D41" s="958"/>
      <c r="E41" s="1083"/>
      <c r="F41" s="968"/>
      <c r="G41" s="1084"/>
      <c r="H41" s="1084"/>
      <c r="I41" s="1085"/>
      <c r="J41" s="1085"/>
      <c r="K41" s="1085"/>
      <c r="L41" s="1085"/>
      <c r="M41" s="1085"/>
      <c r="N41" s="1085"/>
      <c r="O41" s="1086"/>
      <c r="P41" s="1085"/>
      <c r="Q41" s="1085"/>
      <c r="R41" s="1087">
        <f aca="true" t="shared" si="0" ref="R41:AA41">SUM(R34:R40)</f>
        <v>2338.4382375059995</v>
      </c>
      <c r="S41" s="1088">
        <f t="shared" si="0"/>
        <v>0</v>
      </c>
      <c r="T41" s="1089">
        <f t="shared" si="0"/>
        <v>0</v>
      </c>
      <c r="U41" s="1089">
        <f t="shared" si="0"/>
        <v>10305.813848399997</v>
      </c>
      <c r="V41" s="1089">
        <f t="shared" si="0"/>
        <v>0</v>
      </c>
      <c r="W41" s="1090">
        <f t="shared" si="0"/>
        <v>0</v>
      </c>
      <c r="X41" s="1090">
        <f t="shared" si="0"/>
        <v>0</v>
      </c>
      <c r="Y41" s="1090">
        <f t="shared" si="0"/>
        <v>0</v>
      </c>
      <c r="Z41" s="1091">
        <f t="shared" si="0"/>
        <v>0</v>
      </c>
      <c r="AA41" s="1092">
        <f t="shared" si="0"/>
        <v>0</v>
      </c>
      <c r="AB41" s="1093"/>
      <c r="AC41" s="1094">
        <f>SUM(AC34:AC40)</f>
        <v>12644.252085905997</v>
      </c>
      <c r="AD41" s="1082"/>
    </row>
    <row r="42" spans="1:30" ht="13.5" customHeight="1" thickBot="1" thickTop="1">
      <c r="A42" s="953"/>
      <c r="B42" s="928"/>
      <c r="C42" s="958"/>
      <c r="D42" s="958"/>
      <c r="E42" s="1083"/>
      <c r="F42" s="968"/>
      <c r="G42" s="1084"/>
      <c r="H42" s="1084"/>
      <c r="I42" s="1085"/>
      <c r="J42" s="1085"/>
      <c r="K42" s="1085"/>
      <c r="L42" s="1085"/>
      <c r="M42" s="1085"/>
      <c r="N42" s="1085"/>
      <c r="O42" s="1086"/>
      <c r="P42" s="1085"/>
      <c r="Q42" s="1085"/>
      <c r="R42" s="1095"/>
      <c r="S42" s="1096"/>
      <c r="T42" s="1097"/>
      <c r="U42" s="1097"/>
      <c r="V42" s="1097"/>
      <c r="W42" s="1095"/>
      <c r="X42" s="1095"/>
      <c r="Y42" s="1095"/>
      <c r="Z42" s="1095"/>
      <c r="AA42" s="1095"/>
      <c r="AB42" s="1098"/>
      <c r="AC42" s="1099"/>
      <c r="AD42" s="1082"/>
    </row>
    <row r="43" spans="1:33" s="913" customFormat="1" ht="33.75" customHeight="1" thickBot="1" thickTop="1">
      <c r="A43" s="912"/>
      <c r="B43" s="1100"/>
      <c r="C43" s="1101" t="s">
        <v>32</v>
      </c>
      <c r="D43" s="1102" t="s">
        <v>60</v>
      </c>
      <c r="E43" s="1103" t="s">
        <v>61</v>
      </c>
      <c r="F43" s="1104" t="s">
        <v>62</v>
      </c>
      <c r="G43" s="996" t="s">
        <v>35</v>
      </c>
      <c r="H43" s="1105" t="s">
        <v>39</v>
      </c>
      <c r="I43" s="1106"/>
      <c r="J43" s="1103" t="s">
        <v>40</v>
      </c>
      <c r="K43" s="1103" t="s">
        <v>41</v>
      </c>
      <c r="L43" s="1102" t="s">
        <v>63</v>
      </c>
      <c r="M43" s="1102" t="s">
        <v>43</v>
      </c>
      <c r="N43" s="983" t="s">
        <v>398</v>
      </c>
      <c r="O43" s="1103" t="s">
        <v>46</v>
      </c>
      <c r="P43" s="1107" t="s">
        <v>64</v>
      </c>
      <c r="Q43" s="1108"/>
      <c r="R43" s="1105" t="s">
        <v>399</v>
      </c>
      <c r="S43" s="1109" t="s">
        <v>47</v>
      </c>
      <c r="T43" s="1110" t="s">
        <v>400</v>
      </c>
      <c r="U43" s="1111"/>
      <c r="V43" s="1112" t="s">
        <v>51</v>
      </c>
      <c r="W43" s="1113"/>
      <c r="X43" s="1114"/>
      <c r="Y43" s="1114"/>
      <c r="Z43" s="1114"/>
      <c r="AA43" s="1115"/>
      <c r="AB43" s="1116" t="s">
        <v>53</v>
      </c>
      <c r="AC43" s="996" t="s">
        <v>54</v>
      </c>
      <c r="AD43" s="932"/>
      <c r="AF43" s="914"/>
      <c r="AG43" s="914"/>
    </row>
    <row r="44" spans="1:30" ht="16.5" customHeight="1" thickTop="1">
      <c r="A44" s="913"/>
      <c r="B44" s="928"/>
      <c r="C44" s="998"/>
      <c r="D44" s="1117"/>
      <c r="E44" s="1117"/>
      <c r="F44" s="1117"/>
      <c r="G44" s="1118"/>
      <c r="H44" s="1119"/>
      <c r="I44" s="1120"/>
      <c r="J44" s="1117"/>
      <c r="K44" s="1117"/>
      <c r="L44" s="1117"/>
      <c r="M44" s="1117"/>
      <c r="N44" s="1117"/>
      <c r="O44" s="1121"/>
      <c r="P44" s="1122"/>
      <c r="Q44" s="1123"/>
      <c r="R44" s="1124"/>
      <c r="S44" s="1125"/>
      <c r="T44" s="1126"/>
      <c r="U44" s="1127"/>
      <c r="V44" s="1128"/>
      <c r="W44" s="1129"/>
      <c r="X44" s="1130"/>
      <c r="Y44" s="1130"/>
      <c r="Z44" s="1130"/>
      <c r="AA44" s="1131"/>
      <c r="AB44" s="1121"/>
      <c r="AC44" s="1132"/>
      <c r="AD44" s="932"/>
    </row>
    <row r="45" spans="1:30" ht="16.5" customHeight="1">
      <c r="A45" s="913"/>
      <c r="B45" s="928"/>
      <c r="C45" s="1021" t="s">
        <v>396</v>
      </c>
      <c r="D45" s="1133"/>
      <c r="E45" s="1133"/>
      <c r="F45" s="1134"/>
      <c r="G45" s="1135"/>
      <c r="H45" s="1136">
        <f>F45*$F$23</f>
        <v>0</v>
      </c>
      <c r="I45" s="1137"/>
      <c r="J45" s="1025"/>
      <c r="K45" s="1026"/>
      <c r="L45" s="1138">
        <f>IF(D45="","",(K45-J45)*24)</f>
      </c>
      <c r="M45" s="1139">
        <f>IF(D45="","",(K45-J45)*24*60)</f>
      </c>
      <c r="N45" s="1140"/>
      <c r="O45" s="1141">
        <f>IF(D45="","",IF(OR(N45="P",N45="RP"),"--","NO"))</f>
      </c>
      <c r="P45" s="1142"/>
      <c r="Q45" s="1143"/>
      <c r="R45" s="1144">
        <f>200*IF(OR(N45="P",N45="RP"),0.1,1)*IF(P45="SI",1,0.1)</f>
        <v>20</v>
      </c>
      <c r="S45" s="1145" t="str">
        <f>IF(N45="P",H45*R45*ROUND(M45/60,2),"--")</f>
        <v>--</v>
      </c>
      <c r="T45" s="1146" t="str">
        <f>IF(AND(N45="F",O45="NO"),H45*R45,"--")</f>
        <v>--</v>
      </c>
      <c r="U45" s="1147" t="str">
        <f>IF(N45="F",H45*R45*ROUND(M45/60,2),"--")</f>
        <v>--</v>
      </c>
      <c r="V45" s="1148" t="str">
        <f>IF(N45="RF",H45*R45*ROUND(M45/60,2),"--")</f>
        <v>--</v>
      </c>
      <c r="W45" s="1149"/>
      <c r="X45" s="1150"/>
      <c r="Y45" s="1150"/>
      <c r="Z45" s="1150"/>
      <c r="AA45" s="1151"/>
      <c r="AB45" s="1152">
        <f>IF(D45="","","SI")</f>
      </c>
      <c r="AC45" s="1153">
        <f>IF(D45="","",SUM(S45:V45)*IF(AB45="SI",1,2))</f>
      </c>
      <c r="AD45" s="932"/>
    </row>
    <row r="46" spans="1:30" ht="16.5" customHeight="1">
      <c r="A46" s="913"/>
      <c r="B46" s="928"/>
      <c r="C46" s="1021" t="s">
        <v>397</v>
      </c>
      <c r="D46" s="1154"/>
      <c r="E46" s="1155"/>
      <c r="F46" s="1156"/>
      <c r="G46" s="1157"/>
      <c r="H46" s="1136">
        <f>F46*$F$23</f>
        <v>0</v>
      </c>
      <c r="I46" s="1137"/>
      <c r="J46" s="1158"/>
      <c r="K46" s="1158"/>
      <c r="L46" s="1138">
        <f>IF(D46="","",(K46-J46)*24)</f>
      </c>
      <c r="M46" s="1139">
        <f>IF(D46="","",(K46-J46)*24*60)</f>
      </c>
      <c r="N46" s="1140"/>
      <c r="O46" s="1141">
        <f>IF(D46="","",IF(OR(N46="P",N46="RP"),"--","NO"))</f>
      </c>
      <c r="P46" s="1142">
        <f>IF(D46="","","NO")</f>
      </c>
      <c r="Q46" s="1143"/>
      <c r="R46" s="1144">
        <f>200*IF(OR(N46="P",N46="RP"),0.1,1)*IF(P46="SI",1,0.1)</f>
        <v>20</v>
      </c>
      <c r="S46" s="1145" t="str">
        <f>IF(N46="P",H46*R46*ROUND(M46/60,2),"--")</f>
        <v>--</v>
      </c>
      <c r="T46" s="1146" t="str">
        <f>IF(AND(N46="F",O46="NO"),H46*R46,"--")</f>
        <v>--</v>
      </c>
      <c r="U46" s="1147" t="str">
        <f>IF(N46="F",H46*R46*ROUND(M46/60,2),"--")</f>
        <v>--</v>
      </c>
      <c r="V46" s="1148" t="str">
        <f>IF(N46="RF",H46*R46*ROUND(M46/60,2),"--")</f>
        <v>--</v>
      </c>
      <c r="W46" s="1149"/>
      <c r="X46" s="1150"/>
      <c r="Y46" s="1150"/>
      <c r="Z46" s="1150"/>
      <c r="AA46" s="1151"/>
      <c r="AB46" s="1152">
        <f>IF(D46="","","SI")</f>
      </c>
      <c r="AC46" s="1153">
        <f>IF(D46="","",SUM(S46:V46)*IF(AB46="SI",1,2))</f>
      </c>
      <c r="AD46" s="932"/>
    </row>
    <row r="47" spans="1:30" ht="16.5" customHeight="1" thickBot="1">
      <c r="A47" s="953"/>
      <c r="B47" s="928"/>
      <c r="C47" s="1060"/>
      <c r="D47" s="1159"/>
      <c r="E47" s="1160"/>
      <c r="F47" s="1161"/>
      <c r="G47" s="1162"/>
      <c r="H47" s="1163"/>
      <c r="I47" s="1164"/>
      <c r="J47" s="1165"/>
      <c r="K47" s="1166"/>
      <c r="L47" s="1167"/>
      <c r="M47" s="1168"/>
      <c r="N47" s="1169"/>
      <c r="O47" s="1068"/>
      <c r="P47" s="1170"/>
      <c r="Q47" s="1171"/>
      <c r="R47" s="1172"/>
      <c r="S47" s="1173"/>
      <c r="T47" s="1174"/>
      <c r="U47" s="1175"/>
      <c r="V47" s="1176"/>
      <c r="W47" s="1177"/>
      <c r="X47" s="1178"/>
      <c r="Y47" s="1178"/>
      <c r="Z47" s="1178"/>
      <c r="AA47" s="1179"/>
      <c r="AB47" s="1180"/>
      <c r="AC47" s="1181"/>
      <c r="AD47" s="1082"/>
    </row>
    <row r="48" spans="1:30" ht="16.5" customHeight="1" thickBot="1" thickTop="1">
      <c r="A48" s="953"/>
      <c r="B48" s="928"/>
      <c r="C48" s="1182"/>
      <c r="D48" s="973"/>
      <c r="E48" s="973"/>
      <c r="F48" s="1183"/>
      <c r="G48" s="1184"/>
      <c r="H48" s="1086"/>
      <c r="I48" s="950"/>
      <c r="J48" s="1185"/>
      <c r="K48" s="1186"/>
      <c r="L48" s="1187"/>
      <c r="M48" s="1188"/>
      <c r="N48" s="1189"/>
      <c r="O48" s="1190"/>
      <c r="P48" s="1191"/>
      <c r="Q48" s="1191"/>
      <c r="R48" s="1192"/>
      <c r="S48" s="1193"/>
      <c r="T48" s="1194"/>
      <c r="U48" s="1194"/>
      <c r="V48" s="1195"/>
      <c r="W48" s="1196"/>
      <c r="X48" s="1196"/>
      <c r="Y48" s="1196"/>
      <c r="Z48" s="1196"/>
      <c r="AA48" s="1196"/>
      <c r="AB48" s="1197"/>
      <c r="AC48" s="1094">
        <f>SUM(AC44:AC47)</f>
        <v>0</v>
      </c>
      <c r="AD48" s="1082"/>
    </row>
    <row r="49" spans="1:30" ht="16.5" customHeight="1" thickBot="1" thickTop="1">
      <c r="A49" s="953"/>
      <c r="B49" s="928"/>
      <c r="C49" s="1182"/>
      <c r="D49" s="973"/>
      <c r="E49" s="973"/>
      <c r="F49" s="1183"/>
      <c r="G49" s="1184"/>
      <c r="H49" s="1086"/>
      <c r="I49" s="950"/>
      <c r="J49" s="1198"/>
      <c r="K49" s="1199"/>
      <c r="L49" s="1187"/>
      <c r="M49" s="1188"/>
      <c r="N49" s="1189"/>
      <c r="O49" s="1190"/>
      <c r="P49" s="1191"/>
      <c r="Q49" s="1191"/>
      <c r="R49" s="1192"/>
      <c r="S49" s="1193"/>
      <c r="T49" s="1194"/>
      <c r="U49" s="1194"/>
      <c r="V49" s="1195"/>
      <c r="W49" s="1196"/>
      <c r="X49" s="1196"/>
      <c r="Y49" s="1196"/>
      <c r="Z49" s="1196"/>
      <c r="AA49" s="1196"/>
      <c r="AB49" s="1197"/>
      <c r="AC49" s="1200"/>
      <c r="AD49" s="1082"/>
    </row>
    <row r="50" spans="1:30" ht="33.75" customHeight="1" thickBot="1" thickTop="1">
      <c r="A50" s="953"/>
      <c r="B50" s="928"/>
      <c r="C50" s="1101" t="s">
        <v>32</v>
      </c>
      <c r="D50" s="1102" t="s">
        <v>60</v>
      </c>
      <c r="E50" s="1103" t="s">
        <v>61</v>
      </c>
      <c r="F50" s="2736" t="s">
        <v>35</v>
      </c>
      <c r="G50" s="2737"/>
      <c r="H50" s="1105" t="s">
        <v>39</v>
      </c>
      <c r="I50" s="1106"/>
      <c r="J50" s="1103" t="s">
        <v>40</v>
      </c>
      <c r="K50" s="1103" t="s">
        <v>41</v>
      </c>
      <c r="L50" s="1102" t="s">
        <v>63</v>
      </c>
      <c r="M50" s="1102" t="s">
        <v>43</v>
      </c>
      <c r="N50" s="983" t="s">
        <v>398</v>
      </c>
      <c r="O50" s="2738" t="s">
        <v>46</v>
      </c>
      <c r="P50" s="2739"/>
      <c r="Q50" s="2740"/>
      <c r="R50" s="980" t="s">
        <v>38</v>
      </c>
      <c r="S50" s="1201" t="s">
        <v>73</v>
      </c>
      <c r="T50" s="1202" t="s">
        <v>74</v>
      </c>
      <c r="U50" s="1203"/>
      <c r="V50" s="1204" t="s">
        <v>51</v>
      </c>
      <c r="W50" s="1114"/>
      <c r="X50" s="1114"/>
      <c r="Y50" s="1114"/>
      <c r="Z50" s="1114"/>
      <c r="AA50" s="1115"/>
      <c r="AB50" s="1116" t="s">
        <v>53</v>
      </c>
      <c r="AC50" s="996" t="s">
        <v>54</v>
      </c>
      <c r="AD50" s="1082"/>
    </row>
    <row r="51" spans="1:30" ht="16.5" customHeight="1" thickTop="1">
      <c r="A51" s="953"/>
      <c r="B51" s="928"/>
      <c r="C51" s="998"/>
      <c r="D51" s="1117"/>
      <c r="E51" s="1117"/>
      <c r="F51" s="2741"/>
      <c r="G51" s="2742"/>
      <c r="H51" s="1119"/>
      <c r="I51" s="1120"/>
      <c r="J51" s="1117"/>
      <c r="K51" s="1117"/>
      <c r="L51" s="1117"/>
      <c r="M51" s="1117"/>
      <c r="N51" s="1117"/>
      <c r="O51" s="2741"/>
      <c r="P51" s="2743"/>
      <c r="Q51" s="2742"/>
      <c r="R51" s="1205"/>
      <c r="S51" s="1206"/>
      <c r="T51" s="1207"/>
      <c r="U51" s="1208"/>
      <c r="V51" s="1209"/>
      <c r="W51" s="1130"/>
      <c r="X51" s="1130"/>
      <c r="Y51" s="1130"/>
      <c r="Z51" s="1130"/>
      <c r="AA51" s="1131"/>
      <c r="AB51" s="1121"/>
      <c r="AC51" s="1132"/>
      <c r="AD51" s="1082"/>
    </row>
    <row r="52" spans="1:30" ht="16.5" customHeight="1">
      <c r="A52" s="953"/>
      <c r="B52" s="928"/>
      <c r="C52" s="1210" t="s">
        <v>396</v>
      </c>
      <c r="D52" s="1133"/>
      <c r="E52" s="1133"/>
      <c r="F52" s="2724"/>
      <c r="G52" s="2725"/>
      <c r="H52" s="1136">
        <f>IF(F52=500,$F$24,0)</f>
        <v>0</v>
      </c>
      <c r="I52" s="1137"/>
      <c r="J52" s="1025"/>
      <c r="K52" s="1026"/>
      <c r="L52" s="1138">
        <f>IF(D52="","",(K52-J52)*24)</f>
      </c>
      <c r="M52" s="1139">
        <f>IF(D52="","",(K52-J52)*24*60)</f>
      </c>
      <c r="N52" s="1140"/>
      <c r="O52" s="2721">
        <f>IF(D52="","",IF(N52="P","--","NO"))</f>
      </c>
      <c r="P52" s="2722"/>
      <c r="Q52" s="2723"/>
      <c r="R52" s="1205">
        <f>IF(F52=500,200,IF(F52=132,40,0))</f>
        <v>0</v>
      </c>
      <c r="S52" s="1211" t="str">
        <f>IF(N52="P",H52*R52*ROUND(M52/60,2)*0.1,"--")</f>
        <v>--</v>
      </c>
      <c r="T52" s="1212" t="str">
        <f>IF(AND(N52="F",O52="NO"),H52*R52,"--")</f>
        <v>--</v>
      </c>
      <c r="U52" s="1213" t="str">
        <f>IF(N52="F",H52*R52*ROUND(M52/60,2),"--")</f>
        <v>--</v>
      </c>
      <c r="V52" s="1148" t="str">
        <f>IF(N52="RF",H52*R52*ROUND(M52/60,2),"--")</f>
        <v>--</v>
      </c>
      <c r="W52" s="1150"/>
      <c r="X52" s="1150"/>
      <c r="Y52" s="1150"/>
      <c r="Z52" s="1150"/>
      <c r="AA52" s="1151"/>
      <c r="AB52" s="1152">
        <f>IF(D52="","","SI")</f>
      </c>
      <c r="AC52" s="1214">
        <f>IF(D52="","",SUM(S52:V52)*IF(AB52="SI",1,2))</f>
      </c>
      <c r="AD52" s="1082"/>
    </row>
    <row r="53" spans="1:30" ht="16.5" customHeight="1">
      <c r="A53" s="953"/>
      <c r="B53" s="928"/>
      <c r="C53" s="1021" t="s">
        <v>397</v>
      </c>
      <c r="D53" s="1154"/>
      <c r="E53" s="1155"/>
      <c r="F53" s="2724"/>
      <c r="G53" s="2725"/>
      <c r="H53" s="1136">
        <f>IF(F53=132,$F$24,0)</f>
        <v>0</v>
      </c>
      <c r="I53" s="1137"/>
      <c r="J53" s="1158"/>
      <c r="K53" s="1158"/>
      <c r="L53" s="1138">
        <f>IF(D53="","",(K53-J53)*24)</f>
      </c>
      <c r="M53" s="1139">
        <f>IF(D53="","",(K53-J53)*24*60)</f>
      </c>
      <c r="N53" s="1140"/>
      <c r="O53" s="2721">
        <f>IF(D53="","",IF(N53="P","--","NO"))</f>
      </c>
      <c r="P53" s="2722"/>
      <c r="Q53" s="2723"/>
      <c r="R53" s="1205">
        <f>IF(F53=500,200,IF(F53=132,40,0))</f>
        <v>0</v>
      </c>
      <c r="S53" s="1211" t="str">
        <f>IF(N53="P",H53*R53*ROUND(M53/60,2)*0.1,"--")</f>
        <v>--</v>
      </c>
      <c r="T53" s="1212" t="str">
        <f>IF(AND(N53="F",O53="NO"),H53*R53,"--")</f>
        <v>--</v>
      </c>
      <c r="U53" s="1213" t="str">
        <f>IF(N53="F",H53*R53*ROUND(M53/60,2),"--")</f>
        <v>--</v>
      </c>
      <c r="V53" s="1148" t="str">
        <f>IF(N53="RF",H53*R53*ROUND(M53/60,2),"--")</f>
        <v>--</v>
      </c>
      <c r="W53" s="1150"/>
      <c r="X53" s="1150"/>
      <c r="Y53" s="1150"/>
      <c r="Z53" s="1150"/>
      <c r="AA53" s="1151"/>
      <c r="AB53" s="1152">
        <f>IF(D53="","","SI")</f>
      </c>
      <c r="AC53" s="1214">
        <f>IF(D53="","",SUM(S53:V53)*IF(AB53="SI",1,2))</f>
      </c>
      <c r="AD53" s="1082"/>
    </row>
    <row r="54" spans="1:30" ht="16.5" customHeight="1" thickBot="1">
      <c r="A54" s="953"/>
      <c r="B54" s="928"/>
      <c r="C54" s="1060"/>
      <c r="D54" s="1159"/>
      <c r="E54" s="1160"/>
      <c r="F54" s="2749"/>
      <c r="G54" s="2750"/>
      <c r="H54" s="1163"/>
      <c r="I54" s="1164"/>
      <c r="J54" s="1165"/>
      <c r="K54" s="1166"/>
      <c r="L54" s="1167"/>
      <c r="M54" s="1168"/>
      <c r="N54" s="1169"/>
      <c r="O54" s="2718"/>
      <c r="P54" s="2719"/>
      <c r="Q54" s="2720"/>
      <c r="R54" s="1205"/>
      <c r="S54" s="1211"/>
      <c r="T54" s="1212"/>
      <c r="U54" s="1213"/>
      <c r="V54" s="1148"/>
      <c r="W54" s="1178"/>
      <c r="X54" s="1178"/>
      <c r="Y54" s="1178"/>
      <c r="Z54" s="1178"/>
      <c r="AA54" s="1179"/>
      <c r="AB54" s="1180"/>
      <c r="AC54" s="1214">
        <f>IF(D54="","",SUM(S54:V54)*IF(AB54="SI",1,2))</f>
      </c>
      <c r="AD54" s="1082"/>
    </row>
    <row r="55" spans="1:30" ht="16.5" customHeight="1" thickBot="1" thickTop="1">
      <c r="A55" s="953"/>
      <c r="B55" s="928"/>
      <c r="C55" s="1182"/>
      <c r="D55" s="973"/>
      <c r="E55" s="973"/>
      <c r="F55" s="1183"/>
      <c r="G55" s="1184"/>
      <c r="H55" s="1189"/>
      <c r="I55" s="1198"/>
      <c r="J55" s="1199"/>
      <c r="K55" s="1187"/>
      <c r="L55" s="1188"/>
      <c r="M55" s="1189"/>
      <c r="N55" s="1215"/>
      <c r="O55" s="1190"/>
      <c r="P55" s="1216"/>
      <c r="Q55" s="1217"/>
      <c r="R55" s="1218"/>
      <c r="S55" s="1218"/>
      <c r="T55" s="1218"/>
      <c r="U55" s="1197"/>
      <c r="V55" s="1197"/>
      <c r="W55" s="1197"/>
      <c r="X55" s="1197"/>
      <c r="Y55" s="1197"/>
      <c r="Z55" s="1197"/>
      <c r="AA55" s="1197"/>
      <c r="AB55" s="1197"/>
      <c r="AC55" s="1219">
        <f>SUM(AC51:AC54)</f>
        <v>0</v>
      </c>
      <c r="AD55" s="1082"/>
    </row>
    <row r="56" spans="1:30" ht="16.5" customHeight="1" thickBot="1" thickTop="1">
      <c r="A56" s="953"/>
      <c r="B56" s="928"/>
      <c r="C56" s="1182"/>
      <c r="D56" s="973"/>
      <c r="E56" s="973"/>
      <c r="F56" s="1183"/>
      <c r="G56" s="1184"/>
      <c r="H56" s="1086"/>
      <c r="I56" s="950"/>
      <c r="J56" s="1085"/>
      <c r="K56" s="950"/>
      <c r="L56" s="1187"/>
      <c r="M56" s="1188"/>
      <c r="N56" s="1189"/>
      <c r="O56" s="1190"/>
      <c r="P56" s="1191"/>
      <c r="Q56" s="1191"/>
      <c r="R56" s="1192"/>
      <c r="S56" s="1193"/>
      <c r="T56" s="1194"/>
      <c r="U56" s="1194"/>
      <c r="V56" s="1195"/>
      <c r="W56" s="1196"/>
      <c r="X56" s="1196"/>
      <c r="Y56" s="1196"/>
      <c r="Z56" s="1196"/>
      <c r="AA56" s="1196"/>
      <c r="AB56" s="1197"/>
      <c r="AC56" s="1200"/>
      <c r="AD56" s="1082"/>
    </row>
    <row r="57" spans="1:30" ht="49.5" customHeight="1" thickBot="1" thickTop="1">
      <c r="A57" s="953"/>
      <c r="B57" s="928"/>
      <c r="C57" s="1101" t="s">
        <v>32</v>
      </c>
      <c r="D57" s="984" t="s">
        <v>60</v>
      </c>
      <c r="E57" s="981" t="s">
        <v>61</v>
      </c>
      <c r="F57" s="2747" t="s">
        <v>62</v>
      </c>
      <c r="G57" s="2748"/>
      <c r="H57" s="1105" t="s">
        <v>39</v>
      </c>
      <c r="I57" s="1220"/>
      <c r="J57" s="981" t="s">
        <v>40</v>
      </c>
      <c r="K57" s="981" t="s">
        <v>41</v>
      </c>
      <c r="L57" s="984" t="s">
        <v>42</v>
      </c>
      <c r="M57" s="984" t="s">
        <v>43</v>
      </c>
      <c r="N57" s="983" t="s">
        <v>251</v>
      </c>
      <c r="O57" s="983" t="s">
        <v>44</v>
      </c>
      <c r="P57" s="2726" t="s">
        <v>46</v>
      </c>
      <c r="Q57" s="2727"/>
      <c r="R57" s="1105" t="s">
        <v>38</v>
      </c>
      <c r="S57" s="1221" t="s">
        <v>73</v>
      </c>
      <c r="T57" s="1222" t="s">
        <v>363</v>
      </c>
      <c r="U57" s="1223"/>
      <c r="V57" s="1224" t="s">
        <v>51</v>
      </c>
      <c r="W57" s="1225" t="s">
        <v>48</v>
      </c>
      <c r="Z57" s="1196"/>
      <c r="AA57" s="1196"/>
      <c r="AB57" s="1116" t="s">
        <v>53</v>
      </c>
      <c r="AC57" s="1226" t="s">
        <v>54</v>
      </c>
      <c r="AD57" s="1082"/>
    </row>
    <row r="58" spans="1:30" ht="16.5" customHeight="1" thickTop="1">
      <c r="A58" s="953"/>
      <c r="B58" s="928"/>
      <c r="C58" s="1227"/>
      <c r="D58" s="1228"/>
      <c r="E58" s="1228"/>
      <c r="F58" s="2728"/>
      <c r="G58" s="2729"/>
      <c r="H58" s="1229"/>
      <c r="I58" s="1230"/>
      <c r="J58" s="1231"/>
      <c r="K58" s="1231"/>
      <c r="L58" s="1232"/>
      <c r="M58" s="1232"/>
      <c r="N58" s="1228"/>
      <c r="O58" s="1233"/>
      <c r="P58" s="2728"/>
      <c r="Q58" s="2729"/>
      <c r="R58" s="1234"/>
      <c r="S58" s="1235"/>
      <c r="T58" s="1236"/>
      <c r="U58" s="1237"/>
      <c r="V58" s="1238"/>
      <c r="W58" s="1238"/>
      <c r="Z58" s="1196"/>
      <c r="AA58" s="1196"/>
      <c r="AB58" s="1239"/>
      <c r="AC58" s="1240"/>
      <c r="AD58" s="1082"/>
    </row>
    <row r="59" spans="1:30" ht="16.5" customHeight="1">
      <c r="A59" s="953"/>
      <c r="B59" s="928"/>
      <c r="C59" s="1021" t="s">
        <v>396</v>
      </c>
      <c r="D59" s="1241" t="s">
        <v>364</v>
      </c>
      <c r="E59" s="1241" t="s">
        <v>365</v>
      </c>
      <c r="F59" s="2744">
        <v>120</v>
      </c>
      <c r="G59" s="2745"/>
      <c r="H59" s="1242">
        <f>F59*$F$23</f>
        <v>77.88</v>
      </c>
      <c r="I59" s="1243"/>
      <c r="J59" s="1343">
        <v>40969</v>
      </c>
      <c r="K59" s="1344">
        <v>40973.39791666667</v>
      </c>
      <c r="L59" s="842">
        <f>IF(F59="","",(K59-J59)*24)</f>
        <v>105.55000000004657</v>
      </c>
      <c r="M59" s="1028">
        <f>IF(D59="","",ROUND((K59-J59)*24*60,0))</f>
        <v>6333</v>
      </c>
      <c r="N59" s="1248" t="s">
        <v>256</v>
      </c>
      <c r="O59" s="1249" t="str">
        <f>IF(D59="","","--")</f>
        <v>--</v>
      </c>
      <c r="P59" s="2730" t="s">
        <v>77</v>
      </c>
      <c r="Q59" s="2731"/>
      <c r="R59" s="1250">
        <f>IF(OR(N59="P",N59="RP"),$N$24/10,$N$24)</f>
        <v>20</v>
      </c>
      <c r="S59" s="1251" t="str">
        <f>IF(N59="P",H59*R59*ROUND(M59/60,2),"--")</f>
        <v>--</v>
      </c>
      <c r="T59" s="1252" t="str">
        <f>IF(AND(N59="F",P59="NO"),H59*R59,"--")</f>
        <v>--</v>
      </c>
      <c r="U59" s="1253">
        <f>IF(N59="F",H59*R59*ROUND(M59/60,2),"--")</f>
        <v>164404.68</v>
      </c>
      <c r="V59" s="1254" t="str">
        <f>IF(N59="RF",H59*R59*ROUND(M59/60,2),"--")</f>
        <v>--</v>
      </c>
      <c r="W59" s="1254" t="str">
        <f>IF(O59="RP",J59*R59*P59/100*ROUND(N59/60,2),"--")</f>
        <v>--</v>
      </c>
      <c r="X59" s="1255"/>
      <c r="Y59" s="1255"/>
      <c r="Z59" s="1256"/>
      <c r="AA59" s="1256"/>
      <c r="AB59" s="1029" t="str">
        <f>IF(D59="","","SI")</f>
        <v>SI</v>
      </c>
      <c r="AC59" s="1257">
        <f>IF(D59="","",SUM(S59:W59)*IF(AB59="SI",1,2)*IF(AND(O59&lt;&gt;"--",N59="RF"),O59/100,1))</f>
        <v>164404.68</v>
      </c>
      <c r="AD59" s="1082"/>
    </row>
    <row r="60" spans="1:30" ht="16.5" customHeight="1">
      <c r="A60" s="953"/>
      <c r="B60" s="928"/>
      <c r="C60" s="1021" t="s">
        <v>397</v>
      </c>
      <c r="D60" s="1241" t="s">
        <v>366</v>
      </c>
      <c r="E60" s="1241" t="s">
        <v>434</v>
      </c>
      <c r="F60" s="2744">
        <v>120</v>
      </c>
      <c r="G60" s="2745"/>
      <c r="H60" s="1242">
        <f>F60*$F$23</f>
        <v>77.88</v>
      </c>
      <c r="I60" s="1345"/>
      <c r="J60" s="857">
        <v>40974.364583333336</v>
      </c>
      <c r="K60" s="858">
        <v>40981.634722222225</v>
      </c>
      <c r="L60" s="859">
        <f>IF(F60="","",(K60-J60)*24)</f>
        <v>174.4833333333372</v>
      </c>
      <c r="M60" s="1028">
        <f>IF(D60="","",ROUND((K60-J60)*24*60,0))</f>
        <v>10469</v>
      </c>
      <c r="N60" s="1248" t="s">
        <v>253</v>
      </c>
      <c r="O60" s="1249" t="str">
        <f>IF(D60="","","--")</f>
        <v>--</v>
      </c>
      <c r="P60" s="2730" t="s">
        <v>433</v>
      </c>
      <c r="Q60" s="2731"/>
      <c r="R60" s="1250">
        <f>IF(OR(N60="P",N60="RP"),$N$24/10,$N$24)</f>
        <v>2</v>
      </c>
      <c r="S60" s="1251">
        <f>IF(N60="P",H60*R60*ROUND(M60/60,2),"--")</f>
        <v>27177.004799999995</v>
      </c>
      <c r="T60" s="1252" t="str">
        <f>IF(AND(N60="F",P60="NO"),H60*R60,"--")</f>
        <v>--</v>
      </c>
      <c r="U60" s="1253" t="str">
        <f>IF(N60="F",H60*R60*ROUND(M60/60,2),"--")</f>
        <v>--</v>
      </c>
      <c r="V60" s="1254" t="str">
        <f>IF(N60="RF",H60*R60*ROUND(M60/60,2),"--")</f>
        <v>--</v>
      </c>
      <c r="W60" s="1254" t="str">
        <f>IF(O60="RP",J60*R60*P60/100*ROUND(N60/60,2),"--")</f>
        <v>--</v>
      </c>
      <c r="X60" s="1259"/>
      <c r="Y60" s="1259"/>
      <c r="Z60" s="1260"/>
      <c r="AA60" s="1260"/>
      <c r="AB60" s="1029" t="str">
        <f>IF(D60="","","SI")</f>
        <v>SI</v>
      </c>
      <c r="AC60" s="1257">
        <f>IF(D60="","",SUM(S60:W60)*IF(AB60="SI",1,2)*IF(AND(O60&lt;&gt;"--",N60="RF"),O60/100,1))</f>
        <v>27177.004799999995</v>
      </c>
      <c r="AD60" s="1082"/>
    </row>
    <row r="61" spans="1:30" ht="16.5" customHeight="1" thickBot="1">
      <c r="A61" s="953"/>
      <c r="B61" s="928"/>
      <c r="C61" s="1021" t="s">
        <v>401</v>
      </c>
      <c r="D61" s="1241"/>
      <c r="E61" s="1241"/>
      <c r="F61" s="2744"/>
      <c r="G61" s="2745"/>
      <c r="H61" s="1242">
        <f>F61*$F$23</f>
        <v>0</v>
      </c>
      <c r="I61" s="1258"/>
      <c r="J61" s="857"/>
      <c r="K61" s="858"/>
      <c r="L61" s="859">
        <f>IF(F61="","",(K61-J61)*24)</f>
      </c>
      <c r="M61" s="1028">
        <f>IF(D61="","",ROUND((K61-J61)*24*60,0))</f>
      </c>
      <c r="N61" s="1248"/>
      <c r="O61" s="1249">
        <f>IF(D61="","","--")</f>
      </c>
      <c r="P61" s="2730"/>
      <c r="Q61" s="2731"/>
      <c r="R61" s="1250">
        <f>IF(OR(N61="P",N61="RP"),$N$24/10,$N$24)</f>
        <v>20</v>
      </c>
      <c r="S61" s="1251" t="str">
        <f>IF(N61="P",H61*R61*ROUND(M61/60,2),"--")</f>
        <v>--</v>
      </c>
      <c r="T61" s="1252" t="str">
        <f>IF(AND(N61="F",P61="NO"),H61*R61,"--")</f>
        <v>--</v>
      </c>
      <c r="U61" s="1253" t="str">
        <f>IF(N61="F",H61*R61*ROUND(M61/60,2),"--")</f>
        <v>--</v>
      </c>
      <c r="V61" s="1254" t="str">
        <f>IF(N61="RF",H61*R61*ROUND(M61/60,2),"--")</f>
        <v>--</v>
      </c>
      <c r="W61" s="1254" t="str">
        <f>IF(O61="RP",J61*R61*P61/100*ROUND(N61/60,2),"--")</f>
        <v>--</v>
      </c>
      <c r="X61" s="1259"/>
      <c r="Y61" s="1259"/>
      <c r="Z61" s="1260"/>
      <c r="AA61" s="1260"/>
      <c r="AB61" s="1029">
        <f>IF(D61="","","SI")</f>
      </c>
      <c r="AC61" s="1257">
        <f>IF(D61="","",SUM(S61:W61)*IF(AB61="SI",1,2)*IF(AND(O61&lt;&gt;"--",N61="RF"),O61/100,1))</f>
      </c>
      <c r="AD61" s="1082"/>
    </row>
    <row r="62" spans="1:30" ht="16.5" customHeight="1" thickBot="1" thickTop="1">
      <c r="A62" s="953"/>
      <c r="B62" s="928"/>
      <c r="C62" s="1261"/>
      <c r="D62" s="1262"/>
      <c r="E62" s="1262"/>
      <c r="F62" s="2733"/>
      <c r="G62" s="2734"/>
      <c r="H62" s="1263"/>
      <c r="I62" s="1264"/>
      <c r="J62" s="1265"/>
      <c r="K62" s="1266"/>
      <c r="L62" s="1267"/>
      <c r="M62" s="1268"/>
      <c r="N62" s="1269"/>
      <c r="O62" s="1270"/>
      <c r="P62" s="2718"/>
      <c r="Q62" s="2720"/>
      <c r="R62" s="1271"/>
      <c r="S62" s="1272"/>
      <c r="T62" s="1273"/>
      <c r="U62" s="1274"/>
      <c r="V62" s="1275"/>
      <c r="W62" s="1275"/>
      <c r="X62" s="1276"/>
      <c r="Y62" s="1276"/>
      <c r="Z62" s="1178"/>
      <c r="AA62" s="1178"/>
      <c r="AB62" s="1068"/>
      <c r="AC62" s="1277"/>
      <c r="AD62" s="1082"/>
    </row>
    <row r="63" spans="1:30" ht="16.5" customHeight="1" thickBot="1" thickTop="1">
      <c r="A63" s="953"/>
      <c r="B63" s="928"/>
      <c r="C63" s="1182"/>
      <c r="D63" s="973"/>
      <c r="E63" s="973"/>
      <c r="F63" s="1183"/>
      <c r="G63" s="1184"/>
      <c r="H63" s="1086"/>
      <c r="J63" s="1198"/>
      <c r="K63" s="1199"/>
      <c r="L63" s="1187"/>
      <c r="M63" s="1188"/>
      <c r="N63" s="1189"/>
      <c r="O63" s="1190"/>
      <c r="P63" s="1191"/>
      <c r="Q63" s="1191"/>
      <c r="R63" s="1192"/>
      <c r="S63" s="1193"/>
      <c r="T63" s="1194"/>
      <c r="U63" s="1194"/>
      <c r="V63" s="1195"/>
      <c r="W63" s="1196"/>
      <c r="X63" s="1196"/>
      <c r="Y63" s="1196"/>
      <c r="Z63" s="1196"/>
      <c r="AA63" s="1196"/>
      <c r="AB63" s="1197"/>
      <c r="AC63" s="1094">
        <f>SUM(AC58:AC62)</f>
        <v>191581.6848</v>
      </c>
      <c r="AD63" s="1082"/>
    </row>
    <row r="64" spans="1:30" ht="16.5" customHeight="1" thickBot="1" thickTop="1">
      <c r="A64" s="953"/>
      <c r="B64" s="928"/>
      <c r="C64" s="1182"/>
      <c r="D64" s="973"/>
      <c r="E64" s="973"/>
      <c r="F64" s="1183"/>
      <c r="G64" s="1184"/>
      <c r="H64" s="1086"/>
      <c r="J64" s="1198"/>
      <c r="K64" s="1199"/>
      <c r="L64" s="1187"/>
      <c r="M64" s="1188"/>
      <c r="N64" s="1189"/>
      <c r="O64" s="1190"/>
      <c r="P64" s="1191"/>
      <c r="Q64" s="1191"/>
      <c r="R64" s="1192"/>
      <c r="S64" s="1193"/>
      <c r="T64" s="1194"/>
      <c r="U64" s="1194"/>
      <c r="V64" s="1195"/>
      <c r="W64" s="1196"/>
      <c r="X64" s="1196"/>
      <c r="Y64" s="1196"/>
      <c r="Z64" s="1196"/>
      <c r="AA64" s="1196"/>
      <c r="AB64" s="1197"/>
      <c r="AC64" s="1200"/>
      <c r="AD64" s="1082"/>
    </row>
    <row r="65" spans="1:30" ht="16.5" customHeight="1" thickBot="1" thickTop="1">
      <c r="A65" s="953"/>
      <c r="B65" s="928"/>
      <c r="C65" s="1182"/>
      <c r="D65" s="973"/>
      <c r="E65" s="973"/>
      <c r="F65" s="1183"/>
      <c r="G65" s="1184"/>
      <c r="H65" s="1189"/>
      <c r="I65" s="1198"/>
      <c r="J65" s="971" t="s">
        <v>402</v>
      </c>
      <c r="K65" s="972">
        <f>AC48+AC41+AC55+AC63</f>
        <v>204225.93688590598</v>
      </c>
      <c r="L65" s="1188"/>
      <c r="M65" s="1189"/>
      <c r="N65" s="1278"/>
      <c r="O65" s="1191"/>
      <c r="P65" s="1216"/>
      <c r="Q65" s="1217"/>
      <c r="R65" s="1218"/>
      <c r="S65" s="1218"/>
      <c r="T65" s="1218"/>
      <c r="U65" s="1197"/>
      <c r="V65" s="1197"/>
      <c r="W65" s="1197"/>
      <c r="X65" s="1197"/>
      <c r="Y65" s="1197"/>
      <c r="Z65" s="1197"/>
      <c r="AA65" s="1197"/>
      <c r="AB65" s="1197"/>
      <c r="AC65" s="1279"/>
      <c r="AD65" s="1082"/>
    </row>
    <row r="66" spans="1:30" ht="13.5" customHeight="1" thickTop="1">
      <c r="A66" s="953"/>
      <c r="B66" s="954"/>
      <c r="C66" s="958"/>
      <c r="D66" s="1280"/>
      <c r="E66" s="1281"/>
      <c r="F66" s="1282"/>
      <c r="G66" s="1283"/>
      <c r="H66" s="1283"/>
      <c r="I66" s="1281"/>
      <c r="J66" s="1284"/>
      <c r="K66" s="1284"/>
      <c r="L66" s="1281"/>
      <c r="M66" s="1281"/>
      <c r="N66" s="1281"/>
      <c r="O66" s="1285"/>
      <c r="P66" s="1281"/>
      <c r="Q66" s="1281"/>
      <c r="R66" s="1286"/>
      <c r="S66" s="1287"/>
      <c r="T66" s="1287"/>
      <c r="U66" s="1288"/>
      <c r="AC66" s="1288"/>
      <c r="AD66" s="1289"/>
    </row>
    <row r="67" spans="1:30" ht="16.5" customHeight="1">
      <c r="A67" s="953"/>
      <c r="B67" s="954"/>
      <c r="C67" s="1290" t="s">
        <v>403</v>
      </c>
      <c r="D67" s="1291" t="s">
        <v>422</v>
      </c>
      <c r="E67" s="1281"/>
      <c r="F67" s="1282"/>
      <c r="G67" s="1283"/>
      <c r="H67" s="1283"/>
      <c r="I67" s="1281"/>
      <c r="J67" s="1284"/>
      <c r="K67" s="1284"/>
      <c r="L67" s="1281"/>
      <c r="M67" s="1281"/>
      <c r="N67" s="1281"/>
      <c r="O67" s="1285"/>
      <c r="P67" s="1281"/>
      <c r="Q67" s="1281"/>
      <c r="R67" s="1286"/>
      <c r="S67" s="1287"/>
      <c r="T67" s="1287"/>
      <c r="U67" s="1288"/>
      <c r="AC67" s="1288"/>
      <c r="AD67" s="1289"/>
    </row>
    <row r="68" spans="1:30" ht="16.5" customHeight="1">
      <c r="A68" s="953"/>
      <c r="B68" s="954"/>
      <c r="C68" s="1290"/>
      <c r="D68" s="1280"/>
      <c r="E68" s="1281"/>
      <c r="F68" s="1282"/>
      <c r="G68" s="1283"/>
      <c r="H68" s="1283"/>
      <c r="I68" s="1281"/>
      <c r="J68" s="1284"/>
      <c r="K68" s="1284"/>
      <c r="L68" s="1281"/>
      <c r="M68" s="1281"/>
      <c r="N68" s="1281"/>
      <c r="O68" s="1285"/>
      <c r="P68" s="1281"/>
      <c r="Q68" s="1281"/>
      <c r="R68" s="1281"/>
      <c r="S68" s="1286"/>
      <c r="T68" s="1287"/>
      <c r="AD68" s="1289"/>
    </row>
    <row r="69" spans="2:30" s="953" customFormat="1" ht="16.5" customHeight="1">
      <c r="B69" s="954"/>
      <c r="C69" s="958"/>
      <c r="D69" s="967" t="s">
        <v>5</v>
      </c>
      <c r="E69" s="1085" t="s">
        <v>404</v>
      </c>
      <c r="F69" s="1085" t="s">
        <v>405</v>
      </c>
      <c r="G69" s="1292" t="s">
        <v>423</v>
      </c>
      <c r="H69" s="1086"/>
      <c r="I69" s="1085"/>
      <c r="J69" s="914"/>
      <c r="K69" s="914"/>
      <c r="L69" s="1293" t="s">
        <v>424</v>
      </c>
      <c r="M69" s="914"/>
      <c r="N69" s="914"/>
      <c r="O69" s="914"/>
      <c r="P69" s="914"/>
      <c r="Q69" s="1294"/>
      <c r="R69" s="1294"/>
      <c r="S69" s="955"/>
      <c r="T69" s="914"/>
      <c r="U69" s="914"/>
      <c r="V69" s="914"/>
      <c r="W69" s="914"/>
      <c r="X69" s="955"/>
      <c r="Y69" s="955"/>
      <c r="Z69" s="955"/>
      <c r="AA69" s="955"/>
      <c r="AB69" s="955"/>
      <c r="AC69" s="1295" t="s">
        <v>425</v>
      </c>
      <c r="AD69" s="1289"/>
    </row>
    <row r="70" spans="2:30" s="953" customFormat="1" ht="16.5" customHeight="1">
      <c r="B70" s="954"/>
      <c r="C70" s="958"/>
      <c r="D70" s="1085" t="s">
        <v>435</v>
      </c>
      <c r="E70" s="1296">
        <v>285</v>
      </c>
      <c r="F70" s="1296">
        <v>500</v>
      </c>
      <c r="G70" s="1297">
        <f>E70*$F$22*$N$23/100</f>
        <v>500959.3427999999</v>
      </c>
      <c r="H70" s="1297"/>
      <c r="I70" s="1297"/>
      <c r="J70" s="943"/>
      <c r="K70" s="914"/>
      <c r="L70" s="1298">
        <v>622141</v>
      </c>
      <c r="M70" s="943"/>
      <c r="N70" s="1299" t="str">
        <f>"(DTE "&amp;DATO!$G$14&amp;DATO!$H$14&amp;")"</f>
        <v>(DTE 0312)</v>
      </c>
      <c r="O70" s="914"/>
      <c r="P70" s="914"/>
      <c r="Q70" s="1294"/>
      <c r="R70" s="1294"/>
      <c r="S70" s="955"/>
      <c r="T70" s="914"/>
      <c r="U70" s="914"/>
      <c r="V70" s="914"/>
      <c r="W70" s="914"/>
      <c r="X70" s="955"/>
      <c r="Y70" s="955"/>
      <c r="Z70" s="955"/>
      <c r="AA70" s="955"/>
      <c r="AB70" s="1300"/>
      <c r="AC70" s="1301">
        <f>L70+G70</f>
        <v>1123100.3428</v>
      </c>
      <c r="AD70" s="1289"/>
    </row>
    <row r="71" spans="2:30" s="953" customFormat="1" ht="16.5" customHeight="1">
      <c r="B71" s="954"/>
      <c r="C71" s="958"/>
      <c r="D71" s="1302"/>
      <c r="E71" s="1296"/>
      <c r="F71" s="1296"/>
      <c r="G71" s="1297"/>
      <c r="H71" s="1302"/>
      <c r="I71" s="1303"/>
      <c r="J71" s="943"/>
      <c r="K71" s="914"/>
      <c r="L71" s="1297"/>
      <c r="M71" s="943"/>
      <c r="N71" s="1299"/>
      <c r="O71" s="1304"/>
      <c r="P71" s="914"/>
      <c r="Q71" s="1294"/>
      <c r="R71" s="1294"/>
      <c r="S71" s="955"/>
      <c r="T71" s="914"/>
      <c r="U71" s="914"/>
      <c r="V71" s="914"/>
      <c r="W71" s="914"/>
      <c r="X71" s="955"/>
      <c r="Y71" s="955"/>
      <c r="Z71" s="955"/>
      <c r="AA71" s="955"/>
      <c r="AB71" s="955"/>
      <c r="AC71" s="1301"/>
      <c r="AD71" s="1289"/>
    </row>
    <row r="72" spans="1:30" ht="16.5" customHeight="1">
      <c r="A72" s="953"/>
      <c r="B72" s="954"/>
      <c r="C72" s="958"/>
      <c r="D72" s="967"/>
      <c r="E72" s="1085"/>
      <c r="F72" s="1085"/>
      <c r="G72" s="1292"/>
      <c r="I72" s="1305"/>
      <c r="J72" s="1085"/>
      <c r="L72" s="1293"/>
      <c r="M72" s="1305"/>
      <c r="N72" s="1306"/>
      <c r="O72" s="1294"/>
      <c r="P72" s="1294"/>
      <c r="Q72" s="1294"/>
      <c r="R72" s="1294"/>
      <c r="S72" s="1294"/>
      <c r="AC72" s="1301"/>
      <c r="AD72" s="1289"/>
    </row>
    <row r="73" spans="1:30" ht="16.5" customHeight="1">
      <c r="A73" s="953"/>
      <c r="B73" s="954"/>
      <c r="C73" s="958"/>
      <c r="D73" s="1085"/>
      <c r="E73" s="1296"/>
      <c r="F73" s="1296"/>
      <c r="G73" s="1297"/>
      <c r="H73" s="943"/>
      <c r="I73" s="943"/>
      <c r="J73" s="1298"/>
      <c r="L73" s="1297"/>
      <c r="M73" s="943"/>
      <c r="N73" s="1299"/>
      <c r="O73" s="1307"/>
      <c r="P73" s="1307"/>
      <c r="Q73" s="1307"/>
      <c r="R73" s="1307"/>
      <c r="S73" s="1307"/>
      <c r="AC73" s="1308"/>
      <c r="AD73" s="1289"/>
    </row>
    <row r="74" spans="1:30" ht="16.5" customHeight="1">
      <c r="A74" s="953"/>
      <c r="B74" s="954"/>
      <c r="C74" s="958"/>
      <c r="D74" s="1085"/>
      <c r="E74" s="1296"/>
      <c r="F74" s="1296"/>
      <c r="G74" s="1297"/>
      <c r="H74" s="943"/>
      <c r="I74" s="943"/>
      <c r="J74" s="1298"/>
      <c r="L74" s="1298"/>
      <c r="M74" s="943"/>
      <c r="N74" s="1299"/>
      <c r="O74" s="1307"/>
      <c r="P74" s="1307"/>
      <c r="Q74" s="1307"/>
      <c r="R74" s="1307"/>
      <c r="S74" s="1307"/>
      <c r="AC74" s="1308"/>
      <c r="AD74" s="1289"/>
    </row>
    <row r="75" spans="1:30" ht="6" customHeight="1" thickBot="1">
      <c r="A75" s="953"/>
      <c r="B75" s="954"/>
      <c r="C75" s="958"/>
      <c r="D75" s="1085"/>
      <c r="E75" s="1296"/>
      <c r="F75" s="1296"/>
      <c r="G75" s="1296"/>
      <c r="H75" s="943"/>
      <c r="I75" s="943"/>
      <c r="J75" s="1297"/>
      <c r="L75" s="1298"/>
      <c r="M75" s="943"/>
      <c r="N75" s="1299"/>
      <c r="O75" s="1307"/>
      <c r="P75" s="1307"/>
      <c r="Q75" s="1307"/>
      <c r="R75" s="1307"/>
      <c r="S75" s="1307"/>
      <c r="AC75" s="1308"/>
      <c r="AD75" s="1289"/>
    </row>
    <row r="76" spans="1:30" ht="18" customHeight="1" thickBot="1" thickTop="1">
      <c r="A76" s="953"/>
      <c r="B76" s="954"/>
      <c r="C76" s="958"/>
      <c r="D76" s="1284"/>
      <c r="E76" s="963"/>
      <c r="F76" s="1085"/>
      <c r="G76" s="1085"/>
      <c r="H76" s="1086"/>
      <c r="J76" s="1085"/>
      <c r="L76" s="1310"/>
      <c r="M76" s="1306"/>
      <c r="N76" s="1306"/>
      <c r="O76" s="1294"/>
      <c r="P76" s="1294"/>
      <c r="Q76" s="1294"/>
      <c r="R76" s="1294"/>
      <c r="S76" s="1294"/>
      <c r="AB76" s="1311" t="s">
        <v>413</v>
      </c>
      <c r="AC76" s="1312">
        <f>SUM(AC70:AC74)</f>
        <v>1123100.3428</v>
      </c>
      <c r="AD76" s="1289"/>
    </row>
    <row r="77" spans="2:30" ht="16.5" customHeight="1" thickBot="1" thickTop="1">
      <c r="B77" s="954"/>
      <c r="E77" s="1085"/>
      <c r="F77" s="1313"/>
      <c r="G77" s="1084"/>
      <c r="H77" s="1284"/>
      <c r="I77" s="1284"/>
      <c r="J77" s="1284"/>
      <c r="K77" s="1085"/>
      <c r="L77" s="1085"/>
      <c r="M77" s="1284"/>
      <c r="N77" s="1085"/>
      <c r="O77" s="1284"/>
      <c r="P77" s="1284"/>
      <c r="Q77" s="1284"/>
      <c r="R77" s="1284"/>
      <c r="S77" s="1284"/>
      <c r="T77" s="1284"/>
      <c r="U77" s="1284"/>
      <c r="AC77" s="1284"/>
      <c r="AD77" s="1289"/>
    </row>
    <row r="78" spans="2:30" ht="16.5" customHeight="1" thickBot="1" thickTop="1">
      <c r="B78" s="954"/>
      <c r="C78" s="1290"/>
      <c r="D78" s="1314"/>
      <c r="E78" s="1085"/>
      <c r="F78" s="1313"/>
      <c r="G78" s="1084"/>
      <c r="H78" s="1284"/>
      <c r="I78" s="1284"/>
      <c r="J78" s="1284"/>
      <c r="K78" s="1085"/>
      <c r="L78" s="1085"/>
      <c r="M78" s="1284"/>
      <c r="N78" s="1085"/>
      <c r="O78" s="1284"/>
      <c r="P78" s="1284"/>
      <c r="Q78" s="1284"/>
      <c r="R78" s="1284"/>
      <c r="S78" s="1284"/>
      <c r="T78" s="1284"/>
      <c r="U78" s="1284"/>
      <c r="AB78" s="1311" t="s">
        <v>414</v>
      </c>
      <c r="AC78" s="1312">
        <v>822324.35338288</v>
      </c>
      <c r="AD78" s="1289"/>
    </row>
    <row r="79" spans="2:30" ht="16.5" customHeight="1" thickTop="1">
      <c r="B79" s="954"/>
      <c r="C79" s="1290" t="s">
        <v>415</v>
      </c>
      <c r="D79" s="1314" t="s">
        <v>416</v>
      </c>
      <c r="E79" s="1085"/>
      <c r="F79" s="1313"/>
      <c r="G79" s="1084"/>
      <c r="H79" s="1284"/>
      <c r="I79" s="1284"/>
      <c r="J79" s="1284"/>
      <c r="K79" s="1085"/>
      <c r="L79" s="1085"/>
      <c r="M79" s="1284"/>
      <c r="N79" s="1085"/>
      <c r="O79" s="1284"/>
      <c r="P79" s="1284"/>
      <c r="Q79" s="1284"/>
      <c r="R79" s="1284"/>
      <c r="S79" s="1284"/>
      <c r="T79" s="1284"/>
      <c r="U79" s="1284"/>
      <c r="AC79" s="1284"/>
      <c r="AD79" s="1289"/>
    </row>
    <row r="80" spans="2:30" s="953" customFormat="1" ht="16.5" customHeight="1">
      <c r="B80" s="954"/>
      <c r="C80" s="958"/>
      <c r="D80" s="967" t="s">
        <v>417</v>
      </c>
      <c r="E80" s="1315">
        <f>10*K65*K29/AC76</f>
        <v>59812.985569935656</v>
      </c>
      <c r="G80" s="1084"/>
      <c r="L80" s="1085"/>
      <c r="N80" s="1085"/>
      <c r="O80" s="1086"/>
      <c r="V80" s="914"/>
      <c r="W80" s="914"/>
      <c r="AD80" s="1289"/>
    </row>
    <row r="81" spans="2:30" s="953" customFormat="1" ht="16.5" customHeight="1">
      <c r="B81" s="954"/>
      <c r="C81" s="958"/>
      <c r="E81" s="1316"/>
      <c r="F81" s="968"/>
      <c r="G81" s="1084"/>
      <c r="J81" s="1084"/>
      <c r="K81" s="1099"/>
      <c r="L81" s="1085"/>
      <c r="M81" s="1085"/>
      <c r="N81" s="1085"/>
      <c r="O81" s="1086"/>
      <c r="P81" s="1085"/>
      <c r="Q81" s="1085"/>
      <c r="R81" s="1098"/>
      <c r="S81" s="1098"/>
      <c r="T81" s="1098"/>
      <c r="U81" s="1317"/>
      <c r="V81" s="914"/>
      <c r="W81" s="914"/>
      <c r="AD81" s="1289"/>
    </row>
    <row r="82" spans="2:30" ht="16.5" customHeight="1">
      <c r="B82" s="954"/>
      <c r="C82" s="958"/>
      <c r="D82" s="1318" t="s">
        <v>418</v>
      </c>
      <c r="E82" s="1319"/>
      <c r="F82" s="968"/>
      <c r="G82" s="1084"/>
      <c r="H82" s="1284"/>
      <c r="I82" s="1284"/>
      <c r="O82" s="1086"/>
      <c r="P82" s="1320" t="s">
        <v>428</v>
      </c>
      <c r="R82" s="1305"/>
      <c r="S82" s="1305"/>
      <c r="T82" s="1305"/>
      <c r="U82" s="1306"/>
      <c r="AC82" s="1306"/>
      <c r="AD82" s="1289"/>
    </row>
    <row r="83" spans="2:30" ht="16.5" customHeight="1" thickBot="1">
      <c r="B83" s="954"/>
      <c r="C83" s="958"/>
      <c r="D83" s="1318"/>
      <c r="E83" s="1319"/>
      <c r="F83" s="968"/>
      <c r="G83" s="1084"/>
      <c r="H83" s="1284"/>
      <c r="I83" s="1284"/>
      <c r="N83" s="1085"/>
      <c r="O83" s="1086"/>
      <c r="Q83" s="1085"/>
      <c r="R83" s="1305"/>
      <c r="S83" s="1305"/>
      <c r="T83" s="1305"/>
      <c r="U83" s="1306"/>
      <c r="AC83" s="1306"/>
      <c r="AD83" s="1289"/>
    </row>
    <row r="84" spans="2:30" s="1327" customFormat="1" ht="24" thickBot="1" thickTop="1">
      <c r="B84" s="1321"/>
      <c r="C84" s="1322"/>
      <c r="D84" s="1323"/>
      <c r="E84" s="1324"/>
      <c r="F84" s="1325"/>
      <c r="G84" s="1326"/>
      <c r="I84" s="914"/>
      <c r="J84" s="1328" t="s">
        <v>419</v>
      </c>
      <c r="K84" s="1329">
        <f>IF(E80&gt;3*K29,K29*3,E80)</f>
        <v>59812.985569935656</v>
      </c>
      <c r="L84" s="1330"/>
      <c r="M84" s="2732"/>
      <c r="N84" s="2732"/>
      <c r="O84" s="2732"/>
      <c r="P84" s="1331"/>
      <c r="Q84" s="1331"/>
      <c r="R84" s="1332"/>
      <c r="S84" s="1332"/>
      <c r="T84" s="1332"/>
      <c r="U84" s="1333"/>
      <c r="V84" s="914"/>
      <c r="W84" s="914"/>
      <c r="AC84" s="1333"/>
      <c r="AD84" s="1334"/>
    </row>
    <row r="85" spans="2:30" ht="16.5" customHeight="1" thickBot="1" thickTop="1">
      <c r="B85" s="1335"/>
      <c r="C85" s="1336"/>
      <c r="D85" s="1336"/>
      <c r="E85" s="1336"/>
      <c r="F85" s="1336"/>
      <c r="G85" s="1336"/>
      <c r="H85" s="1336"/>
      <c r="I85" s="1336"/>
      <c r="J85" s="1336"/>
      <c r="K85" s="1336"/>
      <c r="L85" s="1336"/>
      <c r="M85" s="1336"/>
      <c r="N85" s="1336"/>
      <c r="O85" s="1336"/>
      <c r="P85" s="1336"/>
      <c r="Q85" s="1336"/>
      <c r="R85" s="1336"/>
      <c r="S85" s="1336"/>
      <c r="T85" s="1336"/>
      <c r="U85" s="1336"/>
      <c r="V85" s="1337"/>
      <c r="W85" s="1337"/>
      <c r="X85" s="1337"/>
      <c r="Y85" s="1337"/>
      <c r="Z85" s="1337"/>
      <c r="AA85" s="1337"/>
      <c r="AB85" s="1337"/>
      <c r="AC85" s="1336"/>
      <c r="AD85" s="1338"/>
    </row>
    <row r="86" spans="2:23" ht="16.5" customHeight="1" thickTop="1">
      <c r="B86" s="950"/>
      <c r="C86" s="1339"/>
      <c r="W86" s="950"/>
    </row>
  </sheetData>
  <sheetProtection password="CC12"/>
  <mergeCells count="24">
    <mergeCell ref="F54:G54"/>
    <mergeCell ref="O54:Q54"/>
    <mergeCell ref="F52:G52"/>
    <mergeCell ref="O52:Q52"/>
    <mergeCell ref="F53:G53"/>
    <mergeCell ref="O53:Q53"/>
    <mergeCell ref="F59:G59"/>
    <mergeCell ref="F61:G61"/>
    <mergeCell ref="P57:Q57"/>
    <mergeCell ref="P58:Q58"/>
    <mergeCell ref="P59:Q59"/>
    <mergeCell ref="P61:Q61"/>
    <mergeCell ref="F60:G60"/>
    <mergeCell ref="P60:Q60"/>
    <mergeCell ref="K24:M24"/>
    <mergeCell ref="F57:G57"/>
    <mergeCell ref="F58:G58"/>
    <mergeCell ref="M84:O84"/>
    <mergeCell ref="F62:G62"/>
    <mergeCell ref="F50:G50"/>
    <mergeCell ref="O50:Q50"/>
    <mergeCell ref="F51:G51"/>
    <mergeCell ref="O51:Q51"/>
    <mergeCell ref="P62:Q62"/>
  </mergeCells>
  <printOptions horizontalCentered="1"/>
  <pageMargins left="0.24" right="0.4" top="0.33" bottom="0.49" header="0.22" footer="0.34"/>
  <pageSetup fitToHeight="1" fitToWidth="1" orientation="landscape" paperSize="9" scale="35" r:id="rId2"/>
  <headerFooter alignWithMargins="0">
    <oddFooter>&amp;L&amp;"Times New Roman,Normal"&amp;8&amp;F-&amp;A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AG67"/>
  <sheetViews>
    <sheetView zoomScale="50" zoomScaleNormal="50" zoomScalePageLayoutView="0" workbookViewId="0" topLeftCell="A1">
      <selection activeCell="N47" sqref="N47"/>
    </sheetView>
  </sheetViews>
  <sheetFormatPr defaultColWidth="11.421875" defaultRowHeight="12.75"/>
  <cols>
    <col min="1" max="1" width="29.57421875" style="9" customWidth="1"/>
    <col min="2" max="2" width="15.00390625" style="9" customWidth="1"/>
    <col min="3" max="3" width="4.7109375" style="9" customWidth="1"/>
    <col min="4" max="4" width="41.8515625" style="9" customWidth="1"/>
    <col min="5" max="5" width="13.8515625" style="9" customWidth="1"/>
    <col min="6" max="6" width="15.00390625" style="9" customWidth="1"/>
    <col min="7" max="7" width="14.7109375" style="9" customWidth="1"/>
    <col min="8" max="8" width="10.421875" style="9" hidden="1" customWidth="1"/>
    <col min="9" max="9" width="12.42187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5.8515625" style="9" bestFit="1" customWidth="1"/>
    <col min="18" max="18" width="12.7109375" style="9" hidden="1" customWidth="1"/>
    <col min="19" max="19" width="12.140625" style="9" hidden="1" customWidth="1"/>
    <col min="20" max="20" width="13.00390625" style="9" hidden="1" customWidth="1"/>
    <col min="21" max="21" width="15.00390625" style="9" hidden="1" customWidth="1"/>
    <col min="22" max="22" width="12.140625" style="9" hidden="1" customWidth="1"/>
    <col min="23" max="27" width="8.421875" style="9" hidden="1" customWidth="1"/>
    <col min="28" max="28" width="9.7109375" style="9" customWidth="1"/>
    <col min="29" max="29" width="22.140625" style="9" customWidth="1"/>
    <col min="30" max="30" width="14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2005" customFormat="1" ht="30.75">
      <c r="A3" s="2002"/>
      <c r="B3" s="2003" t="str">
        <f>'TOT-0312'!B2</f>
        <v>ANEXO IV al Memorándum D.T.E.E.  N° 783/ 2013</v>
      </c>
      <c r="C3" s="2004"/>
      <c r="D3" s="2004"/>
      <c r="E3" s="2004"/>
      <c r="F3" s="2004"/>
      <c r="G3" s="2004"/>
      <c r="H3" s="2004"/>
      <c r="I3" s="2004"/>
      <c r="J3" s="2004"/>
      <c r="K3" s="2004"/>
      <c r="L3" s="2004"/>
      <c r="M3" s="2004"/>
      <c r="N3" s="2004"/>
      <c r="O3" s="2004"/>
      <c r="P3" s="2004"/>
      <c r="Q3" s="2004"/>
      <c r="R3" s="2004"/>
      <c r="S3" s="2004"/>
      <c r="T3" s="2004"/>
      <c r="U3" s="2004"/>
      <c r="V3" s="2004"/>
      <c r="W3" s="2004"/>
      <c r="AB3" s="2004"/>
      <c r="AC3" s="2004"/>
      <c r="AD3" s="2004"/>
    </row>
    <row r="4" spans="1:2" s="14" customFormat="1" ht="11.25">
      <c r="A4" s="2006" t="s">
        <v>2</v>
      </c>
      <c r="B4" s="2007"/>
    </row>
    <row r="5" spans="1:2" s="14" customFormat="1" ht="12" thickBot="1">
      <c r="A5" s="2006" t="s">
        <v>3</v>
      </c>
      <c r="B5" s="2006"/>
    </row>
    <row r="6" spans="1:30" ht="16.5" customHeight="1" thickTop="1">
      <c r="A6" s="8"/>
      <c r="B6" s="92"/>
      <c r="C6" s="93"/>
      <c r="D6" s="93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2008"/>
      <c r="X6" s="2008"/>
      <c r="Y6" s="2008"/>
      <c r="Z6" s="2008"/>
      <c r="AA6" s="2008"/>
      <c r="AB6" s="2008"/>
      <c r="AC6" s="2008"/>
      <c r="AD6" s="95"/>
    </row>
    <row r="7" spans="1:30" ht="20.25">
      <c r="A7" s="8"/>
      <c r="B7" s="55"/>
      <c r="C7" s="11"/>
      <c r="D7" s="97" t="s">
        <v>377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009"/>
      <c r="Q7" s="2009"/>
      <c r="R7" s="11"/>
      <c r="S7" s="11"/>
      <c r="T7" s="11"/>
      <c r="U7" s="11"/>
      <c r="V7" s="11"/>
      <c r="AD7" s="100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100"/>
    </row>
    <row r="9" spans="2:30" s="34" customFormat="1" ht="20.25">
      <c r="B9" s="43"/>
      <c r="C9" s="42"/>
      <c r="D9" s="97" t="s">
        <v>378</v>
      </c>
      <c r="E9" s="42"/>
      <c r="F9" s="42"/>
      <c r="G9" s="42"/>
      <c r="H9" s="42"/>
      <c r="N9" s="42"/>
      <c r="O9" s="42"/>
      <c r="P9" s="2010"/>
      <c r="Q9" s="2010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2011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100"/>
    </row>
    <row r="11" spans="2:30" s="34" customFormat="1" ht="20.25">
      <c r="B11" s="43"/>
      <c r="C11" s="42"/>
      <c r="D11" s="97" t="s">
        <v>488</v>
      </c>
      <c r="E11" s="42"/>
      <c r="F11" s="42"/>
      <c r="G11" s="42"/>
      <c r="H11" s="42"/>
      <c r="N11" s="42"/>
      <c r="O11" s="42"/>
      <c r="P11" s="2010"/>
      <c r="Q11" s="2010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2011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AD12" s="100"/>
    </row>
    <row r="13" spans="2:30" s="34" customFormat="1" ht="19.5">
      <c r="B13" s="35" t="str">
        <f>'TOT-0312'!B14</f>
        <v>Desde el 01 al 31 de Marzo de 2012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2012"/>
      <c r="V13" s="2012"/>
      <c r="W13" s="9"/>
      <c r="X13" s="2013"/>
      <c r="Y13" s="2013"/>
      <c r="Z13" s="2013"/>
      <c r="AA13" s="2013"/>
      <c r="AB13" s="2012"/>
      <c r="AC13" s="25"/>
      <c r="AD13" s="41"/>
    </row>
    <row r="14" spans="1:30" ht="16.5" customHeight="1">
      <c r="A14" s="8"/>
      <c r="B14" s="55"/>
      <c r="C14" s="11"/>
      <c r="D14" s="11"/>
      <c r="E14" s="86"/>
      <c r="F14" s="86"/>
      <c r="G14" s="11"/>
      <c r="H14" s="11"/>
      <c r="I14" s="11"/>
      <c r="J14" s="2014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100"/>
    </row>
    <row r="15" spans="1:30" ht="16.5" customHeight="1">
      <c r="A15" s="8"/>
      <c r="B15" s="55"/>
      <c r="C15" s="11"/>
      <c r="D15" s="11"/>
      <c r="E15" s="86"/>
      <c r="F15" s="86"/>
      <c r="G15" s="11"/>
      <c r="H15" s="11"/>
      <c r="I15" s="2015"/>
      <c r="J15" s="11"/>
      <c r="K15" s="244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100"/>
    </row>
    <row r="16" spans="1:30" ht="16.5" customHeight="1">
      <c r="A16" s="8"/>
      <c r="B16" s="55"/>
      <c r="C16" s="11"/>
      <c r="D16" s="11"/>
      <c r="E16" s="86"/>
      <c r="F16" s="86"/>
      <c r="G16" s="11"/>
      <c r="H16" s="11"/>
      <c r="I16" s="2015"/>
      <c r="J16" s="11"/>
      <c r="K16" s="244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100"/>
    </row>
    <row r="17" spans="1:30" ht="16.5" customHeight="1">
      <c r="A17" s="8"/>
      <c r="B17" s="55"/>
      <c r="C17" s="73" t="s">
        <v>379</v>
      </c>
      <c r="D17" s="4" t="s">
        <v>380</v>
      </c>
      <c r="E17" s="86"/>
      <c r="F17" s="86"/>
      <c r="G17" s="11"/>
      <c r="H17" s="11"/>
      <c r="I17" s="11"/>
      <c r="J17" s="2014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100"/>
    </row>
    <row r="18" spans="2:30" s="27" customFormat="1" ht="16.5" customHeight="1">
      <c r="B18" s="2016"/>
      <c r="C18" s="29"/>
      <c r="D18" s="2017"/>
      <c r="E18" s="2018"/>
      <c r="F18" s="2019"/>
      <c r="G18" s="29"/>
      <c r="H18" s="29"/>
      <c r="I18" s="29"/>
      <c r="J18" s="2020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2021"/>
    </row>
    <row r="19" spans="2:30" s="27" customFormat="1" ht="16.5" customHeight="1">
      <c r="B19" s="2016"/>
      <c r="C19" s="29"/>
      <c r="D19" s="2022" t="s">
        <v>381</v>
      </c>
      <c r="F19" s="2023">
        <v>236.257</v>
      </c>
      <c r="G19" s="2022" t="s">
        <v>382</v>
      </c>
      <c r="H19" s="29"/>
      <c r="I19" s="29"/>
      <c r="J19" s="2024"/>
      <c r="K19" s="2025" t="s">
        <v>383</v>
      </c>
      <c r="L19" s="2026">
        <v>0.04</v>
      </c>
      <c r="R19" s="29"/>
      <c r="S19" s="29"/>
      <c r="T19" s="29"/>
      <c r="U19" s="29"/>
      <c r="V19" s="29"/>
      <c r="W19" s="9"/>
      <c r="AD19" s="2021"/>
    </row>
    <row r="20" spans="2:30" s="27" customFormat="1" ht="16.5" customHeight="1">
      <c r="B20" s="2016"/>
      <c r="C20" s="29"/>
      <c r="D20" s="2022" t="s">
        <v>384</v>
      </c>
      <c r="F20" s="2023">
        <v>0.649</v>
      </c>
      <c r="G20" s="2022" t="s">
        <v>385</v>
      </c>
      <c r="H20" s="29"/>
      <c r="I20" s="29"/>
      <c r="J20" s="29"/>
      <c r="K20" s="2017" t="s">
        <v>386</v>
      </c>
      <c r="L20" s="29">
        <f>MID(B13,16,2)*24</f>
        <v>744</v>
      </c>
      <c r="M20" s="29" t="s">
        <v>437</v>
      </c>
      <c r="N20" s="29"/>
      <c r="O20" s="29"/>
      <c r="P20" s="2027"/>
      <c r="Q20" s="29"/>
      <c r="R20" s="29"/>
      <c r="S20" s="29"/>
      <c r="T20" s="29"/>
      <c r="U20" s="29"/>
      <c r="V20" s="29"/>
      <c r="W20" s="9"/>
      <c r="AD20" s="2021"/>
    </row>
    <row r="21" spans="2:30" s="27" customFormat="1" ht="16.5" customHeight="1">
      <c r="B21" s="2016"/>
      <c r="C21" s="29"/>
      <c r="D21" s="2022"/>
      <c r="F21" s="2023"/>
      <c r="G21" s="2022"/>
      <c r="H21" s="29"/>
      <c r="I21" s="29"/>
      <c r="J21" s="29"/>
      <c r="K21" s="108"/>
      <c r="L21" s="109"/>
      <c r="M21" s="29"/>
      <c r="N21" s="29"/>
      <c r="O21" s="29"/>
      <c r="P21" s="2027"/>
      <c r="Q21" s="29"/>
      <c r="R21" s="29"/>
      <c r="S21" s="29"/>
      <c r="T21" s="29"/>
      <c r="U21" s="29"/>
      <c r="V21" s="29"/>
      <c r="W21" s="9"/>
      <c r="AD21" s="2021"/>
    </row>
    <row r="22" spans="2:30" s="27" customFormat="1" ht="16.5" customHeight="1">
      <c r="B22" s="2016"/>
      <c r="C22" s="29"/>
      <c r="D22" s="2022"/>
      <c r="F22" s="2023"/>
      <c r="G22" s="2022"/>
      <c r="H22" s="29"/>
      <c r="I22" s="29"/>
      <c r="J22" s="29"/>
      <c r="K22" s="108"/>
      <c r="L22" s="109"/>
      <c r="M22" s="29"/>
      <c r="N22" s="29"/>
      <c r="O22" s="29"/>
      <c r="P22" s="2027"/>
      <c r="Q22" s="29"/>
      <c r="R22" s="29"/>
      <c r="S22" s="29"/>
      <c r="T22" s="29"/>
      <c r="U22" s="29"/>
      <c r="V22" s="29"/>
      <c r="W22" s="9"/>
      <c r="AD22" s="2021"/>
    </row>
    <row r="23" spans="2:30" s="27" customFormat="1" ht="8.25" customHeight="1">
      <c r="B23" s="2016"/>
      <c r="C23" s="29"/>
      <c r="D23" s="29"/>
      <c r="E23" s="20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9"/>
      <c r="AD23" s="2021"/>
    </row>
    <row r="24" spans="1:30" ht="16.5" customHeight="1">
      <c r="A24" s="8"/>
      <c r="B24" s="55"/>
      <c r="C24" s="73" t="s">
        <v>389</v>
      </c>
      <c r="D24" s="28" t="s">
        <v>420</v>
      </c>
      <c r="I24" s="11"/>
      <c r="J24" s="27"/>
      <c r="O24" s="11"/>
      <c r="P24" s="11"/>
      <c r="Q24" s="11"/>
      <c r="R24" s="11"/>
      <c r="S24" s="11"/>
      <c r="T24" s="11"/>
      <c r="V24" s="11"/>
      <c r="X24" s="11"/>
      <c r="Y24" s="11"/>
      <c r="Z24" s="11"/>
      <c r="AA24" s="11"/>
      <c r="AB24" s="11"/>
      <c r="AC24" s="11"/>
      <c r="AD24" s="100"/>
    </row>
    <row r="25" spans="1:30" ht="10.5" customHeight="1" thickBot="1">
      <c r="A25" s="8"/>
      <c r="B25" s="55"/>
      <c r="C25" s="86"/>
      <c r="D25" s="28"/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100"/>
    </row>
    <row r="26" spans="2:30" s="27" customFormat="1" ht="16.5" customHeight="1" thickBot="1" thickTop="1">
      <c r="B26" s="2016"/>
      <c r="C26" s="2019"/>
      <c r="D26" s="9"/>
      <c r="E26" s="9"/>
      <c r="F26" s="9"/>
      <c r="G26" s="9"/>
      <c r="H26" s="9"/>
      <c r="I26" s="9"/>
      <c r="J26" s="2029" t="s">
        <v>390</v>
      </c>
      <c r="K26" s="2030">
        <f>L19*AC60</f>
        <v>25462.0588313152</v>
      </c>
      <c r="L26" s="9"/>
      <c r="S26" s="9"/>
      <c r="T26" s="9"/>
      <c r="U26" s="9"/>
      <c r="W26" s="9"/>
      <c r="AD26" s="2021"/>
    </row>
    <row r="27" spans="2:30" s="27" customFormat="1" ht="11.25" customHeight="1" thickTop="1">
      <c r="B27" s="2016"/>
      <c r="C27" s="2019"/>
      <c r="D27" s="29"/>
      <c r="E27" s="20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9"/>
      <c r="W27" s="9"/>
      <c r="AD27" s="2021"/>
    </row>
    <row r="28" spans="1:30" ht="16.5" customHeight="1">
      <c r="A28" s="8"/>
      <c r="B28" s="55"/>
      <c r="C28" s="73" t="s">
        <v>391</v>
      </c>
      <c r="D28" s="28" t="s">
        <v>421</v>
      </c>
      <c r="E28" s="22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D28" s="100"/>
    </row>
    <row r="29" spans="1:30" ht="21.75" customHeight="1" thickBot="1">
      <c r="A29" s="8"/>
      <c r="B29" s="55"/>
      <c r="C29" s="11"/>
      <c r="D29" s="11"/>
      <c r="E29" s="22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100"/>
    </row>
    <row r="30" spans="2:31" s="8" customFormat="1" ht="33.75" customHeight="1" thickBot="1" thickTop="1">
      <c r="B30" s="55"/>
      <c r="C30" s="112" t="s">
        <v>32</v>
      </c>
      <c r="D30" s="975" t="s">
        <v>5</v>
      </c>
      <c r="E30" s="2031" t="s">
        <v>35</v>
      </c>
      <c r="F30" s="2032" t="s">
        <v>36</v>
      </c>
      <c r="G30" s="116" t="s">
        <v>37</v>
      </c>
      <c r="H30" s="2033" t="s">
        <v>38</v>
      </c>
      <c r="I30" s="420" t="s">
        <v>39</v>
      </c>
      <c r="J30" s="113" t="s">
        <v>40</v>
      </c>
      <c r="K30" s="119" t="s">
        <v>41</v>
      </c>
      <c r="L30" s="120" t="s">
        <v>42</v>
      </c>
      <c r="M30" s="115" t="s">
        <v>43</v>
      </c>
      <c r="N30" s="120" t="s">
        <v>392</v>
      </c>
      <c r="O30" s="120" t="s">
        <v>44</v>
      </c>
      <c r="P30" s="119" t="s">
        <v>45</v>
      </c>
      <c r="Q30" s="113" t="s">
        <v>46</v>
      </c>
      <c r="R30" s="2034" t="s">
        <v>47</v>
      </c>
      <c r="S30" s="2035" t="s">
        <v>48</v>
      </c>
      <c r="T30" s="2036" t="s">
        <v>393</v>
      </c>
      <c r="U30" s="2037"/>
      <c r="V30" s="2038"/>
      <c r="W30" s="2039" t="s">
        <v>394</v>
      </c>
      <c r="X30" s="2040"/>
      <c r="Y30" s="2041"/>
      <c r="Z30" s="2042" t="s">
        <v>51</v>
      </c>
      <c r="AA30" s="2043" t="s">
        <v>395</v>
      </c>
      <c r="AB30" s="2044" t="s">
        <v>53</v>
      </c>
      <c r="AC30" s="300" t="s">
        <v>54</v>
      </c>
      <c r="AD30" s="132"/>
      <c r="AE30" s="9"/>
    </row>
    <row r="31" spans="1:30" ht="16.5" customHeight="1" thickTop="1">
      <c r="A31" s="8"/>
      <c r="B31" s="55"/>
      <c r="C31" s="153"/>
      <c r="D31" s="2045"/>
      <c r="E31" s="2046"/>
      <c r="F31" s="2047"/>
      <c r="G31" s="2048"/>
      <c r="H31" s="2049"/>
      <c r="I31" s="2050"/>
      <c r="J31" s="2051"/>
      <c r="K31" s="2052"/>
      <c r="L31" s="153"/>
      <c r="M31" s="153"/>
      <c r="N31" s="2053"/>
      <c r="O31" s="2053"/>
      <c r="P31" s="153"/>
      <c r="Q31" s="2054"/>
      <c r="R31" s="2055"/>
      <c r="S31" s="2056"/>
      <c r="T31" s="2057"/>
      <c r="U31" s="2058"/>
      <c r="V31" s="2059"/>
      <c r="W31" s="2060"/>
      <c r="X31" s="2061"/>
      <c r="Y31" s="2062"/>
      <c r="Z31" s="2063"/>
      <c r="AA31" s="2064"/>
      <c r="AB31" s="2065"/>
      <c r="AC31" s="2066"/>
      <c r="AD31" s="100"/>
    </row>
    <row r="32" spans="1:30" ht="16.5" customHeight="1">
      <c r="A32" s="8"/>
      <c r="B32" s="55"/>
      <c r="C32" s="1021" t="s">
        <v>396</v>
      </c>
      <c r="D32" s="646" t="s">
        <v>326</v>
      </c>
      <c r="E32" s="647">
        <v>500</v>
      </c>
      <c r="F32" s="648">
        <v>552.31</v>
      </c>
      <c r="G32" s="2067" t="s">
        <v>258</v>
      </c>
      <c r="H32" s="2068">
        <f>IF(G32="A",200,IF(G32="B",60,20))</f>
        <v>20</v>
      </c>
      <c r="I32" s="2069">
        <f>IF(F32&gt;100,F32,100)*$F$19/100</f>
        <v>1304.8710366999999</v>
      </c>
      <c r="J32" s="2070">
        <v>40992.35833333333</v>
      </c>
      <c r="K32" s="2071">
        <v>40992.81736111111</v>
      </c>
      <c r="L32" s="2072">
        <f>IF(D32="","",(K32-J32)*24)</f>
        <v>11.016666666779201</v>
      </c>
      <c r="M32" s="446">
        <f>IF(D32="","",ROUND((K32-J32)*24*60,0))</f>
        <v>661</v>
      </c>
      <c r="N32" s="2073" t="s">
        <v>253</v>
      </c>
      <c r="O32" s="254" t="str">
        <f>IF(D32="","","--")</f>
        <v>--</v>
      </c>
      <c r="P32" s="181" t="str">
        <f>IF(D32="","","NO")</f>
        <v>NO</v>
      </c>
      <c r="Q32" s="181" t="str">
        <f>IF(D32="","",IF(OR(N32="P",N32="RP"),"--","NO"))</f>
        <v>--</v>
      </c>
      <c r="R32" s="2074">
        <f>IF(N32="P",+I32*H32*ROUND(M32/60,2)/100,"--")</f>
        <v>2875.9357648868</v>
      </c>
      <c r="S32" s="2075" t="str">
        <f>IF(N32="RP",I32*H32*ROUND(M32/60,2)*0.01*O32/100,"--")</f>
        <v>--</v>
      </c>
      <c r="T32" s="2076" t="str">
        <f>IF(AND(N32="F",Q32="NO"),IF(P32="SI",1.2,1)*I32*H32,"--")</f>
        <v>--</v>
      </c>
      <c r="U32" s="2077" t="str">
        <f>IF(AND(M32&gt;10,N32="F"),IF(M32&lt;=300,ROUND(M32/60,2),5)*I32*H32*IF(P32="SI",1.2,1),"--")</f>
        <v>--</v>
      </c>
      <c r="V32" s="2078" t="str">
        <f>IF(AND(N32="F",M32&gt;300),IF(P32="SI",1.2,1)*(ROUND(M32/60,2)-5)*I32*H32*0.1,"--")</f>
        <v>--</v>
      </c>
      <c r="W32" s="2079" t="str">
        <f>IF(AND(N32="R",Q32="NO"),IF(P32="SI",1.2,1)*I32*H32*O32/100,"--")</f>
        <v>--</v>
      </c>
      <c r="X32" s="2080" t="str">
        <f>IF(AND(M32&gt;10,N32="R"),IF(M32&lt;=300,ROUND(M32/60,2),5)*I32*H32*O32/100*IF(P32="SI",1.2,1),"--")</f>
        <v>--</v>
      </c>
      <c r="Y32" s="2081" t="str">
        <f>IF(AND(N32="R",M32&gt;300),IF(P32="SI",1.2,1)*(ROUND(M32/60,2)-5)*I32*H32*O32/100*0.1,"--")</f>
        <v>--</v>
      </c>
      <c r="Z32" s="2082" t="str">
        <f>IF(N32="RF",IF(P32="SI",1.2,1)*ROUND(M32/60,2)*I32*H32*0.1,"--")</f>
        <v>--</v>
      </c>
      <c r="AA32" s="2083" t="str">
        <f>IF(N32="RR",IF(P32="SI",1.2,1)*ROUND(M32/60,2)*I32*H32*O32/100*0.1,"--")</f>
        <v>--</v>
      </c>
      <c r="AB32" s="2084" t="str">
        <f>IF(D32="","","SI")</f>
        <v>SI</v>
      </c>
      <c r="AC32" s="193">
        <f>IF(D32="","",SUM(R32:AA32)*IF(AB32="SI",1,2))</f>
        <v>2875.9357648868</v>
      </c>
      <c r="AD32" s="100"/>
    </row>
    <row r="33" spans="1:30" ht="16.5" customHeight="1">
      <c r="A33" s="8"/>
      <c r="B33" s="55"/>
      <c r="C33" s="1021" t="s">
        <v>397</v>
      </c>
      <c r="D33" s="646" t="s">
        <v>326</v>
      </c>
      <c r="E33" s="2085">
        <v>500</v>
      </c>
      <c r="F33" s="648">
        <v>552.31</v>
      </c>
      <c r="G33" s="2067" t="s">
        <v>258</v>
      </c>
      <c r="H33" s="2068">
        <f>IF(G33="A",200,IF(G33="B",60,20))</f>
        <v>20</v>
      </c>
      <c r="I33" s="2069">
        <f>IF(F33&gt;100,F33,100)*$F$19/100</f>
        <v>1304.8710366999999</v>
      </c>
      <c r="J33" s="2070">
        <v>40993.28888888889</v>
      </c>
      <c r="K33" s="2071">
        <v>40993.73819444444</v>
      </c>
      <c r="L33" s="2072">
        <f>IF(D33="","",(K33-J33)*24)</f>
        <v>10.783333333209157</v>
      </c>
      <c r="M33" s="446">
        <f>IF(D33="","",ROUND((K33-J33)*24*60,0))</f>
        <v>647</v>
      </c>
      <c r="N33" s="2073" t="s">
        <v>253</v>
      </c>
      <c r="O33" s="254" t="str">
        <f>IF(D33="","","--")</f>
        <v>--</v>
      </c>
      <c r="P33" s="181" t="str">
        <f>IF(D33="","","NO")</f>
        <v>NO</v>
      </c>
      <c r="Q33" s="181" t="str">
        <f>IF(D33="","",IF(OR(N33="P",N33="RP"),"--","NO"))</f>
        <v>--</v>
      </c>
      <c r="R33" s="2074">
        <f>IF(N33="P",+I33*H33*ROUND(M33/60,2)/100,"--")</f>
        <v>2813.3019551251996</v>
      </c>
      <c r="S33" s="2075" t="str">
        <f>IF(N33="RP",I33*H33*ROUND(M33/60,2)*0.01*O33/100,"--")</f>
        <v>--</v>
      </c>
      <c r="T33" s="2076" t="str">
        <f>IF(AND(N33="F",Q33="NO"),IF(P33="SI",1.2,1)*I33*H33,"--")</f>
        <v>--</v>
      </c>
      <c r="U33" s="2077" t="str">
        <f>IF(AND(M33&gt;10,N33="F"),IF(M33&lt;=300,ROUND(M33/60,2),5)*I33*H33*IF(P33="SI",1.2,1),"--")</f>
        <v>--</v>
      </c>
      <c r="V33" s="2078" t="str">
        <f>IF(AND(N33="F",M33&gt;300),IF(P33="SI",1.2,1)*(ROUND(M33/60,2)-5)*I33*H33*0.1,"--")</f>
        <v>--</v>
      </c>
      <c r="W33" s="2079" t="str">
        <f>IF(AND(N33="R",Q33="NO"),IF(P33="SI",1.2,1)*I33*H33*O33/100,"--")</f>
        <v>--</v>
      </c>
      <c r="X33" s="2080" t="str">
        <f>IF(AND(M33&gt;10,N33="R"),IF(M33&lt;=300,ROUND(M33/60,2),5)*I33*H33*O33/100*IF(P33="SI",1.2,1),"--")</f>
        <v>--</v>
      </c>
      <c r="Y33" s="2081" t="str">
        <f>IF(AND(N33="R",M33&gt;300),IF(P33="SI",1.2,1)*(ROUND(M33/60,2)-5)*I33*H33*O33/100*0.1,"--")</f>
        <v>--</v>
      </c>
      <c r="Z33" s="2082" t="str">
        <f>IF(N33="RF",IF(P33="SI",1.2,1)*ROUND(M33/60,2)*I33*H33*0.1,"--")</f>
        <v>--</v>
      </c>
      <c r="AA33" s="2083" t="str">
        <f>IF(N33="RR",IF(P33="SI",1.2,1)*ROUND(M33/60,2)*I33*H33*O33/100*0.1,"--")</f>
        <v>--</v>
      </c>
      <c r="AB33" s="2084" t="str">
        <f>IF(D33="","","SI")</f>
        <v>SI</v>
      </c>
      <c r="AC33" s="193">
        <f>IF(D33="","",SUM(R33:AA33)*IF(AB33="SI",1,2))</f>
        <v>2813.3019551251996</v>
      </c>
      <c r="AD33" s="100"/>
    </row>
    <row r="34" spans="1:30" ht="16.5" customHeight="1">
      <c r="A34" s="8"/>
      <c r="B34" s="55"/>
      <c r="C34" s="1021" t="s">
        <v>401</v>
      </c>
      <c r="D34" s="646"/>
      <c r="E34" s="2085"/>
      <c r="F34" s="648"/>
      <c r="G34" s="2067"/>
      <c r="H34" s="2068">
        <f>IF(G34="A",200,IF(G34="B",60,20))</f>
        <v>20</v>
      </c>
      <c r="I34" s="2069">
        <f>IF(F34&gt;100,F34,100)*$F$19/100</f>
        <v>236.257</v>
      </c>
      <c r="J34" s="2070"/>
      <c r="K34" s="2071"/>
      <c r="L34" s="2072">
        <f>IF(D34="","",(K34-J34)*24)</f>
      </c>
      <c r="M34" s="446">
        <f>IF(D34="","",ROUND((K34-J34)*24*60,0))</f>
      </c>
      <c r="N34" s="2073"/>
      <c r="O34" s="254">
        <f>IF(D34="","","--")</f>
      </c>
      <c r="P34" s="181">
        <f>IF(D34="","","NO")</f>
      </c>
      <c r="Q34" s="181">
        <f>IF(D34="","",IF(OR(N34="P",N34="RP"),"--","NO"))</f>
      </c>
      <c r="R34" s="2074" t="str">
        <f>IF(N34="P",+I34*H34*ROUND(M34/60,2)/100,"--")</f>
        <v>--</v>
      </c>
      <c r="S34" s="2075" t="str">
        <f>IF(N34="RP",I34*H34*ROUND(M34/60,2)*0.01*O34/100,"--")</f>
        <v>--</v>
      </c>
      <c r="T34" s="2076" t="str">
        <f>IF(AND(N34="F",Q34="NO"),IF(P34="SI",1.2,1)*I34*H34,"--")</f>
        <v>--</v>
      </c>
      <c r="U34" s="2077" t="str">
        <f>IF(AND(M34&gt;10,N34="F"),IF(M34&lt;=300,ROUND(M34/60,2),5)*I34*H34*IF(P34="SI",1.2,1),"--")</f>
        <v>--</v>
      </c>
      <c r="V34" s="2078" t="str">
        <f>IF(AND(N34="F",M34&gt;300),IF(P34="SI",1.2,1)*(ROUND(M34/60,2)-5)*I34*H34*0.1,"--")</f>
        <v>--</v>
      </c>
      <c r="W34" s="2079" t="str">
        <f>IF(AND(N34="R",Q34="NO"),IF(P34="SI",1.2,1)*I34*H34*O34/100,"--")</f>
        <v>--</v>
      </c>
      <c r="X34" s="2080" t="str">
        <f>IF(AND(M34&gt;10,N34="R"),IF(M34&lt;=300,ROUND(M34/60,2),5)*I34*H34*O34/100*IF(P34="SI",1.2,1),"--")</f>
        <v>--</v>
      </c>
      <c r="Y34" s="2081" t="str">
        <f>IF(AND(N34="R",M34&gt;300),IF(P34="SI",1.2,1)*(ROUND(M34/60,2)-5)*I34*H34*O34/100*0.1,"--")</f>
        <v>--</v>
      </c>
      <c r="Z34" s="2082" t="str">
        <f>IF(N34="RF",IF(P34="SI",1.2,1)*ROUND(M34/60,2)*I34*H34*0.1,"--")</f>
        <v>--</v>
      </c>
      <c r="AA34" s="2083" t="str">
        <f>IF(N34="RR",IF(P34="SI",1.2,1)*ROUND(M34/60,2)*I34*H34*O34/100*0.1,"--")</f>
        <v>--</v>
      </c>
      <c r="AB34" s="2084">
        <f>IF(D34="","","SI")</f>
      </c>
      <c r="AC34" s="193">
        <f>IF(D34="","",SUM(R34:AA34)*IF(AB34="SI",1,2))</f>
      </c>
      <c r="AD34" s="100"/>
    </row>
    <row r="35" spans="1:30" ht="16.5" customHeight="1" thickBot="1">
      <c r="A35" s="27"/>
      <c r="B35" s="55"/>
      <c r="C35" s="2086"/>
      <c r="D35" s="2087"/>
      <c r="E35" s="2088"/>
      <c r="F35" s="2089"/>
      <c r="G35" s="2090"/>
      <c r="H35" s="2091"/>
      <c r="I35" s="2092"/>
      <c r="J35" s="2093"/>
      <c r="K35" s="2093"/>
      <c r="L35" s="211"/>
      <c r="M35" s="211"/>
      <c r="N35" s="211"/>
      <c r="O35" s="2094"/>
      <c r="P35" s="211"/>
      <c r="Q35" s="211"/>
      <c r="R35" s="2095"/>
      <c r="S35" s="2096"/>
      <c r="T35" s="2097"/>
      <c r="U35" s="2098"/>
      <c r="V35" s="2099"/>
      <c r="W35" s="2100"/>
      <c r="X35" s="2101"/>
      <c r="Y35" s="2102"/>
      <c r="Z35" s="2103"/>
      <c r="AA35" s="2104"/>
      <c r="AB35" s="2105"/>
      <c r="AC35" s="2106"/>
      <c r="AD35" s="2107"/>
    </row>
    <row r="36" spans="1:30" ht="16.5" customHeight="1" thickBot="1" thickTop="1">
      <c r="A36" s="27"/>
      <c r="B36" s="55"/>
      <c r="C36" s="2019"/>
      <c r="D36" s="2019"/>
      <c r="E36" s="2108"/>
      <c r="F36" s="2028"/>
      <c r="G36" s="2109"/>
      <c r="H36" s="2109"/>
      <c r="I36" s="2110"/>
      <c r="J36" s="2110"/>
      <c r="K36" s="2110"/>
      <c r="L36" s="2110"/>
      <c r="M36" s="2110"/>
      <c r="N36" s="2110"/>
      <c r="O36" s="2111"/>
      <c r="P36" s="2110"/>
      <c r="Q36" s="2110"/>
      <c r="R36" s="2112">
        <f aca="true" t="shared" si="0" ref="R36:AA36">SUM(R31:R35)</f>
        <v>5689.237720011999</v>
      </c>
      <c r="S36" s="2113">
        <f t="shared" si="0"/>
        <v>0</v>
      </c>
      <c r="T36" s="2114">
        <f t="shared" si="0"/>
        <v>0</v>
      </c>
      <c r="U36" s="2114">
        <f t="shared" si="0"/>
        <v>0</v>
      </c>
      <c r="V36" s="2114">
        <f t="shared" si="0"/>
        <v>0</v>
      </c>
      <c r="W36" s="2115">
        <f t="shared" si="0"/>
        <v>0</v>
      </c>
      <c r="X36" s="2115">
        <f t="shared" si="0"/>
        <v>0</v>
      </c>
      <c r="Y36" s="2115">
        <f t="shared" si="0"/>
        <v>0</v>
      </c>
      <c r="Z36" s="2116">
        <f t="shared" si="0"/>
        <v>0</v>
      </c>
      <c r="AA36" s="2117">
        <f t="shared" si="0"/>
        <v>0</v>
      </c>
      <c r="AB36" s="2118"/>
      <c r="AC36" s="2119">
        <f>SUM(AC31:AC35)</f>
        <v>5689.237720011999</v>
      </c>
      <c r="AD36" s="2107"/>
    </row>
    <row r="37" spans="1:30" ht="13.5" customHeight="1" thickBot="1" thickTop="1">
      <c r="A37" s="27"/>
      <c r="B37" s="55"/>
      <c r="C37" s="2019"/>
      <c r="D37" s="2019"/>
      <c r="E37" s="2108"/>
      <c r="F37" s="2028"/>
      <c r="G37" s="2109"/>
      <c r="H37" s="2109"/>
      <c r="I37" s="2110"/>
      <c r="J37" s="2110"/>
      <c r="K37" s="2110"/>
      <c r="L37" s="2110"/>
      <c r="M37" s="2110"/>
      <c r="N37" s="2110"/>
      <c r="O37" s="2111"/>
      <c r="P37" s="2110"/>
      <c r="Q37" s="2110"/>
      <c r="R37" s="2120"/>
      <c r="S37" s="2121"/>
      <c r="T37" s="2122"/>
      <c r="U37" s="2122"/>
      <c r="V37" s="2122"/>
      <c r="W37" s="2120"/>
      <c r="X37" s="2120"/>
      <c r="Y37" s="2120"/>
      <c r="Z37" s="2120"/>
      <c r="AA37" s="2120"/>
      <c r="AB37" s="2123"/>
      <c r="AC37" s="2124"/>
      <c r="AD37" s="2107"/>
    </row>
    <row r="38" spans="1:33" s="8" customFormat="1" ht="33.75" customHeight="1" thickBot="1" thickTop="1">
      <c r="A38" s="90"/>
      <c r="B38" s="267"/>
      <c r="C38" s="296" t="s">
        <v>32</v>
      </c>
      <c r="D38" s="297" t="s">
        <v>60</v>
      </c>
      <c r="E38" s="298" t="s">
        <v>61</v>
      </c>
      <c r="F38" s="299" t="s">
        <v>62</v>
      </c>
      <c r="G38" s="300" t="s">
        <v>35</v>
      </c>
      <c r="H38" s="301" t="s">
        <v>39</v>
      </c>
      <c r="I38" s="2125"/>
      <c r="J38" s="298" t="s">
        <v>40</v>
      </c>
      <c r="K38" s="298" t="s">
        <v>41</v>
      </c>
      <c r="L38" s="297" t="s">
        <v>63</v>
      </c>
      <c r="M38" s="297" t="s">
        <v>43</v>
      </c>
      <c r="N38" s="120" t="s">
        <v>398</v>
      </c>
      <c r="O38" s="298" t="s">
        <v>46</v>
      </c>
      <c r="P38" s="2126" t="s">
        <v>64</v>
      </c>
      <c r="Q38" s="2127"/>
      <c r="R38" s="301" t="s">
        <v>399</v>
      </c>
      <c r="S38" s="2128" t="s">
        <v>47</v>
      </c>
      <c r="T38" s="2129" t="s">
        <v>400</v>
      </c>
      <c r="U38" s="2130"/>
      <c r="V38" s="2131" t="s">
        <v>51</v>
      </c>
      <c r="W38" s="2132"/>
      <c r="X38" s="2133"/>
      <c r="Y38" s="2133"/>
      <c r="Z38" s="2133"/>
      <c r="AA38" s="2134"/>
      <c r="AB38" s="131" t="s">
        <v>53</v>
      </c>
      <c r="AC38" s="300" t="s">
        <v>54</v>
      </c>
      <c r="AD38" s="100"/>
      <c r="AF38" s="9"/>
      <c r="AG38" s="9"/>
    </row>
    <row r="39" spans="1:30" ht="16.5" customHeight="1" thickTop="1">
      <c r="A39" s="8"/>
      <c r="B39" s="55"/>
      <c r="C39" s="153"/>
      <c r="D39" s="251"/>
      <c r="E39" s="251"/>
      <c r="F39" s="251"/>
      <c r="G39" s="2135"/>
      <c r="H39" s="2136"/>
      <c r="I39" s="2137"/>
      <c r="J39" s="251"/>
      <c r="K39" s="251"/>
      <c r="L39" s="251"/>
      <c r="M39" s="251"/>
      <c r="N39" s="251"/>
      <c r="O39" s="2138"/>
      <c r="P39" s="2139"/>
      <c r="Q39" s="2140"/>
      <c r="R39" s="2141"/>
      <c r="S39" s="2142"/>
      <c r="T39" s="2143"/>
      <c r="U39" s="2144"/>
      <c r="V39" s="2145"/>
      <c r="W39" s="2146"/>
      <c r="X39" s="2147"/>
      <c r="Y39" s="2147"/>
      <c r="Z39" s="2147"/>
      <c r="AA39" s="2148"/>
      <c r="AB39" s="2138"/>
      <c r="AC39" s="2149"/>
      <c r="AD39" s="100"/>
    </row>
    <row r="40" spans="1:30" ht="16.5" customHeight="1">
      <c r="A40" s="8"/>
      <c r="B40" s="55"/>
      <c r="C40" s="1021" t="s">
        <v>396</v>
      </c>
      <c r="D40" s="151"/>
      <c r="E40" s="338"/>
      <c r="F40" s="339"/>
      <c r="G40" s="324"/>
      <c r="H40" s="2150"/>
      <c r="I40" s="2151"/>
      <c r="J40" s="2152"/>
      <c r="K40" s="2152"/>
      <c r="L40" s="343"/>
      <c r="M40" s="344"/>
      <c r="N40" s="2153"/>
      <c r="O40" s="346"/>
      <c r="P40" s="2154"/>
      <c r="Q40" s="2155"/>
      <c r="R40" s="2156"/>
      <c r="S40" s="2157"/>
      <c r="T40" s="2158"/>
      <c r="U40" s="2159"/>
      <c r="V40" s="438"/>
      <c r="W40" s="2160"/>
      <c r="X40" s="2161"/>
      <c r="Y40" s="2161"/>
      <c r="Z40" s="2161"/>
      <c r="AA40" s="2162"/>
      <c r="AB40" s="356"/>
      <c r="AC40" s="688"/>
      <c r="AD40" s="100"/>
    </row>
    <row r="41" spans="1:30" ht="16.5" customHeight="1">
      <c r="A41" s="8"/>
      <c r="B41" s="55"/>
      <c r="C41" s="1021" t="s">
        <v>397</v>
      </c>
      <c r="D41" s="151"/>
      <c r="E41" s="338"/>
      <c r="F41" s="339"/>
      <c r="G41" s="324"/>
      <c r="H41" s="2150"/>
      <c r="I41" s="2151"/>
      <c r="J41" s="2152"/>
      <c r="K41" s="2152"/>
      <c r="L41" s="343"/>
      <c r="M41" s="344"/>
      <c r="N41" s="2153"/>
      <c r="O41" s="346"/>
      <c r="P41" s="2154"/>
      <c r="Q41" s="2155"/>
      <c r="R41" s="2156"/>
      <c r="S41" s="2157"/>
      <c r="T41" s="2158"/>
      <c r="U41" s="2159"/>
      <c r="V41" s="438"/>
      <c r="W41" s="2160"/>
      <c r="X41" s="2161"/>
      <c r="Y41" s="2161"/>
      <c r="Z41" s="2161"/>
      <c r="AA41" s="2162"/>
      <c r="AB41" s="356"/>
      <c r="AC41" s="688"/>
      <c r="AD41" s="100"/>
    </row>
    <row r="42" spans="1:30" ht="16.5" customHeight="1">
      <c r="A42" s="8"/>
      <c r="B42" s="55"/>
      <c r="C42" s="1021" t="s">
        <v>401</v>
      </c>
      <c r="D42" s="151"/>
      <c r="E42" s="338"/>
      <c r="F42" s="339"/>
      <c r="G42" s="514"/>
      <c r="H42" s="2150"/>
      <c r="I42" s="2151"/>
      <c r="J42" s="2152"/>
      <c r="K42" s="2152"/>
      <c r="L42" s="343"/>
      <c r="M42" s="344"/>
      <c r="N42" s="2153"/>
      <c r="O42" s="346"/>
      <c r="P42" s="2154"/>
      <c r="Q42" s="2155"/>
      <c r="R42" s="2156"/>
      <c r="S42" s="2157"/>
      <c r="T42" s="2158"/>
      <c r="U42" s="2159"/>
      <c r="V42" s="438"/>
      <c r="W42" s="2713"/>
      <c r="X42" s="2714"/>
      <c r="Y42" s="2714"/>
      <c r="Z42" s="2714"/>
      <c r="AA42" s="2715"/>
      <c r="AB42" s="356"/>
      <c r="AC42" s="688"/>
      <c r="AD42" s="100"/>
    </row>
    <row r="43" spans="1:30" ht="16.5" customHeight="1" thickBot="1">
      <c r="A43" s="27"/>
      <c r="B43" s="55"/>
      <c r="C43" s="2086"/>
      <c r="D43" s="2707"/>
      <c r="E43" s="2708"/>
      <c r="F43" s="2709"/>
      <c r="G43" s="2710"/>
      <c r="H43" s="2168"/>
      <c r="I43" s="2169"/>
      <c r="J43" s="2170"/>
      <c r="K43" s="2171"/>
      <c r="L43" s="2172"/>
      <c r="M43" s="2173"/>
      <c r="N43" s="2174"/>
      <c r="O43" s="211"/>
      <c r="P43" s="2175"/>
      <c r="Q43" s="2176"/>
      <c r="R43" s="2177"/>
      <c r="S43" s="2178"/>
      <c r="T43" s="2711"/>
      <c r="U43" s="2712"/>
      <c r="V43" s="2181"/>
      <c r="W43" s="2182"/>
      <c r="X43" s="2183"/>
      <c r="Y43" s="2183"/>
      <c r="Z43" s="2183"/>
      <c r="AA43" s="2184"/>
      <c r="AB43" s="2185"/>
      <c r="AC43" s="2186"/>
      <c r="AD43" s="2107"/>
    </row>
    <row r="44" spans="1:30" ht="16.5" customHeight="1" thickBot="1" thickTop="1">
      <c r="A44" s="27"/>
      <c r="B44" s="55"/>
      <c r="C44" s="283"/>
      <c r="D44" s="229"/>
      <c r="E44" s="229"/>
      <c r="F44" s="2187"/>
      <c r="G44" s="2188"/>
      <c r="H44" s="2189"/>
      <c r="I44" s="2190"/>
      <c r="J44" s="2191"/>
      <c r="K44" s="2192"/>
      <c r="L44" s="2193"/>
      <c r="M44" s="2189"/>
      <c r="N44" s="2194"/>
      <c r="O44" s="231"/>
      <c r="P44" s="2195"/>
      <c r="Q44" s="2196"/>
      <c r="R44" s="2197"/>
      <c r="S44" s="2197"/>
      <c r="T44" s="2197"/>
      <c r="U44" s="2198"/>
      <c r="V44" s="2198"/>
      <c r="W44" s="2198"/>
      <c r="X44" s="2198"/>
      <c r="Y44" s="2198"/>
      <c r="Z44" s="2198"/>
      <c r="AA44" s="2198"/>
      <c r="AB44" s="2198"/>
      <c r="AC44" s="2199">
        <f>SUM(AC39:AC43)</f>
        <v>0</v>
      </c>
      <c r="AD44" s="2107"/>
    </row>
    <row r="45" spans="1:30" ht="16.5" customHeight="1" thickBot="1" thickTop="1">
      <c r="A45" s="27"/>
      <c r="B45" s="55"/>
      <c r="C45" s="283"/>
      <c r="D45" s="229"/>
      <c r="E45" s="229"/>
      <c r="F45" s="2187"/>
      <c r="G45" s="2188"/>
      <c r="H45" s="2189"/>
      <c r="I45" s="2190"/>
      <c r="J45" s="2029" t="s">
        <v>402</v>
      </c>
      <c r="K45" s="2030">
        <f>+AC44+AC36</f>
        <v>5689.237720011999</v>
      </c>
      <c r="L45" s="2193"/>
      <c r="M45" s="2189"/>
      <c r="N45" s="2200"/>
      <c r="O45" s="2201"/>
      <c r="P45" s="2195"/>
      <c r="Q45" s="2196"/>
      <c r="R45" s="2197"/>
      <c r="S45" s="2197"/>
      <c r="T45" s="2197"/>
      <c r="U45" s="2198"/>
      <c r="V45" s="2198"/>
      <c r="W45" s="2198"/>
      <c r="X45" s="2198"/>
      <c r="Y45" s="2198"/>
      <c r="Z45" s="2198"/>
      <c r="AA45" s="2198"/>
      <c r="AB45" s="2198"/>
      <c r="AC45" s="2202"/>
      <c r="AD45" s="2107"/>
    </row>
    <row r="46" spans="1:30" ht="13.5" customHeight="1" thickTop="1">
      <c r="A46" s="27"/>
      <c r="B46" s="2016"/>
      <c r="C46" s="2019"/>
      <c r="D46" s="2203"/>
      <c r="E46" s="2204"/>
      <c r="F46" s="2205"/>
      <c r="G46" s="2206"/>
      <c r="H46" s="2206"/>
      <c r="I46" s="2204"/>
      <c r="J46" s="2207"/>
      <c r="K46" s="2207"/>
      <c r="L46" s="2204"/>
      <c r="M46" s="2204"/>
      <c r="N46" s="2204"/>
      <c r="O46" s="2208"/>
      <c r="P46" s="2204"/>
      <c r="Q46" s="2204"/>
      <c r="R46" s="2209"/>
      <c r="S46" s="2210"/>
      <c r="T46" s="2210"/>
      <c r="U46" s="2211"/>
      <c r="AC46" s="2211"/>
      <c r="AD46" s="2212"/>
    </row>
    <row r="47" spans="1:30" ht="16.5" customHeight="1">
      <c r="A47" s="27"/>
      <c r="B47" s="2016"/>
      <c r="C47" s="2213" t="s">
        <v>403</v>
      </c>
      <c r="D47" s="2214" t="s">
        <v>422</v>
      </c>
      <c r="E47" s="2204"/>
      <c r="F47" s="2205"/>
      <c r="G47" s="2206"/>
      <c r="H47" s="2206"/>
      <c r="I47" s="2204"/>
      <c r="J47" s="2207"/>
      <c r="K47" s="2207"/>
      <c r="L47" s="2204"/>
      <c r="M47" s="2204"/>
      <c r="N47" s="2204"/>
      <c r="O47" s="2208"/>
      <c r="P47" s="2204"/>
      <c r="Q47" s="2204"/>
      <c r="R47" s="2209"/>
      <c r="S47" s="2210"/>
      <c r="T47" s="2210"/>
      <c r="U47" s="2211"/>
      <c r="AC47" s="2211"/>
      <c r="AD47" s="2212"/>
    </row>
    <row r="48" spans="1:30" ht="16.5" customHeight="1">
      <c r="A48" s="27"/>
      <c r="B48" s="2016"/>
      <c r="C48" s="2213"/>
      <c r="D48" s="2203"/>
      <c r="E48" s="2204"/>
      <c r="F48" s="2205"/>
      <c r="G48" s="2206"/>
      <c r="H48" s="2206"/>
      <c r="I48" s="2204"/>
      <c r="J48" s="2207"/>
      <c r="K48" s="2207"/>
      <c r="L48" s="2204"/>
      <c r="M48" s="2204"/>
      <c r="N48" s="2204"/>
      <c r="O48" s="2208"/>
      <c r="P48" s="2204"/>
      <c r="Q48" s="2204"/>
      <c r="R48" s="2204"/>
      <c r="S48" s="2209"/>
      <c r="T48" s="2210"/>
      <c r="AD48" s="2212"/>
    </row>
    <row r="49" spans="2:30" s="27" customFormat="1" ht="16.5" customHeight="1">
      <c r="B49" s="2016"/>
      <c r="C49" s="2019"/>
      <c r="D49" s="2215" t="s">
        <v>5</v>
      </c>
      <c r="E49" s="2110" t="s">
        <v>404</v>
      </c>
      <c r="F49" s="2110" t="s">
        <v>405</v>
      </c>
      <c r="G49" s="2216" t="s">
        <v>423</v>
      </c>
      <c r="H49" s="2111"/>
      <c r="I49" s="2110"/>
      <c r="J49" s="9"/>
      <c r="K49" s="9"/>
      <c r="L49" s="2217" t="s">
        <v>424</v>
      </c>
      <c r="M49" s="9"/>
      <c r="N49" s="9"/>
      <c r="O49" s="9"/>
      <c r="P49" s="9"/>
      <c r="Q49" s="2218"/>
      <c r="R49" s="2218"/>
      <c r="S49" s="29"/>
      <c r="T49" s="9"/>
      <c r="U49" s="9"/>
      <c r="V49" s="9"/>
      <c r="W49" s="9"/>
      <c r="X49" s="29"/>
      <c r="Y49" s="29"/>
      <c r="Z49" s="29"/>
      <c r="AA49" s="29"/>
      <c r="AB49" s="29"/>
      <c r="AC49" s="2219" t="s">
        <v>425</v>
      </c>
      <c r="AD49" s="2212"/>
    </row>
    <row r="50" spans="2:30" s="27" customFormat="1" ht="16.5" customHeight="1">
      <c r="B50" s="2016"/>
      <c r="C50" s="2019"/>
      <c r="D50" s="2110" t="s">
        <v>484</v>
      </c>
      <c r="E50" s="2220">
        <v>552.31</v>
      </c>
      <c r="F50" s="2220">
        <v>500</v>
      </c>
      <c r="G50" s="2221">
        <f>E50*$F$19*$L$20/100</f>
        <v>970824.0513048</v>
      </c>
      <c r="H50" s="2221"/>
      <c r="I50" s="2221"/>
      <c r="J50" s="25"/>
      <c r="K50" s="9"/>
      <c r="L50" s="2222">
        <v>10600</v>
      </c>
      <c r="M50" s="25"/>
      <c r="N50" s="2223" t="str">
        <f>"(DTE "&amp;DATO!$G$14&amp;DATO!$H$14&amp;")"</f>
        <v>(DTE 0312)</v>
      </c>
      <c r="O50" s="9"/>
      <c r="P50" s="9"/>
      <c r="Q50" s="2218"/>
      <c r="R50" s="2218"/>
      <c r="S50" s="29"/>
      <c r="T50" s="9"/>
      <c r="U50" s="9"/>
      <c r="V50" s="9"/>
      <c r="W50" s="9"/>
      <c r="X50" s="29"/>
      <c r="Y50" s="29"/>
      <c r="Z50" s="29"/>
      <c r="AA50" s="29"/>
      <c r="AB50" s="2224"/>
      <c r="AC50" s="2225">
        <f>L50+G50</f>
        <v>981424.0513048</v>
      </c>
      <c r="AD50" s="2212"/>
    </row>
    <row r="51" spans="2:30" s="27" customFormat="1" ht="16.5" customHeight="1">
      <c r="B51" s="2016"/>
      <c r="C51" s="2019"/>
      <c r="D51" s="2226"/>
      <c r="E51" s="2220"/>
      <c r="F51" s="2220"/>
      <c r="G51" s="2221"/>
      <c r="H51" s="2226"/>
      <c r="I51" s="2227"/>
      <c r="J51" s="25"/>
      <c r="K51" s="9"/>
      <c r="L51" s="2221"/>
      <c r="M51" s="25"/>
      <c r="N51" s="2223"/>
      <c r="O51" s="2228"/>
      <c r="P51" s="9"/>
      <c r="Q51" s="2218"/>
      <c r="R51" s="2218"/>
      <c r="S51" s="29"/>
      <c r="T51" s="9"/>
      <c r="U51" s="9"/>
      <c r="V51" s="9"/>
      <c r="W51" s="9"/>
      <c r="X51" s="29"/>
      <c r="Y51" s="29"/>
      <c r="Z51" s="29"/>
      <c r="AA51" s="29"/>
      <c r="AB51" s="29"/>
      <c r="AC51" s="2225"/>
      <c r="AD51" s="2212"/>
    </row>
    <row r="52" spans="2:30" s="27" customFormat="1" ht="16.5" customHeight="1">
      <c r="B52" s="2016"/>
      <c r="C52" s="2019"/>
      <c r="E52" s="2024"/>
      <c r="F52" s="2110"/>
      <c r="G52" s="2111"/>
      <c r="H52" s="9"/>
      <c r="I52" s="2110"/>
      <c r="J52" s="2110"/>
      <c r="K52" s="9"/>
      <c r="L52" s="2225"/>
      <c r="M52" s="2229"/>
      <c r="N52" s="2229"/>
      <c r="O52" s="2218"/>
      <c r="P52" s="2218"/>
      <c r="Q52" s="2218"/>
      <c r="R52" s="2218"/>
      <c r="S52" s="29"/>
      <c r="T52" s="9"/>
      <c r="U52" s="9"/>
      <c r="V52" s="9"/>
      <c r="W52" s="9"/>
      <c r="X52" s="29"/>
      <c r="Y52" s="29"/>
      <c r="Z52" s="29"/>
      <c r="AA52" s="29"/>
      <c r="AB52" s="29"/>
      <c r="AC52" s="2225"/>
      <c r="AD52" s="2212"/>
    </row>
    <row r="53" spans="1:30" ht="16.5" customHeight="1">
      <c r="A53" s="27"/>
      <c r="B53" s="2016"/>
      <c r="C53" s="2019"/>
      <c r="D53" s="2215" t="s">
        <v>456</v>
      </c>
      <c r="E53" s="2110" t="s">
        <v>409</v>
      </c>
      <c r="F53" s="2110" t="s">
        <v>405</v>
      </c>
      <c r="G53" s="2216" t="s">
        <v>426</v>
      </c>
      <c r="I53" s="2230"/>
      <c r="J53" s="2110"/>
      <c r="L53" s="2217" t="s">
        <v>444</v>
      </c>
      <c r="M53" s="2230"/>
      <c r="N53" s="2229"/>
      <c r="O53" s="2218"/>
      <c r="P53" s="2218"/>
      <c r="Q53" s="2218"/>
      <c r="R53" s="2218"/>
      <c r="S53" s="2218"/>
      <c r="AC53" s="2225"/>
      <c r="AD53" s="2212"/>
    </row>
    <row r="54" spans="1:30" ht="16.5" customHeight="1">
      <c r="A54" s="27"/>
      <c r="B54" s="2016"/>
      <c r="C54" s="2019"/>
      <c r="D54" s="2110" t="s">
        <v>485</v>
      </c>
      <c r="E54" s="2220">
        <v>150</v>
      </c>
      <c r="F54" s="2220" t="s">
        <v>78</v>
      </c>
      <c r="G54" s="2221">
        <f>E54*F20*L20</f>
        <v>72428.40000000001</v>
      </c>
      <c r="H54" s="25"/>
      <c r="I54" s="25"/>
      <c r="J54" s="2222"/>
      <c r="L54" s="2221">
        <v>0</v>
      </c>
      <c r="M54" s="25"/>
      <c r="N54" s="2223" t="str">
        <f>"(DTE "&amp;DATO!$G$14&amp;DATO!$H$14&amp;")"</f>
        <v>(DTE 0312)</v>
      </c>
      <c r="O54" s="2231"/>
      <c r="P54" s="2231"/>
      <c r="Q54" s="2231"/>
      <c r="R54" s="2231"/>
      <c r="S54" s="2231"/>
      <c r="AC54" s="2232">
        <f>G54+L54</f>
        <v>72428.40000000001</v>
      </c>
      <c r="AD54" s="2212"/>
    </row>
    <row r="55" spans="1:30" ht="16.5" customHeight="1">
      <c r="A55" s="27"/>
      <c r="B55" s="2016"/>
      <c r="C55" s="2019"/>
      <c r="D55" s="2110"/>
      <c r="E55" s="2220"/>
      <c r="F55" s="2220"/>
      <c r="G55" s="2221"/>
      <c r="H55" s="25"/>
      <c r="I55" s="25"/>
      <c r="J55" s="2222"/>
      <c r="L55" s="2222"/>
      <c r="M55" s="25"/>
      <c r="N55" s="2223"/>
      <c r="O55" s="2231"/>
      <c r="P55" s="2231"/>
      <c r="Q55" s="2231"/>
      <c r="R55" s="2231"/>
      <c r="S55" s="2231"/>
      <c r="AC55" s="2233"/>
      <c r="AD55" s="2212"/>
    </row>
    <row r="56" spans="1:30" ht="9" customHeight="1" thickBot="1">
      <c r="A56" s="27"/>
      <c r="B56" s="2016"/>
      <c r="C56" s="2019"/>
      <c r="D56" s="2110"/>
      <c r="E56" s="2220"/>
      <c r="F56" s="2220"/>
      <c r="G56" s="2221"/>
      <c r="H56" s="25"/>
      <c r="I56" s="25"/>
      <c r="J56" s="2222"/>
      <c r="L56" s="2222"/>
      <c r="M56" s="25"/>
      <c r="N56" s="2223"/>
      <c r="O56" s="2231"/>
      <c r="P56" s="2231"/>
      <c r="Q56" s="2231"/>
      <c r="R56" s="2231"/>
      <c r="S56" s="2231"/>
      <c r="AC56" s="2232"/>
      <c r="AD56" s="2212"/>
    </row>
    <row r="57" spans="1:30" ht="24" customHeight="1" thickBot="1" thickTop="1">
      <c r="A57" s="27"/>
      <c r="B57" s="2016"/>
      <c r="C57" s="2019"/>
      <c r="D57" s="2207"/>
      <c r="E57" s="2024"/>
      <c r="F57" s="2110"/>
      <c r="G57" s="2110"/>
      <c r="H57" s="2111"/>
      <c r="J57" s="2110"/>
      <c r="L57" s="2234"/>
      <c r="M57" s="2229"/>
      <c r="N57" s="2229"/>
      <c r="O57" s="2218"/>
      <c r="P57" s="2218"/>
      <c r="Q57" s="2218"/>
      <c r="R57" s="2218"/>
      <c r="S57" s="2218"/>
      <c r="AB57" s="2235" t="s">
        <v>486</v>
      </c>
      <c r="AC57" s="71">
        <f>SUM(AC50:AC55)</f>
        <v>1053852.4513047999</v>
      </c>
      <c r="AD57" s="2212"/>
    </row>
    <row r="58" spans="2:30" ht="16.5" customHeight="1" thickTop="1">
      <c r="B58" s="2016"/>
      <c r="C58" s="2213" t="s">
        <v>415</v>
      </c>
      <c r="D58" s="2236" t="s">
        <v>416</v>
      </c>
      <c r="E58" s="2110"/>
      <c r="F58" s="2237"/>
      <c r="G58" s="2109"/>
      <c r="H58" s="2207"/>
      <c r="I58" s="2207"/>
      <c r="J58" s="2207"/>
      <c r="K58" s="2110"/>
      <c r="L58" s="2110"/>
      <c r="M58" s="2207"/>
      <c r="N58" s="2110"/>
      <c r="O58" s="2207"/>
      <c r="P58" s="2207"/>
      <c r="Q58" s="2207"/>
      <c r="R58" s="2207"/>
      <c r="S58" s="2207"/>
      <c r="T58" s="2207"/>
      <c r="U58" s="2207"/>
      <c r="AC58" s="2207"/>
      <c r="AD58" s="2212"/>
    </row>
    <row r="59" spans="2:30" s="27" customFormat="1" ht="16.5" customHeight="1" thickBot="1">
      <c r="B59" s="2016"/>
      <c r="C59" s="2019"/>
      <c r="D59" s="2215" t="s">
        <v>417</v>
      </c>
      <c r="E59" s="2238">
        <f>10*K45*K26/AC57</f>
        <v>1374.5729333639524</v>
      </c>
      <c r="G59" s="2109"/>
      <c r="L59" s="2110"/>
      <c r="N59" s="2110"/>
      <c r="O59" s="2111"/>
      <c r="V59" s="9"/>
      <c r="W59" s="9"/>
      <c r="AD59" s="2212"/>
    </row>
    <row r="60" spans="2:30" s="27" customFormat="1" ht="24" customHeight="1" thickBot="1" thickTop="1">
      <c r="B60" s="2016"/>
      <c r="C60" s="2019"/>
      <c r="E60" s="2239"/>
      <c r="F60" s="2028"/>
      <c r="G60" s="2109"/>
      <c r="J60" s="2109"/>
      <c r="K60" s="2124"/>
      <c r="L60" s="2110"/>
      <c r="M60" s="2110"/>
      <c r="N60" s="2110"/>
      <c r="O60" s="2111"/>
      <c r="P60" s="2110"/>
      <c r="Q60" s="2110"/>
      <c r="R60" s="2123"/>
      <c r="S60" s="2123"/>
      <c r="T60" s="2123"/>
      <c r="U60" s="2240"/>
      <c r="V60" s="9"/>
      <c r="W60" s="9"/>
      <c r="AB60" s="2235" t="s">
        <v>414</v>
      </c>
      <c r="AC60" s="71">
        <v>636551.47078288</v>
      </c>
      <c r="AD60" s="2212"/>
    </row>
    <row r="61" spans="2:30" ht="16.5" customHeight="1" thickTop="1">
      <c r="B61" s="2016"/>
      <c r="C61" s="2019"/>
      <c r="D61" s="2241" t="s">
        <v>418</v>
      </c>
      <c r="E61" s="2242"/>
      <c r="F61" s="2028"/>
      <c r="G61" s="2109"/>
      <c r="H61" s="2207"/>
      <c r="I61" s="2207"/>
      <c r="N61" s="2110"/>
      <c r="O61" s="2111"/>
      <c r="P61" s="2110"/>
      <c r="Q61" s="2110"/>
      <c r="R61" s="2230"/>
      <c r="S61" s="2230"/>
      <c r="T61" s="2230"/>
      <c r="U61" s="2229"/>
      <c r="AC61" s="2229"/>
      <c r="AD61" s="2212"/>
    </row>
    <row r="62" spans="2:30" ht="16.5" customHeight="1" thickBot="1">
      <c r="B62" s="2016"/>
      <c r="C62" s="2019"/>
      <c r="D62" s="2241"/>
      <c r="E62" s="2242"/>
      <c r="F62" s="2028"/>
      <c r="G62" s="2109"/>
      <c r="H62" s="2207"/>
      <c r="I62" s="2207"/>
      <c r="N62" s="2110"/>
      <c r="O62" s="2111"/>
      <c r="P62" s="2110"/>
      <c r="Q62" s="2110"/>
      <c r="R62" s="2230"/>
      <c r="S62" s="2230"/>
      <c r="T62" s="2230"/>
      <c r="U62" s="2229"/>
      <c r="AC62" s="2229"/>
      <c r="AD62" s="2212"/>
    </row>
    <row r="63" spans="2:30" s="2243" customFormat="1" ht="24" thickBot="1" thickTop="1">
      <c r="B63" s="2244"/>
      <c r="C63" s="2245"/>
      <c r="D63" s="2246"/>
      <c r="E63" s="2247"/>
      <c r="F63" s="2248"/>
      <c r="G63" s="2249"/>
      <c r="I63" s="9"/>
      <c r="J63" s="2250" t="s">
        <v>419</v>
      </c>
      <c r="K63" s="2251">
        <f>IF(E59&gt;3*K26,K26*3,E59)</f>
        <v>1374.5729333639524</v>
      </c>
      <c r="L63" s="2252"/>
      <c r="P63" s="2253"/>
      <c r="Q63" s="2253"/>
      <c r="R63" s="2254"/>
      <c r="S63" s="2254"/>
      <c r="T63" s="2254"/>
      <c r="U63" s="2255"/>
      <c r="V63" s="9"/>
      <c r="W63" s="9"/>
      <c r="AC63" s="2255"/>
      <c r="AD63" s="2256"/>
    </row>
    <row r="64" spans="2:30" s="2243" customFormat="1" ht="11.25" customHeight="1" thickTop="1">
      <c r="B64" s="2244"/>
      <c r="C64" s="2245"/>
      <c r="D64" s="2246"/>
      <c r="E64" s="2247"/>
      <c r="F64" s="2248"/>
      <c r="G64" s="2249"/>
      <c r="I64" s="9"/>
      <c r="J64" s="2257"/>
      <c r="K64" s="2258"/>
      <c r="L64" s="2252"/>
      <c r="M64" s="1813"/>
      <c r="N64" s="1813"/>
      <c r="O64" s="1813"/>
      <c r="P64" s="2253"/>
      <c r="Q64" s="2253"/>
      <c r="R64" s="2254"/>
      <c r="S64" s="2254"/>
      <c r="T64" s="2254"/>
      <c r="U64" s="2255"/>
      <c r="V64" s="9"/>
      <c r="W64" s="9"/>
      <c r="AC64" s="2255"/>
      <c r="AD64" s="2256"/>
    </row>
    <row r="65" spans="2:30" s="2243" customFormat="1" ht="22.5">
      <c r="B65" s="2244"/>
      <c r="C65" s="2252"/>
      <c r="D65" s="2751"/>
      <c r="E65" s="2751"/>
      <c r="F65" s="2751"/>
      <c r="G65" s="2249"/>
      <c r="I65" s="9"/>
      <c r="J65" s="2257"/>
      <c r="K65" s="2258"/>
      <c r="L65" s="2252"/>
      <c r="M65" s="2259" t="s">
        <v>487</v>
      </c>
      <c r="N65" s="1813"/>
      <c r="O65" s="1813"/>
      <c r="P65" s="2253"/>
      <c r="Q65" s="2253"/>
      <c r="R65" s="2254"/>
      <c r="S65" s="2254"/>
      <c r="T65" s="2254"/>
      <c r="U65" s="2255"/>
      <c r="V65" s="9"/>
      <c r="W65" s="9"/>
      <c r="AC65" s="2255"/>
      <c r="AD65" s="2256"/>
    </row>
    <row r="66" spans="2:30" ht="12" customHeight="1" thickBot="1"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2260"/>
      <c r="W66" s="2260"/>
      <c r="X66" s="2260"/>
      <c r="Y66" s="2260"/>
      <c r="Z66" s="2260"/>
      <c r="AA66" s="2260"/>
      <c r="AB66" s="2260"/>
      <c r="AC66" s="78"/>
      <c r="AD66" s="2261"/>
    </row>
    <row r="67" spans="2:23" ht="16.5" customHeight="1" thickTop="1">
      <c r="B67" s="244"/>
      <c r="C67" s="252"/>
      <c r="W67" s="244"/>
    </row>
  </sheetData>
  <sheetProtection password="CC12"/>
  <mergeCells count="1">
    <mergeCell ref="D65:F65"/>
  </mergeCells>
  <printOptions horizontalCentered="1"/>
  <pageMargins left="0.24" right="0.4" top="0.54" bottom="0.48" header="0.34" footer="0.27"/>
  <pageSetup fitToHeight="1" fitToWidth="1" orientation="landscape" paperSize="9" scale="4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8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6.7109375" style="9" hidden="1" customWidth="1"/>
    <col min="11" max="11" width="7.8515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5.7109375" style="9" bestFit="1" customWidth="1"/>
    <col min="20" max="21" width="12.140625" style="9" hidden="1" customWidth="1"/>
    <col min="22" max="23" width="11.421875" style="9" hidden="1" customWidth="1"/>
    <col min="24" max="24" width="11.7109375" style="9" hidden="1" customWidth="1"/>
    <col min="25" max="27" width="6.00390625" style="9" hidden="1" customWidth="1"/>
    <col min="28" max="28" width="11.7109375" style="9" hidden="1" customWidth="1"/>
    <col min="29" max="29" width="12.851562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+'TOT-0312'!B2</f>
        <v>ANEXO IV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27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18" customFormat="1" ht="20.25">
      <c r="B10" s="96"/>
      <c r="C10" s="23"/>
      <c r="D10" s="23"/>
      <c r="E10" s="23"/>
      <c r="F10" s="98" t="s">
        <v>28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9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00"/>
    </row>
    <row r="12" spans="2:32" s="18" customFormat="1" ht="20.25">
      <c r="B12" s="96"/>
      <c r="C12" s="23"/>
      <c r="D12" s="23"/>
      <c r="E12" s="23"/>
      <c r="F12" s="98" t="s">
        <v>29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8"/>
      <c r="S12" s="9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9"/>
    </row>
    <row r="13" spans="2:32" s="8" customFormat="1" ht="12.75">
      <c r="B13" s="55"/>
      <c r="C13" s="11"/>
      <c r="D13" s="11"/>
      <c r="E13" s="11"/>
      <c r="F13" s="1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34" customFormat="1" ht="19.5">
      <c r="B14" s="35" t="str">
        <f>'TOT-0312'!B14</f>
        <v>Desde el 01 al 31 de Marzo de 2012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2"/>
      <c r="Q14" s="102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3"/>
    </row>
    <row r="15" spans="2:32" s="8" customFormat="1" ht="16.5" customHeight="1" thickBot="1">
      <c r="B15" s="55"/>
      <c r="C15" s="11"/>
      <c r="D15" s="11"/>
      <c r="E15" s="11"/>
      <c r="F15" s="11"/>
      <c r="G15" s="86"/>
      <c r="H15" s="86"/>
      <c r="I15" s="11"/>
      <c r="J15" s="11"/>
      <c r="K15" s="11"/>
      <c r="L15" s="104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00"/>
    </row>
    <row r="16" spans="2:32" s="8" customFormat="1" ht="16.5" customHeight="1" thickBot="1" thickTop="1">
      <c r="B16" s="55"/>
      <c r="C16" s="11"/>
      <c r="D16" s="11"/>
      <c r="E16" s="11"/>
      <c r="F16" s="105" t="s">
        <v>30</v>
      </c>
      <c r="G16" s="106">
        <v>236.257</v>
      </c>
      <c r="H16" s="10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00"/>
    </row>
    <row r="17" spans="2:32" s="8" customFormat="1" ht="16.5" customHeight="1" thickBot="1" thickTop="1">
      <c r="B17" s="55"/>
      <c r="C17" s="11"/>
      <c r="D17" s="11"/>
      <c r="E17" s="11"/>
      <c r="F17" s="105" t="s">
        <v>31</v>
      </c>
      <c r="G17" s="106">
        <v>196.885</v>
      </c>
      <c r="H17" s="107"/>
      <c r="I17" s="11"/>
      <c r="J17" s="11"/>
      <c r="K17" s="11"/>
      <c r="L17" s="108"/>
      <c r="M17" s="10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0"/>
      <c r="Y17" s="110"/>
      <c r="Z17" s="110"/>
      <c r="AA17" s="110"/>
      <c r="AB17" s="110"/>
      <c r="AC17" s="110"/>
      <c r="AD17" s="110"/>
      <c r="AF17" s="100"/>
    </row>
    <row r="18" spans="2:32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111">
        <v>27</v>
      </c>
      <c r="AB18" s="111">
        <v>28</v>
      </c>
      <c r="AC18" s="111">
        <v>29</v>
      </c>
      <c r="AD18" s="111">
        <v>30</v>
      </c>
      <c r="AE18" s="111">
        <v>31</v>
      </c>
      <c r="AF18" s="100"/>
    </row>
    <row r="19" spans="2:32" s="8" customFormat="1" ht="33.75" customHeight="1" thickBot="1" thickTop="1">
      <c r="B19" s="55"/>
      <c r="C19" s="112" t="s">
        <v>32</v>
      </c>
      <c r="D19" s="112" t="s">
        <v>33</v>
      </c>
      <c r="E19" s="112" t="s">
        <v>34</v>
      </c>
      <c r="F19" s="113" t="s">
        <v>5</v>
      </c>
      <c r="G19" s="114" t="s">
        <v>35</v>
      </c>
      <c r="H19" s="115" t="s">
        <v>36</v>
      </c>
      <c r="I19" s="116" t="s">
        <v>37</v>
      </c>
      <c r="J19" s="117" t="s">
        <v>38</v>
      </c>
      <c r="K19" s="118" t="s">
        <v>39</v>
      </c>
      <c r="L19" s="113" t="s">
        <v>40</v>
      </c>
      <c r="M19" s="119" t="s">
        <v>41</v>
      </c>
      <c r="N19" s="120" t="s">
        <v>42</v>
      </c>
      <c r="O19" s="115" t="s">
        <v>43</v>
      </c>
      <c r="P19" s="120" t="s">
        <v>251</v>
      </c>
      <c r="Q19" s="115" t="s">
        <v>44</v>
      </c>
      <c r="R19" s="119" t="s">
        <v>45</v>
      </c>
      <c r="S19" s="113" t="s">
        <v>46</v>
      </c>
      <c r="T19" s="121" t="s">
        <v>47</v>
      </c>
      <c r="U19" s="122" t="s">
        <v>48</v>
      </c>
      <c r="V19" s="123" t="s">
        <v>49</v>
      </c>
      <c r="W19" s="124"/>
      <c r="X19" s="125"/>
      <c r="Y19" s="126" t="s">
        <v>50</v>
      </c>
      <c r="Z19" s="127"/>
      <c r="AA19" s="128"/>
      <c r="AB19" s="129" t="s">
        <v>51</v>
      </c>
      <c r="AC19" s="130" t="s">
        <v>52</v>
      </c>
      <c r="AD19" s="131" t="s">
        <v>53</v>
      </c>
      <c r="AE19" s="131" t="s">
        <v>54</v>
      </c>
      <c r="AF19" s="132"/>
    </row>
    <row r="20" spans="2:32" s="8" customFormat="1" ht="16.5" customHeight="1" thickTop="1">
      <c r="B20" s="55"/>
      <c r="C20" s="133"/>
      <c r="D20" s="133"/>
      <c r="E20" s="133"/>
      <c r="F20" s="134"/>
      <c r="G20" s="134"/>
      <c r="H20" s="135"/>
      <c r="I20" s="136"/>
      <c r="J20" s="137"/>
      <c r="K20" s="138"/>
      <c r="L20" s="139"/>
      <c r="M20" s="139"/>
      <c r="N20" s="136"/>
      <c r="O20" s="136"/>
      <c r="P20" s="136"/>
      <c r="Q20" s="136"/>
      <c r="R20" s="136"/>
      <c r="S20" s="136"/>
      <c r="T20" s="140"/>
      <c r="U20" s="141"/>
      <c r="V20" s="142"/>
      <c r="W20" s="143"/>
      <c r="X20" s="144"/>
      <c r="Y20" s="145"/>
      <c r="Z20" s="146"/>
      <c r="AA20" s="147"/>
      <c r="AB20" s="148"/>
      <c r="AC20" s="149"/>
      <c r="AD20" s="136"/>
      <c r="AE20" s="150"/>
      <c r="AF20" s="100"/>
    </row>
    <row r="21" spans="2:32" s="8" customFormat="1" ht="16.5" customHeight="1">
      <c r="B21" s="55"/>
      <c r="C21" s="151"/>
      <c r="D21" s="151"/>
      <c r="E21" s="151"/>
      <c r="F21" s="152"/>
      <c r="G21" s="153"/>
      <c r="H21" s="154"/>
      <c r="I21" s="152"/>
      <c r="J21" s="155"/>
      <c r="K21" s="156"/>
      <c r="L21" s="157"/>
      <c r="M21" s="110"/>
      <c r="N21" s="152"/>
      <c r="O21" s="152"/>
      <c r="P21" s="158"/>
      <c r="Q21" s="152"/>
      <c r="R21" s="152"/>
      <c r="S21" s="152"/>
      <c r="T21" s="159"/>
      <c r="U21" s="160"/>
      <c r="V21" s="161"/>
      <c r="W21" s="162"/>
      <c r="X21" s="163"/>
      <c r="Y21" s="164"/>
      <c r="Z21" s="165"/>
      <c r="AA21" s="166"/>
      <c r="AB21" s="167"/>
      <c r="AC21" s="168"/>
      <c r="AD21" s="152"/>
      <c r="AE21" s="169"/>
      <c r="AF21" s="100"/>
    </row>
    <row r="22" spans="2:32" s="8" customFormat="1" ht="16.5" customHeight="1">
      <c r="B22" s="55"/>
      <c r="C22" s="170">
        <v>1</v>
      </c>
      <c r="D22" s="170">
        <v>245329</v>
      </c>
      <c r="E22" s="170">
        <v>5170</v>
      </c>
      <c r="F22" s="170" t="s">
        <v>297</v>
      </c>
      <c r="G22" s="171">
        <v>500</v>
      </c>
      <c r="H22" s="172">
        <v>67.45</v>
      </c>
      <c r="I22" s="171" t="s">
        <v>258</v>
      </c>
      <c r="J22" s="173">
        <f aca="true" t="shared" si="0" ref="J22:J44">IF(I22="A",200,IF(I22="B",60,20))</f>
        <v>20</v>
      </c>
      <c r="K22" s="174">
        <f aca="true" t="shared" si="1" ref="K22:K44">IF(G22=500,IF(H22&lt;100,100*$G$16/100,H22*$G$16/100),IF(H22&lt;100,100*$G$17/100,H22*$G$17/100))</f>
        <v>236.257</v>
      </c>
      <c r="L22" s="175">
        <v>40975.36388888889</v>
      </c>
      <c r="M22" s="176">
        <v>40975.75555555556</v>
      </c>
      <c r="N22" s="177">
        <f aca="true" t="shared" si="2" ref="N22:N44">IF(F22="","",(M22-L22)*24)</f>
        <v>9.40000000008149</v>
      </c>
      <c r="O22" s="178">
        <f aca="true" t="shared" si="3" ref="O22:O44">IF(F22="","",ROUND((M22-L22)*24*60,0))</f>
        <v>564</v>
      </c>
      <c r="P22" s="179" t="s">
        <v>253</v>
      </c>
      <c r="Q22" s="180" t="str">
        <f aca="true" t="shared" si="4" ref="Q22:Q44">IF(F22="","","--")</f>
        <v>--</v>
      </c>
      <c r="R22" s="181" t="str">
        <f aca="true" t="shared" si="5" ref="R22:R44">IF(F22="","","NO")</f>
        <v>NO</v>
      </c>
      <c r="S22" s="181" t="str">
        <f aca="true" t="shared" si="6" ref="S22:S44">IF(F22="","",IF(OR(P22="P",P22="RP"),"--","NO"))</f>
        <v>--</v>
      </c>
      <c r="T22" s="182">
        <f aca="true" t="shared" si="7" ref="T22:T44">IF(P22="P",K22*J22*ROUND(O22/60,2)*0.01,"--")</f>
        <v>444.16316000000006</v>
      </c>
      <c r="U22" s="183" t="str">
        <f aca="true" t="shared" si="8" ref="U22:U44">IF(P22="RP",K22*J22*ROUND(O22/60,2)*0.01*Q22/100,"--")</f>
        <v>--</v>
      </c>
      <c r="V22" s="184" t="str">
        <f aca="true" t="shared" si="9" ref="V22:V44">IF(AND(P22="F",S22="NO"),K22*J22*IF(R22="SI",1.2,1),"--")</f>
        <v>--</v>
      </c>
      <c r="W22" s="185" t="str">
        <f aca="true" t="shared" si="10" ref="W22:W44">IF(AND(P22="F",O22&gt;=10),K22*J22*IF(R22="SI",1.2,1)*IF(O22&lt;=300,ROUND(O22/60,2),5),"--")</f>
        <v>--</v>
      </c>
      <c r="X22" s="186" t="str">
        <f aca="true" t="shared" si="11" ref="X22:X44">IF(AND(P22="F",O22&gt;300),(ROUND(O22/60,2)-5)*K22*J22*0.1*IF(R22="SI",1.2,1),"--")</f>
        <v>--</v>
      </c>
      <c r="Y22" s="187" t="str">
        <f aca="true" t="shared" si="12" ref="Y22:Y44">IF(AND(P22="R",S22="NO"),K22*J22*Q22/100*IF(R22="SI",1.2,1),"--")</f>
        <v>--</v>
      </c>
      <c r="Z22" s="188" t="str">
        <f aca="true" t="shared" si="13" ref="Z22:Z44">IF(AND(P22="R",O22&gt;=10),K22*J22*Q22/100*IF(R22="SI",1.2,1)*IF(O22&lt;=300,ROUND(O22/60,2),5),"--")</f>
        <v>--</v>
      </c>
      <c r="AA22" s="189" t="str">
        <f aca="true" t="shared" si="14" ref="AA22:AA44">IF(AND(P22="R",O22&gt;300),(ROUND(O22/60,2)-5)*K22*J22*0.1*Q22/100*IF(R22="SI",1.2,1),"--")</f>
        <v>--</v>
      </c>
      <c r="AB22" s="190" t="str">
        <f aca="true" t="shared" si="15" ref="AB22:AB44">IF(P22="RF",ROUND(O22/60,2)*K22*J22*0.1*IF(R22="SI",1.2,1),"--")</f>
        <v>--</v>
      </c>
      <c r="AC22" s="191" t="str">
        <f aca="true" t="shared" si="16" ref="AC22:AC44">IF(P22="RR",ROUND(O22/60,2)*K22*J22*0.1*Q22/100*IF(R22="SI",1.2,1),"--")</f>
        <v>--</v>
      </c>
      <c r="AD22" s="192" t="s">
        <v>77</v>
      </c>
      <c r="AE22" s="193">
        <v>0</v>
      </c>
      <c r="AF22" s="194"/>
    </row>
    <row r="23" spans="2:32" s="8" customFormat="1" ht="16.5" customHeight="1">
      <c r="B23" s="55"/>
      <c r="C23" s="151">
        <v>2</v>
      </c>
      <c r="D23" s="151">
        <v>245330</v>
      </c>
      <c r="E23" s="151">
        <v>5169</v>
      </c>
      <c r="F23" s="170" t="s">
        <v>303</v>
      </c>
      <c r="G23" s="171">
        <v>500</v>
      </c>
      <c r="H23" s="172">
        <v>117.26</v>
      </c>
      <c r="I23" s="171" t="s">
        <v>258</v>
      </c>
      <c r="J23" s="173">
        <f t="shared" si="0"/>
        <v>20</v>
      </c>
      <c r="K23" s="174">
        <f t="shared" si="1"/>
        <v>277.0349582</v>
      </c>
      <c r="L23" s="175">
        <v>40975.36388888889</v>
      </c>
      <c r="M23" s="176">
        <v>40975.75069444445</v>
      </c>
      <c r="N23" s="177">
        <f t="shared" si="2"/>
        <v>9.28333333338378</v>
      </c>
      <c r="O23" s="178">
        <f t="shared" si="3"/>
        <v>557</v>
      </c>
      <c r="P23" s="179" t="s">
        <v>253</v>
      </c>
      <c r="Q23" s="180" t="str">
        <f t="shared" si="4"/>
        <v>--</v>
      </c>
      <c r="R23" s="181" t="str">
        <f t="shared" si="5"/>
        <v>NO</v>
      </c>
      <c r="S23" s="181" t="str">
        <f t="shared" si="6"/>
        <v>--</v>
      </c>
      <c r="T23" s="182">
        <f t="shared" si="7"/>
        <v>514.1768824192</v>
      </c>
      <c r="U23" s="183" t="str">
        <f t="shared" si="8"/>
        <v>--</v>
      </c>
      <c r="V23" s="184" t="str">
        <f t="shared" si="9"/>
        <v>--</v>
      </c>
      <c r="W23" s="185" t="str">
        <f t="shared" si="10"/>
        <v>--</v>
      </c>
      <c r="X23" s="186" t="str">
        <f t="shared" si="11"/>
        <v>--</v>
      </c>
      <c r="Y23" s="187" t="str">
        <f t="shared" si="12"/>
        <v>--</v>
      </c>
      <c r="Z23" s="188" t="str">
        <f t="shared" si="13"/>
        <v>--</v>
      </c>
      <c r="AA23" s="189" t="str">
        <f t="shared" si="14"/>
        <v>--</v>
      </c>
      <c r="AB23" s="190" t="str">
        <f t="shared" si="15"/>
        <v>--</v>
      </c>
      <c r="AC23" s="191" t="str">
        <f t="shared" si="16"/>
        <v>--</v>
      </c>
      <c r="AD23" s="192" t="s">
        <v>77</v>
      </c>
      <c r="AE23" s="193">
        <v>0</v>
      </c>
      <c r="AF23" s="194"/>
    </row>
    <row r="24" spans="2:32" s="8" customFormat="1" ht="16.5" customHeight="1">
      <c r="B24" s="55"/>
      <c r="C24" s="170">
        <v>3</v>
      </c>
      <c r="D24" s="170">
        <v>245333</v>
      </c>
      <c r="E24" s="170">
        <v>5170</v>
      </c>
      <c r="F24" s="170" t="s">
        <v>297</v>
      </c>
      <c r="G24" s="171">
        <v>500</v>
      </c>
      <c r="H24" s="172">
        <v>67.45</v>
      </c>
      <c r="I24" s="171" t="s">
        <v>258</v>
      </c>
      <c r="J24" s="173">
        <f t="shared" si="0"/>
        <v>20</v>
      </c>
      <c r="K24" s="174">
        <f t="shared" si="1"/>
        <v>236.257</v>
      </c>
      <c r="L24" s="195">
        <v>40976.33819444444</v>
      </c>
      <c r="M24" s="196">
        <v>40976.85486111111</v>
      </c>
      <c r="N24" s="177">
        <f t="shared" si="2"/>
        <v>12.40000000008149</v>
      </c>
      <c r="O24" s="178">
        <f t="shared" si="3"/>
        <v>744</v>
      </c>
      <c r="P24" s="179" t="s">
        <v>253</v>
      </c>
      <c r="Q24" s="180" t="str">
        <f t="shared" si="4"/>
        <v>--</v>
      </c>
      <c r="R24" s="181" t="str">
        <f t="shared" si="5"/>
        <v>NO</v>
      </c>
      <c r="S24" s="181" t="str">
        <f t="shared" si="6"/>
        <v>--</v>
      </c>
      <c r="T24" s="182">
        <f t="shared" si="7"/>
        <v>585.91736</v>
      </c>
      <c r="U24" s="183" t="str">
        <f t="shared" si="8"/>
        <v>--</v>
      </c>
      <c r="V24" s="184" t="str">
        <f t="shared" si="9"/>
        <v>--</v>
      </c>
      <c r="W24" s="185" t="str">
        <f t="shared" si="10"/>
        <v>--</v>
      </c>
      <c r="X24" s="186" t="str">
        <f t="shared" si="11"/>
        <v>--</v>
      </c>
      <c r="Y24" s="187" t="str">
        <f t="shared" si="12"/>
        <v>--</v>
      </c>
      <c r="Z24" s="188" t="str">
        <f t="shared" si="13"/>
        <v>--</v>
      </c>
      <c r="AA24" s="189" t="str">
        <f t="shared" si="14"/>
        <v>--</v>
      </c>
      <c r="AB24" s="190" t="str">
        <f t="shared" si="15"/>
        <v>--</v>
      </c>
      <c r="AC24" s="191" t="str">
        <f t="shared" si="16"/>
        <v>--</v>
      </c>
      <c r="AD24" s="192" t="s">
        <v>77</v>
      </c>
      <c r="AE24" s="193">
        <v>0</v>
      </c>
      <c r="AF24" s="194"/>
    </row>
    <row r="25" spans="2:32" s="8" customFormat="1" ht="16.5" customHeight="1">
      <c r="B25" s="55"/>
      <c r="C25" s="151">
        <v>4</v>
      </c>
      <c r="D25" s="151">
        <v>245334</v>
      </c>
      <c r="E25" s="151">
        <v>5169</v>
      </c>
      <c r="F25" s="170" t="s">
        <v>303</v>
      </c>
      <c r="G25" s="171">
        <v>500</v>
      </c>
      <c r="H25" s="172">
        <v>117.26</v>
      </c>
      <c r="I25" s="171" t="s">
        <v>258</v>
      </c>
      <c r="J25" s="173">
        <f t="shared" si="0"/>
        <v>20</v>
      </c>
      <c r="K25" s="174">
        <f t="shared" si="1"/>
        <v>277.0349582</v>
      </c>
      <c r="L25" s="195">
        <v>40976.33819444444</v>
      </c>
      <c r="M25" s="196">
        <v>40976.853472222225</v>
      </c>
      <c r="N25" s="177">
        <f t="shared" si="2"/>
        <v>12.366666666814126</v>
      </c>
      <c r="O25" s="178">
        <f t="shared" si="3"/>
        <v>742</v>
      </c>
      <c r="P25" s="179" t="s">
        <v>253</v>
      </c>
      <c r="Q25" s="180" t="str">
        <f t="shared" si="4"/>
        <v>--</v>
      </c>
      <c r="R25" s="181" t="str">
        <f t="shared" si="5"/>
        <v>NO</v>
      </c>
      <c r="S25" s="181" t="str">
        <f t="shared" si="6"/>
        <v>--</v>
      </c>
      <c r="T25" s="182">
        <f t="shared" si="7"/>
        <v>685.3844865867999</v>
      </c>
      <c r="U25" s="183" t="str">
        <f t="shared" si="8"/>
        <v>--</v>
      </c>
      <c r="V25" s="184" t="str">
        <f t="shared" si="9"/>
        <v>--</v>
      </c>
      <c r="W25" s="185" t="str">
        <f t="shared" si="10"/>
        <v>--</v>
      </c>
      <c r="X25" s="186" t="str">
        <f t="shared" si="11"/>
        <v>--</v>
      </c>
      <c r="Y25" s="187" t="str">
        <f t="shared" si="12"/>
        <v>--</v>
      </c>
      <c r="Z25" s="188" t="str">
        <f t="shared" si="13"/>
        <v>--</v>
      </c>
      <c r="AA25" s="189" t="str">
        <f t="shared" si="14"/>
        <v>--</v>
      </c>
      <c r="AB25" s="190" t="str">
        <f t="shared" si="15"/>
        <v>--</v>
      </c>
      <c r="AC25" s="191" t="str">
        <f t="shared" si="16"/>
        <v>--</v>
      </c>
      <c r="AD25" s="192" t="s">
        <v>77</v>
      </c>
      <c r="AE25" s="193">
        <v>0</v>
      </c>
      <c r="AF25" s="194"/>
    </row>
    <row r="26" spans="2:32" s="8" customFormat="1" ht="16.5" customHeight="1">
      <c r="B26" s="55"/>
      <c r="C26" s="170">
        <v>5</v>
      </c>
      <c r="D26" s="170">
        <v>245642</v>
      </c>
      <c r="E26" s="170">
        <v>24</v>
      </c>
      <c r="F26" s="170" t="s">
        <v>254</v>
      </c>
      <c r="G26" s="171">
        <v>500</v>
      </c>
      <c r="H26" s="172">
        <v>255</v>
      </c>
      <c r="I26" s="171" t="s">
        <v>255</v>
      </c>
      <c r="J26" s="173">
        <f t="shared" si="0"/>
        <v>60</v>
      </c>
      <c r="K26" s="174">
        <f t="shared" si="1"/>
        <v>602.4553500000001</v>
      </c>
      <c r="L26" s="175">
        <v>40981.42986111111</v>
      </c>
      <c r="M26" s="176">
        <v>40981.461805555555</v>
      </c>
      <c r="N26" s="177">
        <f t="shared" si="2"/>
        <v>0.7666666667209938</v>
      </c>
      <c r="O26" s="178">
        <f t="shared" si="3"/>
        <v>46</v>
      </c>
      <c r="P26" s="179" t="s">
        <v>256</v>
      </c>
      <c r="Q26" s="180" t="str">
        <f t="shared" si="4"/>
        <v>--</v>
      </c>
      <c r="R26" s="181" t="str">
        <f t="shared" si="5"/>
        <v>NO</v>
      </c>
      <c r="S26" s="181" t="str">
        <f t="shared" si="6"/>
        <v>NO</v>
      </c>
      <c r="T26" s="182" t="str">
        <f t="shared" si="7"/>
        <v>--</v>
      </c>
      <c r="U26" s="183" t="str">
        <f t="shared" si="8"/>
        <v>--</v>
      </c>
      <c r="V26" s="184">
        <f t="shared" si="9"/>
        <v>36147.321</v>
      </c>
      <c r="W26" s="185">
        <f t="shared" si="10"/>
        <v>27833.437170000005</v>
      </c>
      <c r="X26" s="186" t="str">
        <f t="shared" si="11"/>
        <v>--</v>
      </c>
      <c r="Y26" s="187" t="str">
        <f t="shared" si="12"/>
        <v>--</v>
      </c>
      <c r="Z26" s="188" t="str">
        <f t="shared" si="13"/>
        <v>--</v>
      </c>
      <c r="AA26" s="189" t="str">
        <f t="shared" si="14"/>
        <v>--</v>
      </c>
      <c r="AB26" s="190" t="str">
        <f t="shared" si="15"/>
        <v>--</v>
      </c>
      <c r="AC26" s="191" t="str">
        <f t="shared" si="16"/>
        <v>--</v>
      </c>
      <c r="AD26" s="192" t="s">
        <v>77</v>
      </c>
      <c r="AE26" s="193">
        <f aca="true" t="shared" si="17" ref="AE26:AE44">IF(F26="","",SUM(T26:AC26)*IF(AD26="SI",1,2))</f>
        <v>63980.75817000001</v>
      </c>
      <c r="AF26" s="194"/>
    </row>
    <row r="27" spans="2:32" s="8" customFormat="1" ht="16.5" customHeight="1">
      <c r="B27" s="55"/>
      <c r="C27" s="151">
        <v>6</v>
      </c>
      <c r="D27" s="170">
        <v>245657</v>
      </c>
      <c r="E27" s="170">
        <v>5169</v>
      </c>
      <c r="F27" s="170" t="s">
        <v>303</v>
      </c>
      <c r="G27" s="171">
        <v>500</v>
      </c>
      <c r="H27" s="172">
        <v>117.26</v>
      </c>
      <c r="I27" s="171" t="s">
        <v>258</v>
      </c>
      <c r="J27" s="173">
        <f t="shared" si="0"/>
        <v>20</v>
      </c>
      <c r="K27" s="174">
        <f t="shared" si="1"/>
        <v>277.0349582</v>
      </c>
      <c r="L27" s="175">
        <v>40985.30138888889</v>
      </c>
      <c r="M27" s="176">
        <v>40986.72708333333</v>
      </c>
      <c r="N27" s="177">
        <f t="shared" si="2"/>
        <v>34.21666666661622</v>
      </c>
      <c r="O27" s="178">
        <f t="shared" si="3"/>
        <v>2053</v>
      </c>
      <c r="P27" s="179" t="s">
        <v>253</v>
      </c>
      <c r="Q27" s="180" t="str">
        <f t="shared" si="4"/>
        <v>--</v>
      </c>
      <c r="R27" s="181" t="str">
        <f t="shared" si="5"/>
        <v>NO</v>
      </c>
      <c r="S27" s="181" t="str">
        <f t="shared" si="6"/>
        <v>--</v>
      </c>
      <c r="T27" s="182">
        <f>IF(P27="P",K27*J27*ROUND(O27/60,2)*0.01,"--")</f>
        <v>1896.0272539207997</v>
      </c>
      <c r="U27" s="183" t="str">
        <f>IF(P27="RP",K27*J27*ROUND(O27/60,2)*0.01*Q27/100,"--")</f>
        <v>--</v>
      </c>
      <c r="V27" s="184" t="str">
        <f>IF(AND(P27="F",S27="NO"),K27*J27*IF(R27="SI",1.2,1),"--")</f>
        <v>--</v>
      </c>
      <c r="W27" s="185" t="str">
        <f>IF(AND(P27="F",O27&gt;=10),K27*J27*IF(R27="SI",1.2,1)*IF(O27&lt;=300,ROUND(O27/60,2),5),"--")</f>
        <v>--</v>
      </c>
      <c r="X27" s="186" t="str">
        <f>IF(AND(P27="F",O27&gt;300),(ROUND(O27/60,2)-5)*K27*J27*0.1*IF(R27="SI",1.2,1),"--")</f>
        <v>--</v>
      </c>
      <c r="Y27" s="187" t="str">
        <f>IF(AND(P27="R",S27="NO"),K27*J27*Q27/100*IF(R27="SI",1.2,1),"--")</f>
        <v>--</v>
      </c>
      <c r="Z27" s="188" t="str">
        <f>IF(AND(P27="R",O27&gt;=10),K27*J27*Q27/100*IF(R27="SI",1.2,1)*IF(O27&lt;=300,ROUND(O27/60,2),5),"--")</f>
        <v>--</v>
      </c>
      <c r="AA27" s="189" t="str">
        <f>IF(AND(P27="R",O27&gt;300),(ROUND(O27/60,2)-5)*K27*J27*0.1*Q27/100*IF(R27="SI",1.2,1),"--")</f>
        <v>--</v>
      </c>
      <c r="AB27" s="190" t="str">
        <f>IF(P27="RF",ROUND(O27/60,2)*K27*J27*0.1*IF(R27="SI",1.2,1),"--")</f>
        <v>--</v>
      </c>
      <c r="AC27" s="191" t="str">
        <f>IF(P27="RR",ROUND(O27/60,2)*K27*J27*0.1*Q27/100*IF(R27="SI",1.2,1),"--")</f>
        <v>--</v>
      </c>
      <c r="AD27" s="192" t="s">
        <v>77</v>
      </c>
      <c r="AE27" s="193">
        <v>0</v>
      </c>
      <c r="AF27" s="194"/>
    </row>
    <row r="28" spans="2:32" s="8" customFormat="1" ht="16.5" customHeight="1">
      <c r="B28" s="55"/>
      <c r="C28" s="170">
        <v>7</v>
      </c>
      <c r="D28" s="151">
        <v>245658</v>
      </c>
      <c r="E28" s="151">
        <v>5170</v>
      </c>
      <c r="F28" s="170" t="s">
        <v>297</v>
      </c>
      <c r="G28" s="171">
        <v>500</v>
      </c>
      <c r="H28" s="172">
        <v>67.45</v>
      </c>
      <c r="I28" s="171" t="s">
        <v>258</v>
      </c>
      <c r="J28" s="173">
        <f t="shared" si="0"/>
        <v>20</v>
      </c>
      <c r="K28" s="174">
        <f t="shared" si="1"/>
        <v>236.257</v>
      </c>
      <c r="L28" s="175">
        <v>40985.302083333336</v>
      </c>
      <c r="M28" s="176">
        <v>40986.729166666664</v>
      </c>
      <c r="N28" s="177">
        <f>IF(F28="","",(M28-L28)*24)</f>
        <v>34.249999999883585</v>
      </c>
      <c r="O28" s="178">
        <f>IF(F28="","",ROUND((M28-L28)*24*60,0))</f>
        <v>2055</v>
      </c>
      <c r="P28" s="179" t="s">
        <v>253</v>
      </c>
      <c r="Q28" s="180" t="str">
        <f t="shared" si="4"/>
        <v>--</v>
      </c>
      <c r="R28" s="181" t="str">
        <f t="shared" si="5"/>
        <v>NO</v>
      </c>
      <c r="S28" s="181" t="str">
        <f t="shared" si="6"/>
        <v>--</v>
      </c>
      <c r="T28" s="182">
        <f>IF(P28="P",K28*J29*ROUND(O28/60,2)*0.01,"--")</f>
        <v>16183.6045</v>
      </c>
      <c r="U28" s="183" t="str">
        <f>IF(P28="RP",K28*J29*ROUND(O28/60,2)*0.01*Q28/100,"--")</f>
        <v>--</v>
      </c>
      <c r="V28" s="184" t="str">
        <f>IF(AND(P28="F",S28="NO"),K28*J29*IF(R28="SI",1.2,1),"--")</f>
        <v>--</v>
      </c>
      <c r="W28" s="185" t="str">
        <f>IF(AND(P28="F",O28&gt;=10),K28*J29*IF(R28="SI",1.2,1)*IF(O28&lt;=300,ROUND(O28/60,2),5),"--")</f>
        <v>--</v>
      </c>
      <c r="X28" s="186" t="str">
        <f>IF(AND(P28="F",O28&gt;300),(ROUND(O28/60,2)-5)*K28*J29*0.1*IF(R28="SI",1.2,1),"--")</f>
        <v>--</v>
      </c>
      <c r="Y28" s="187" t="str">
        <f>IF(AND(P28="R",S28="NO"),K28*J29*Q28/100*IF(R28="SI",1.2,1),"--")</f>
        <v>--</v>
      </c>
      <c r="Z28" s="188" t="str">
        <f>IF(AND(P28="R",O28&gt;=10),K28*J29*Q28/100*IF(R28="SI",1.2,1)*IF(O28&lt;=300,ROUND(O28/60,2),5),"--")</f>
        <v>--</v>
      </c>
      <c r="AA28" s="189" t="str">
        <f>IF(AND(P28="R",O28&gt;300),(ROUND(O28/60,2)-5)*K28*J29*0.1*Q28/100*IF(R28="SI",1.2,1),"--")</f>
        <v>--</v>
      </c>
      <c r="AB28" s="190" t="str">
        <f>IF(P28="RF",ROUND(O28/60,2)*K28*J29*0.1*IF(R28="SI",1.2,1),"--")</f>
        <v>--</v>
      </c>
      <c r="AC28" s="191" t="str">
        <f>IF(P28="RR",ROUND(O28/60,2)*K28*J29*0.1*Q28/100*IF(R28="SI",1.2,1),"--")</f>
        <v>--</v>
      </c>
      <c r="AD28" s="192" t="s">
        <v>77</v>
      </c>
      <c r="AE28" s="193">
        <v>0</v>
      </c>
      <c r="AF28" s="194"/>
    </row>
    <row r="29" spans="2:32" s="8" customFormat="1" ht="16.5" customHeight="1">
      <c r="B29" s="55"/>
      <c r="C29" s="151">
        <v>8</v>
      </c>
      <c r="D29" s="251">
        <v>245662</v>
      </c>
      <c r="E29" s="251">
        <v>3065</v>
      </c>
      <c r="F29" s="170" t="s">
        <v>530</v>
      </c>
      <c r="G29" s="171">
        <v>500</v>
      </c>
      <c r="H29" s="172">
        <v>150</v>
      </c>
      <c r="I29" s="171" t="s">
        <v>304</v>
      </c>
      <c r="J29" s="173">
        <f t="shared" si="0"/>
        <v>200</v>
      </c>
      <c r="K29" s="174">
        <f t="shared" si="1"/>
        <v>354.38550000000004</v>
      </c>
      <c r="L29" s="175">
        <v>40986.30138888889</v>
      </c>
      <c r="M29" s="176">
        <v>40986.759722222225</v>
      </c>
      <c r="N29" s="177">
        <f>IF(F29="","",(M29-L29)*24)</f>
        <v>11.000000000058208</v>
      </c>
      <c r="O29" s="178">
        <f>IF(F29="","",ROUND((M29-L29)*24*60,0))</f>
        <v>660</v>
      </c>
      <c r="P29" s="179" t="s">
        <v>253</v>
      </c>
      <c r="Q29" s="180" t="str">
        <f t="shared" si="4"/>
        <v>--</v>
      </c>
      <c r="R29" s="181" t="str">
        <f t="shared" si="5"/>
        <v>NO</v>
      </c>
      <c r="S29" s="181" t="str">
        <f t="shared" si="6"/>
        <v>--</v>
      </c>
      <c r="T29" s="182">
        <f>IF(P29="P",K29*J30*ROUND(O29/60,2)*0.01,"--")</f>
        <v>779.6481000000001</v>
      </c>
      <c r="U29" s="183" t="str">
        <f>IF(P29="RP",K29*J30*ROUND(O29/60,2)*0.01*Q29/100,"--")</f>
        <v>--</v>
      </c>
      <c r="V29" s="184" t="str">
        <f>IF(AND(P29="F",S29="NO"),K29*J30*IF(R29="SI",1.2,1),"--")</f>
        <v>--</v>
      </c>
      <c r="W29" s="185" t="str">
        <f>IF(AND(P29="F",O29&gt;=10),K29*J30*IF(R29="SI",1.2,1)*IF(O29&lt;=300,ROUND(O29/60,2),5),"--")</f>
        <v>--</v>
      </c>
      <c r="X29" s="186" t="str">
        <f>IF(AND(P29="F",O29&gt;300),(ROUND(O29/60,2)-5)*K29*J30*0.1*IF(R29="SI",1.2,1),"--")</f>
        <v>--</v>
      </c>
      <c r="Y29" s="187" t="str">
        <f>IF(AND(P29="R",S29="NO"),K29*J30*Q29/100*IF(R29="SI",1.2,1),"--")</f>
        <v>--</v>
      </c>
      <c r="Z29" s="188" t="str">
        <f>IF(AND(P29="R",O29&gt;=10),K29*J30*Q29/100*IF(R29="SI",1.2,1)*IF(O29&lt;=300,ROUND(O29/60,2),5),"--")</f>
        <v>--</v>
      </c>
      <c r="AA29" s="189" t="str">
        <f>IF(AND(P29="R",O29&gt;300),(ROUND(O29/60,2)-5)*K29*J30*0.1*Q29/100*IF(R29="SI",1.2,1),"--")</f>
        <v>--</v>
      </c>
      <c r="AB29" s="190" t="str">
        <f>IF(P29="RF",ROUND(O29/60,2)*K29*J30*0.1*IF(R29="SI",1.2,1),"--")</f>
        <v>--</v>
      </c>
      <c r="AC29" s="191" t="str">
        <f>IF(P29="RR",ROUND(O29/60,2)*K29*J30*0.1*Q29/100*IF(R29="SI",1.2,1),"--")</f>
        <v>--</v>
      </c>
      <c r="AD29" s="192" t="s">
        <v>77</v>
      </c>
      <c r="AE29" s="193">
        <f t="shared" si="17"/>
        <v>779.6481000000001</v>
      </c>
      <c r="AF29" s="194"/>
    </row>
    <row r="30" spans="2:32" s="8" customFormat="1" ht="16.5" customHeight="1">
      <c r="B30" s="55"/>
      <c r="C30" s="170">
        <v>9</v>
      </c>
      <c r="D30" s="170">
        <v>245663</v>
      </c>
      <c r="E30" s="170">
        <v>6</v>
      </c>
      <c r="F30" s="197" t="s">
        <v>257</v>
      </c>
      <c r="G30" s="198">
        <v>500</v>
      </c>
      <c r="H30" s="199">
        <v>76</v>
      </c>
      <c r="I30" s="198" t="s">
        <v>258</v>
      </c>
      <c r="J30" s="173">
        <f t="shared" si="0"/>
        <v>20</v>
      </c>
      <c r="K30" s="174">
        <f t="shared" si="1"/>
        <v>236.257</v>
      </c>
      <c r="L30" s="200">
        <v>40986.407638888886</v>
      </c>
      <c r="M30" s="201">
        <v>40986.51736111111</v>
      </c>
      <c r="N30" s="177">
        <f t="shared" si="2"/>
        <v>2.633333333360497</v>
      </c>
      <c r="O30" s="178">
        <f t="shared" si="3"/>
        <v>158</v>
      </c>
      <c r="P30" s="179" t="s">
        <v>253</v>
      </c>
      <c r="Q30" s="180" t="str">
        <f t="shared" si="4"/>
        <v>--</v>
      </c>
      <c r="R30" s="181" t="str">
        <f t="shared" si="5"/>
        <v>NO</v>
      </c>
      <c r="S30" s="181" t="str">
        <f t="shared" si="6"/>
        <v>--</v>
      </c>
      <c r="T30" s="182">
        <f t="shared" si="7"/>
        <v>124.27118200000001</v>
      </c>
      <c r="U30" s="183" t="str">
        <f t="shared" si="8"/>
        <v>--</v>
      </c>
      <c r="V30" s="184" t="str">
        <f t="shared" si="9"/>
        <v>--</v>
      </c>
      <c r="W30" s="185" t="str">
        <f t="shared" si="10"/>
        <v>--</v>
      </c>
      <c r="X30" s="186" t="str">
        <f t="shared" si="11"/>
        <v>--</v>
      </c>
      <c r="Y30" s="187" t="str">
        <f t="shared" si="12"/>
        <v>--</v>
      </c>
      <c r="Z30" s="188" t="str">
        <f t="shared" si="13"/>
        <v>--</v>
      </c>
      <c r="AA30" s="189" t="str">
        <f t="shared" si="14"/>
        <v>--</v>
      </c>
      <c r="AB30" s="190" t="str">
        <f t="shared" si="15"/>
        <v>--</v>
      </c>
      <c r="AC30" s="191" t="str">
        <f t="shared" si="16"/>
        <v>--</v>
      </c>
      <c r="AD30" s="192" t="s">
        <v>77</v>
      </c>
      <c r="AE30" s="193">
        <f t="shared" si="17"/>
        <v>124.27118200000001</v>
      </c>
      <c r="AF30" s="194"/>
    </row>
    <row r="31" spans="2:32" s="8" customFormat="1" ht="16.5" customHeight="1">
      <c r="B31" s="55"/>
      <c r="C31" s="151">
        <v>10</v>
      </c>
      <c r="D31" s="151">
        <v>245664</v>
      </c>
      <c r="E31" s="151">
        <v>5</v>
      </c>
      <c r="F31" s="197" t="s">
        <v>259</v>
      </c>
      <c r="G31" s="198">
        <v>500</v>
      </c>
      <c r="H31" s="199">
        <v>76</v>
      </c>
      <c r="I31" s="198" t="s">
        <v>258</v>
      </c>
      <c r="J31" s="173">
        <f t="shared" si="0"/>
        <v>20</v>
      </c>
      <c r="K31" s="174">
        <f t="shared" si="1"/>
        <v>236.257</v>
      </c>
      <c r="L31" s="200">
        <v>40986.529861111114</v>
      </c>
      <c r="M31" s="201">
        <v>40986.68819444445</v>
      </c>
      <c r="N31" s="177">
        <f t="shared" si="2"/>
        <v>3.7999999999883585</v>
      </c>
      <c r="O31" s="178">
        <f t="shared" si="3"/>
        <v>228</v>
      </c>
      <c r="P31" s="179" t="s">
        <v>253</v>
      </c>
      <c r="Q31" s="180" t="str">
        <f t="shared" si="4"/>
        <v>--</v>
      </c>
      <c r="R31" s="181" t="str">
        <f t="shared" si="5"/>
        <v>NO</v>
      </c>
      <c r="S31" s="181" t="str">
        <f t="shared" si="6"/>
        <v>--</v>
      </c>
      <c r="T31" s="182">
        <f t="shared" si="7"/>
        <v>179.55532</v>
      </c>
      <c r="U31" s="183" t="str">
        <f t="shared" si="8"/>
        <v>--</v>
      </c>
      <c r="V31" s="184" t="str">
        <f t="shared" si="9"/>
        <v>--</v>
      </c>
      <c r="W31" s="185" t="str">
        <f t="shared" si="10"/>
        <v>--</v>
      </c>
      <c r="X31" s="186" t="str">
        <f t="shared" si="11"/>
        <v>--</v>
      </c>
      <c r="Y31" s="187" t="str">
        <f t="shared" si="12"/>
        <v>--</v>
      </c>
      <c r="Z31" s="188" t="str">
        <f t="shared" si="13"/>
        <v>--</v>
      </c>
      <c r="AA31" s="189" t="str">
        <f t="shared" si="14"/>
        <v>--</v>
      </c>
      <c r="AB31" s="190" t="str">
        <f t="shared" si="15"/>
        <v>--</v>
      </c>
      <c r="AC31" s="191" t="str">
        <f t="shared" si="16"/>
        <v>--</v>
      </c>
      <c r="AD31" s="192" t="s">
        <v>77</v>
      </c>
      <c r="AE31" s="193">
        <f t="shared" si="17"/>
        <v>179.55532</v>
      </c>
      <c r="AF31" s="194"/>
    </row>
    <row r="32" spans="2:32" s="8" customFormat="1" ht="16.5" customHeight="1">
      <c r="B32" s="55"/>
      <c r="C32" s="170">
        <v>11</v>
      </c>
      <c r="D32" s="170">
        <v>245857</v>
      </c>
      <c r="E32" s="170">
        <v>5170</v>
      </c>
      <c r="F32" s="197" t="s">
        <v>297</v>
      </c>
      <c r="G32" s="198">
        <v>500</v>
      </c>
      <c r="H32" s="172">
        <v>67.45</v>
      </c>
      <c r="I32" s="198" t="s">
        <v>258</v>
      </c>
      <c r="J32" s="173">
        <f t="shared" si="0"/>
        <v>20</v>
      </c>
      <c r="K32" s="174">
        <f t="shared" si="1"/>
        <v>236.257</v>
      </c>
      <c r="L32" s="200">
        <v>40987.79236111111</v>
      </c>
      <c r="M32" s="201">
        <v>40987.79791666667</v>
      </c>
      <c r="N32" s="177">
        <f>IF(F32="","",(M32-L32)*24)</f>
        <v>0.13333333341870457</v>
      </c>
      <c r="O32" s="178">
        <f>IF(F32="","",ROUND((M32-L32)*24*60,0))</f>
        <v>8</v>
      </c>
      <c r="P32" s="179" t="s">
        <v>256</v>
      </c>
      <c r="Q32" s="180" t="str">
        <f t="shared" si="4"/>
        <v>--</v>
      </c>
      <c r="R32" s="181" t="str">
        <f t="shared" si="5"/>
        <v>NO</v>
      </c>
      <c r="S32" s="181" t="str">
        <f t="shared" si="6"/>
        <v>NO</v>
      </c>
      <c r="T32" s="182" t="str">
        <f>IF(P32="P",K32*J32*ROUND(O32/60,2)*0.01,"--")</f>
        <v>--</v>
      </c>
      <c r="U32" s="183" t="str">
        <f>IF(P32="RP",K32*J32*ROUND(O32/60,2)*0.01*Q32/100,"--")</f>
        <v>--</v>
      </c>
      <c r="V32" s="184">
        <f>IF(AND(P32="F",S32="NO"),K32*J32*IF(R32="SI",1.2,1),"--")</f>
        <v>4725.14</v>
      </c>
      <c r="W32" s="185" t="str">
        <f>IF(AND(P32="F",O32&gt;=10),K32*J32*IF(R32="SI",1.2,1)*IF(O32&lt;=300,ROUND(O32/60,2),5),"--")</f>
        <v>--</v>
      </c>
      <c r="X32" s="186" t="str">
        <f>IF(AND(P32="F",O32&gt;300),(ROUND(O32/60,2)-5)*K32*J32*0.1*IF(R32="SI",1.2,1),"--")</f>
        <v>--</v>
      </c>
      <c r="Y32" s="187" t="str">
        <f>IF(AND(P32="R",S32="NO"),K32*J32*Q32/100*IF(R32="SI",1.2,1),"--")</f>
        <v>--</v>
      </c>
      <c r="Z32" s="188" t="str">
        <f>IF(AND(P32="R",O32&gt;=10),K32*J32*Q32/100*IF(R32="SI",1.2,1)*IF(O32&lt;=300,ROUND(O32/60,2),5),"--")</f>
        <v>--</v>
      </c>
      <c r="AA32" s="189" t="str">
        <f>IF(AND(P32="R",O32&gt;300),(ROUND(O32/60,2)-5)*K32*J32*0.1*Q32/100*IF(R32="SI",1.2,1),"--")</f>
        <v>--</v>
      </c>
      <c r="AB32" s="190" t="str">
        <f>IF(P32="RF",ROUND(O32/60,2)*K32*J32*0.1*IF(R32="SI",1.2,1),"--")</f>
        <v>--</v>
      </c>
      <c r="AC32" s="191" t="str">
        <f>IF(P32="RR",ROUND(O32/60,2)*K32*J32*0.1*Q32/100*IF(R32="SI",1.2,1),"--")</f>
        <v>--</v>
      </c>
      <c r="AD32" s="192" t="s">
        <v>77</v>
      </c>
      <c r="AE32" s="193">
        <f t="shared" si="17"/>
        <v>4725.14</v>
      </c>
      <c r="AF32" s="194"/>
    </row>
    <row r="33" spans="2:32" s="8" customFormat="1" ht="16.5" customHeight="1">
      <c r="B33" s="55"/>
      <c r="C33" s="151">
        <v>12</v>
      </c>
      <c r="D33" s="170">
        <v>245867</v>
      </c>
      <c r="E33" s="170">
        <v>24</v>
      </c>
      <c r="F33" s="197" t="s">
        <v>305</v>
      </c>
      <c r="G33" s="198">
        <v>500</v>
      </c>
      <c r="H33" s="199">
        <v>255</v>
      </c>
      <c r="I33" s="198" t="s">
        <v>255</v>
      </c>
      <c r="J33" s="173">
        <f t="shared" si="0"/>
        <v>60</v>
      </c>
      <c r="K33" s="174">
        <f t="shared" si="1"/>
        <v>602.4553500000001</v>
      </c>
      <c r="L33" s="200">
        <v>40992.40555555555</v>
      </c>
      <c r="M33" s="201">
        <v>40992.44027777778</v>
      </c>
      <c r="N33" s="177">
        <f>IF(F33="","",(M33-L33)*24)</f>
        <v>0.8333333334303461</v>
      </c>
      <c r="O33" s="178">
        <f>IF(F33="","",ROUND((M33-L33)*24*60,0))</f>
        <v>50</v>
      </c>
      <c r="P33" s="179" t="s">
        <v>253</v>
      </c>
      <c r="Q33" s="180"/>
      <c r="R33" s="181" t="str">
        <f t="shared" si="5"/>
        <v>NO</v>
      </c>
      <c r="S33" s="181" t="str">
        <f t="shared" si="6"/>
        <v>--</v>
      </c>
      <c r="T33" s="182">
        <f>IF(P33="P",K33*J33*ROUND(O33/60,2)*0.01,"--")</f>
        <v>300.0227643</v>
      </c>
      <c r="U33" s="183" t="str">
        <f>IF(P33="RP",K33*J33*ROUND(O33/60,2)*0.01*Q33/100,"--")</f>
        <v>--</v>
      </c>
      <c r="V33" s="184" t="str">
        <f>IF(AND(P33="F",S33="NO"),K33*J33*IF(R33="SI",1.2,1),"--")</f>
        <v>--</v>
      </c>
      <c r="W33" s="185" t="str">
        <f>IF(AND(P33="F",O33&gt;=10),K33*J33*IF(R33="SI",1.2,1)*IF(O33&lt;=300,ROUND(O33/60,2),5),"--")</f>
        <v>--</v>
      </c>
      <c r="X33" s="186" t="str">
        <f>IF(AND(P33="F",O33&gt;300),(ROUND(O33/60,2)-5)*K33*J33*0.1*IF(R33="SI",1.2,1),"--")</f>
        <v>--</v>
      </c>
      <c r="Y33" s="187" t="str">
        <f>IF(AND(P33="R",S33="NO"),K33*J33*Q33/100*IF(R33="SI",1.2,1),"--")</f>
        <v>--</v>
      </c>
      <c r="Z33" s="188" t="str">
        <f>IF(AND(P33="R",O33&gt;=10),K33*J33*Q33/100*IF(R33="SI",1.2,1)*IF(O33&lt;=300,ROUND(O33/60,2),5),"--")</f>
        <v>--</v>
      </c>
      <c r="AA33" s="189" t="str">
        <f>IF(AND(P33="R",O33&gt;300),(ROUND(O33/60,2)-5)*K33*J33*0.1*Q33/100*IF(R33="SI",1.2,1),"--")</f>
        <v>--</v>
      </c>
      <c r="AB33" s="190" t="str">
        <f>IF(P33="RF",ROUND(O33/60,2)*K33*J33*0.1*IF(R33="SI",1.2,1),"--")</f>
        <v>--</v>
      </c>
      <c r="AC33" s="191" t="str">
        <f>IF(P33="RR",ROUND(O33/60,2)*K33*J33*0.1*Q33/100*IF(R33="SI",1.2,1),"--")</f>
        <v>--</v>
      </c>
      <c r="AD33" s="192" t="s">
        <v>77</v>
      </c>
      <c r="AE33" s="193">
        <f t="shared" si="17"/>
        <v>300.0227643</v>
      </c>
      <c r="AF33" s="194"/>
    </row>
    <row r="34" spans="2:32" s="8" customFormat="1" ht="16.5" customHeight="1">
      <c r="B34" s="55"/>
      <c r="C34" s="170">
        <v>13</v>
      </c>
      <c r="D34" s="151">
        <v>246066</v>
      </c>
      <c r="E34" s="151">
        <v>3525</v>
      </c>
      <c r="F34" s="197" t="s">
        <v>260</v>
      </c>
      <c r="G34" s="198">
        <v>500</v>
      </c>
      <c r="H34" s="199">
        <v>52</v>
      </c>
      <c r="I34" s="198" t="s">
        <v>258</v>
      </c>
      <c r="J34" s="173">
        <f t="shared" si="0"/>
        <v>20</v>
      </c>
      <c r="K34" s="174">
        <f t="shared" si="1"/>
        <v>236.257</v>
      </c>
      <c r="L34" s="200">
        <v>40998.4</v>
      </c>
      <c r="M34" s="201">
        <v>40998.75486111111</v>
      </c>
      <c r="N34" s="177">
        <f t="shared" si="2"/>
        <v>8.516666666662786</v>
      </c>
      <c r="O34" s="178">
        <f t="shared" si="3"/>
        <v>511</v>
      </c>
      <c r="P34" s="179" t="s">
        <v>253</v>
      </c>
      <c r="Q34" s="180" t="str">
        <f t="shared" si="4"/>
        <v>--</v>
      </c>
      <c r="R34" s="181" t="str">
        <f t="shared" si="5"/>
        <v>NO</v>
      </c>
      <c r="S34" s="181" t="str">
        <f t="shared" si="6"/>
        <v>--</v>
      </c>
      <c r="T34" s="182">
        <f t="shared" si="7"/>
        <v>402.58192800000006</v>
      </c>
      <c r="U34" s="183" t="str">
        <f t="shared" si="8"/>
        <v>--</v>
      </c>
      <c r="V34" s="184" t="str">
        <f t="shared" si="9"/>
        <v>--</v>
      </c>
      <c r="W34" s="185" t="str">
        <f t="shared" si="10"/>
        <v>--</v>
      </c>
      <c r="X34" s="186" t="str">
        <f t="shared" si="11"/>
        <v>--</v>
      </c>
      <c r="Y34" s="187" t="str">
        <f t="shared" si="12"/>
        <v>--</v>
      </c>
      <c r="Z34" s="188" t="str">
        <f t="shared" si="13"/>
        <v>--</v>
      </c>
      <c r="AA34" s="189" t="str">
        <f t="shared" si="14"/>
        <v>--</v>
      </c>
      <c r="AB34" s="190" t="str">
        <f t="shared" si="15"/>
        <v>--</v>
      </c>
      <c r="AC34" s="191" t="str">
        <f t="shared" si="16"/>
        <v>--</v>
      </c>
      <c r="AD34" s="192" t="s">
        <v>77</v>
      </c>
      <c r="AE34" s="193">
        <f t="shared" si="17"/>
        <v>402.58192800000006</v>
      </c>
      <c r="AF34" s="194"/>
    </row>
    <row r="35" spans="2:32" s="8" customFormat="1" ht="16.5" customHeight="1">
      <c r="B35" s="55"/>
      <c r="C35" s="151">
        <v>14</v>
      </c>
      <c r="D35" s="170">
        <v>246069</v>
      </c>
      <c r="E35" s="170">
        <v>3066</v>
      </c>
      <c r="F35" s="197" t="s">
        <v>306</v>
      </c>
      <c r="G35" s="198">
        <v>500</v>
      </c>
      <c r="H35" s="199">
        <v>257</v>
      </c>
      <c r="I35" s="198" t="s">
        <v>304</v>
      </c>
      <c r="J35" s="173">
        <f t="shared" si="0"/>
        <v>200</v>
      </c>
      <c r="K35" s="174">
        <f t="shared" si="1"/>
        <v>607.18049</v>
      </c>
      <c r="L35" s="200">
        <v>40999.37847222222</v>
      </c>
      <c r="M35" s="201">
        <v>40999.77638888889</v>
      </c>
      <c r="N35" s="177">
        <f t="shared" si="2"/>
        <v>9.550000000046566</v>
      </c>
      <c r="O35" s="178">
        <f t="shared" si="3"/>
        <v>573</v>
      </c>
      <c r="P35" s="179" t="s">
        <v>253</v>
      </c>
      <c r="Q35" s="180" t="str">
        <f t="shared" si="4"/>
        <v>--</v>
      </c>
      <c r="R35" s="181" t="str">
        <f t="shared" si="5"/>
        <v>NO</v>
      </c>
      <c r="S35" s="181" t="str">
        <f t="shared" si="6"/>
        <v>--</v>
      </c>
      <c r="T35" s="182">
        <f t="shared" si="7"/>
        <v>11597.147359</v>
      </c>
      <c r="U35" s="183" t="str">
        <f t="shared" si="8"/>
        <v>--</v>
      </c>
      <c r="V35" s="184" t="str">
        <f t="shared" si="9"/>
        <v>--</v>
      </c>
      <c r="W35" s="185" t="str">
        <f t="shared" si="10"/>
        <v>--</v>
      </c>
      <c r="X35" s="186" t="str">
        <f t="shared" si="11"/>
        <v>--</v>
      </c>
      <c r="Y35" s="187" t="str">
        <f t="shared" si="12"/>
        <v>--</v>
      </c>
      <c r="Z35" s="188" t="str">
        <f t="shared" si="13"/>
        <v>--</v>
      </c>
      <c r="AA35" s="189" t="str">
        <f t="shared" si="14"/>
        <v>--</v>
      </c>
      <c r="AB35" s="190" t="str">
        <f t="shared" si="15"/>
        <v>--</v>
      </c>
      <c r="AC35" s="191" t="str">
        <f t="shared" si="16"/>
        <v>--</v>
      </c>
      <c r="AD35" s="192" t="str">
        <f aca="true" t="shared" si="18" ref="AD35:AD44">IF(F35="","","SI")</f>
        <v>SI</v>
      </c>
      <c r="AE35" s="193">
        <f t="shared" si="17"/>
        <v>11597.147359</v>
      </c>
      <c r="AF35" s="194"/>
    </row>
    <row r="36" spans="2:32" s="8" customFormat="1" ht="16.5" customHeight="1">
      <c r="B36" s="55"/>
      <c r="C36" s="151"/>
      <c r="D36" s="151"/>
      <c r="E36" s="151"/>
      <c r="F36" s="197"/>
      <c r="G36" s="198"/>
      <c r="H36" s="199"/>
      <c r="I36" s="198"/>
      <c r="J36" s="173">
        <f t="shared" si="0"/>
        <v>20</v>
      </c>
      <c r="K36" s="174">
        <f t="shared" si="1"/>
        <v>196.885</v>
      </c>
      <c r="L36" s="200"/>
      <c r="M36" s="202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182" t="str">
        <f t="shared" si="7"/>
        <v>--</v>
      </c>
      <c r="U36" s="183" t="str">
        <f t="shared" si="8"/>
        <v>--</v>
      </c>
      <c r="V36" s="184" t="str">
        <f t="shared" si="9"/>
        <v>--</v>
      </c>
      <c r="W36" s="185" t="str">
        <f t="shared" si="10"/>
        <v>--</v>
      </c>
      <c r="X36" s="186" t="str">
        <f t="shared" si="11"/>
        <v>--</v>
      </c>
      <c r="Y36" s="187" t="str">
        <f t="shared" si="12"/>
        <v>--</v>
      </c>
      <c r="Z36" s="188" t="str">
        <f t="shared" si="13"/>
        <v>--</v>
      </c>
      <c r="AA36" s="189" t="str">
        <f t="shared" si="14"/>
        <v>--</v>
      </c>
      <c r="AB36" s="190" t="str">
        <f t="shared" si="15"/>
        <v>--</v>
      </c>
      <c r="AC36" s="191" t="str">
        <f t="shared" si="16"/>
        <v>--</v>
      </c>
      <c r="AD36" s="192">
        <f t="shared" si="18"/>
      </c>
      <c r="AE36" s="193">
        <f t="shared" si="17"/>
      </c>
      <c r="AF36" s="194"/>
    </row>
    <row r="37" spans="2:32" s="8" customFormat="1" ht="16.5" customHeight="1">
      <c r="B37" s="55"/>
      <c r="C37" s="170"/>
      <c r="D37" s="170"/>
      <c r="E37" s="170"/>
      <c r="F37" s="197"/>
      <c r="G37" s="198"/>
      <c r="H37" s="199"/>
      <c r="I37" s="198"/>
      <c r="J37" s="173">
        <f t="shared" si="0"/>
        <v>20</v>
      </c>
      <c r="K37" s="174">
        <f t="shared" si="1"/>
        <v>196.885</v>
      </c>
      <c r="L37" s="200"/>
      <c r="M37" s="202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182" t="str">
        <f t="shared" si="7"/>
        <v>--</v>
      </c>
      <c r="U37" s="183" t="str">
        <f t="shared" si="8"/>
        <v>--</v>
      </c>
      <c r="V37" s="184" t="str">
        <f t="shared" si="9"/>
        <v>--</v>
      </c>
      <c r="W37" s="185" t="str">
        <f t="shared" si="10"/>
        <v>--</v>
      </c>
      <c r="X37" s="186" t="str">
        <f t="shared" si="11"/>
        <v>--</v>
      </c>
      <c r="Y37" s="187" t="str">
        <f t="shared" si="12"/>
        <v>--</v>
      </c>
      <c r="Z37" s="188" t="str">
        <f t="shared" si="13"/>
        <v>--</v>
      </c>
      <c r="AA37" s="189" t="str">
        <f t="shared" si="14"/>
        <v>--</v>
      </c>
      <c r="AB37" s="190" t="str">
        <f t="shared" si="15"/>
        <v>--</v>
      </c>
      <c r="AC37" s="191" t="str">
        <f t="shared" si="16"/>
        <v>--</v>
      </c>
      <c r="AD37" s="192">
        <f t="shared" si="18"/>
      </c>
      <c r="AE37" s="193">
        <f t="shared" si="17"/>
      </c>
      <c r="AF37" s="194"/>
    </row>
    <row r="38" spans="2:32" s="8" customFormat="1" ht="16.5" customHeight="1">
      <c r="B38" s="55"/>
      <c r="C38" s="151"/>
      <c r="D38" s="151"/>
      <c r="E38" s="151"/>
      <c r="F38" s="197"/>
      <c r="G38" s="198"/>
      <c r="H38" s="199"/>
      <c r="I38" s="198"/>
      <c r="J38" s="173">
        <f t="shared" si="0"/>
        <v>20</v>
      </c>
      <c r="K38" s="174">
        <f t="shared" si="1"/>
        <v>196.885</v>
      </c>
      <c r="L38" s="200"/>
      <c r="M38" s="202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182" t="str">
        <f t="shared" si="7"/>
        <v>--</v>
      </c>
      <c r="U38" s="183" t="str">
        <f t="shared" si="8"/>
        <v>--</v>
      </c>
      <c r="V38" s="184" t="str">
        <f t="shared" si="9"/>
        <v>--</v>
      </c>
      <c r="W38" s="185" t="str">
        <f t="shared" si="10"/>
        <v>--</v>
      </c>
      <c r="X38" s="186" t="str">
        <f t="shared" si="11"/>
        <v>--</v>
      </c>
      <c r="Y38" s="187" t="str">
        <f t="shared" si="12"/>
        <v>--</v>
      </c>
      <c r="Z38" s="188" t="str">
        <f t="shared" si="13"/>
        <v>--</v>
      </c>
      <c r="AA38" s="189" t="str">
        <f t="shared" si="14"/>
        <v>--</v>
      </c>
      <c r="AB38" s="190" t="str">
        <f t="shared" si="15"/>
        <v>--</v>
      </c>
      <c r="AC38" s="191" t="str">
        <f t="shared" si="16"/>
        <v>--</v>
      </c>
      <c r="AD38" s="192">
        <f t="shared" si="18"/>
      </c>
      <c r="AE38" s="193">
        <f t="shared" si="17"/>
      </c>
      <c r="AF38" s="194"/>
    </row>
    <row r="39" spans="2:32" s="8" customFormat="1" ht="16.5" customHeight="1">
      <c r="B39" s="55"/>
      <c r="C39" s="170"/>
      <c r="D39" s="170"/>
      <c r="E39" s="170"/>
      <c r="F39" s="197"/>
      <c r="G39" s="198"/>
      <c r="H39" s="199"/>
      <c r="I39" s="198"/>
      <c r="J39" s="173">
        <f t="shared" si="0"/>
        <v>20</v>
      </c>
      <c r="K39" s="174">
        <f t="shared" si="1"/>
        <v>196.885</v>
      </c>
      <c r="L39" s="200"/>
      <c r="M39" s="202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182" t="str">
        <f t="shared" si="7"/>
        <v>--</v>
      </c>
      <c r="U39" s="183" t="str">
        <f t="shared" si="8"/>
        <v>--</v>
      </c>
      <c r="V39" s="184" t="str">
        <f t="shared" si="9"/>
        <v>--</v>
      </c>
      <c r="W39" s="185" t="str">
        <f t="shared" si="10"/>
        <v>--</v>
      </c>
      <c r="X39" s="186" t="str">
        <f t="shared" si="11"/>
        <v>--</v>
      </c>
      <c r="Y39" s="187" t="str">
        <f t="shared" si="12"/>
        <v>--</v>
      </c>
      <c r="Z39" s="188" t="str">
        <f t="shared" si="13"/>
        <v>--</v>
      </c>
      <c r="AA39" s="189" t="str">
        <f t="shared" si="14"/>
        <v>--</v>
      </c>
      <c r="AB39" s="190" t="str">
        <f t="shared" si="15"/>
        <v>--</v>
      </c>
      <c r="AC39" s="191" t="str">
        <f t="shared" si="16"/>
        <v>--</v>
      </c>
      <c r="AD39" s="192">
        <f t="shared" si="18"/>
      </c>
      <c r="AE39" s="193">
        <f t="shared" si="17"/>
      </c>
      <c r="AF39" s="194"/>
    </row>
    <row r="40" spans="2:32" s="8" customFormat="1" ht="16.5" customHeight="1">
      <c r="B40" s="55"/>
      <c r="C40" s="151"/>
      <c r="D40" s="151"/>
      <c r="E40" s="151"/>
      <c r="F40" s="197"/>
      <c r="G40" s="198"/>
      <c r="H40" s="199"/>
      <c r="I40" s="198"/>
      <c r="J40" s="173">
        <f t="shared" si="0"/>
        <v>20</v>
      </c>
      <c r="K40" s="174">
        <f t="shared" si="1"/>
        <v>196.885</v>
      </c>
      <c r="L40" s="200"/>
      <c r="M40" s="202"/>
      <c r="N40" s="177">
        <f t="shared" si="2"/>
      </c>
      <c r="O40" s="178">
        <f t="shared" si="3"/>
      </c>
      <c r="P40" s="179"/>
      <c r="Q40" s="180">
        <f t="shared" si="4"/>
      </c>
      <c r="R40" s="181">
        <f t="shared" si="5"/>
      </c>
      <c r="S40" s="181">
        <f t="shared" si="6"/>
      </c>
      <c r="T40" s="182" t="str">
        <f t="shared" si="7"/>
        <v>--</v>
      </c>
      <c r="U40" s="183" t="str">
        <f t="shared" si="8"/>
        <v>--</v>
      </c>
      <c r="V40" s="184" t="str">
        <f t="shared" si="9"/>
        <v>--</v>
      </c>
      <c r="W40" s="185" t="str">
        <f t="shared" si="10"/>
        <v>--</v>
      </c>
      <c r="X40" s="186" t="str">
        <f t="shared" si="11"/>
        <v>--</v>
      </c>
      <c r="Y40" s="187" t="str">
        <f t="shared" si="12"/>
        <v>--</v>
      </c>
      <c r="Z40" s="188" t="str">
        <f t="shared" si="13"/>
        <v>--</v>
      </c>
      <c r="AA40" s="189" t="str">
        <f t="shared" si="14"/>
        <v>--</v>
      </c>
      <c r="AB40" s="190" t="str">
        <f t="shared" si="15"/>
        <v>--</v>
      </c>
      <c r="AC40" s="191" t="str">
        <f t="shared" si="16"/>
        <v>--</v>
      </c>
      <c r="AD40" s="192">
        <f t="shared" si="18"/>
      </c>
      <c r="AE40" s="193">
        <f t="shared" si="17"/>
      </c>
      <c r="AF40" s="194"/>
    </row>
    <row r="41" spans="2:32" s="8" customFormat="1" ht="16.5" customHeight="1">
      <c r="B41" s="55"/>
      <c r="C41" s="170"/>
      <c r="D41" s="170"/>
      <c r="E41" s="170"/>
      <c r="F41" s="197"/>
      <c r="G41" s="198"/>
      <c r="H41" s="199"/>
      <c r="I41" s="198"/>
      <c r="J41" s="173">
        <f t="shared" si="0"/>
        <v>20</v>
      </c>
      <c r="K41" s="174">
        <f t="shared" si="1"/>
        <v>196.885</v>
      </c>
      <c r="L41" s="200"/>
      <c r="M41" s="202"/>
      <c r="N41" s="177">
        <f t="shared" si="2"/>
      </c>
      <c r="O41" s="178">
        <f t="shared" si="3"/>
      </c>
      <c r="P41" s="179"/>
      <c r="Q41" s="180">
        <f t="shared" si="4"/>
      </c>
      <c r="R41" s="181">
        <f t="shared" si="5"/>
      </c>
      <c r="S41" s="181">
        <f t="shared" si="6"/>
      </c>
      <c r="T41" s="182" t="str">
        <f t="shared" si="7"/>
        <v>--</v>
      </c>
      <c r="U41" s="183" t="str">
        <f t="shared" si="8"/>
        <v>--</v>
      </c>
      <c r="V41" s="184" t="str">
        <f t="shared" si="9"/>
        <v>--</v>
      </c>
      <c r="W41" s="185" t="str">
        <f t="shared" si="10"/>
        <v>--</v>
      </c>
      <c r="X41" s="186" t="str">
        <f t="shared" si="11"/>
        <v>--</v>
      </c>
      <c r="Y41" s="187" t="str">
        <f t="shared" si="12"/>
        <v>--</v>
      </c>
      <c r="Z41" s="188" t="str">
        <f t="shared" si="13"/>
        <v>--</v>
      </c>
      <c r="AA41" s="189" t="str">
        <f t="shared" si="14"/>
        <v>--</v>
      </c>
      <c r="AB41" s="190" t="str">
        <f t="shared" si="15"/>
        <v>--</v>
      </c>
      <c r="AC41" s="191" t="str">
        <f t="shared" si="16"/>
        <v>--</v>
      </c>
      <c r="AD41" s="192">
        <f t="shared" si="18"/>
      </c>
      <c r="AE41" s="193">
        <f t="shared" si="17"/>
      </c>
      <c r="AF41" s="194"/>
    </row>
    <row r="42" spans="2:32" s="8" customFormat="1" ht="16.5" customHeight="1">
      <c r="B42" s="55"/>
      <c r="C42" s="151"/>
      <c r="D42" s="151"/>
      <c r="E42" s="151"/>
      <c r="F42" s="197"/>
      <c r="G42" s="198"/>
      <c r="H42" s="199"/>
      <c r="I42" s="198"/>
      <c r="J42" s="173">
        <f t="shared" si="0"/>
        <v>20</v>
      </c>
      <c r="K42" s="174">
        <f t="shared" si="1"/>
        <v>196.885</v>
      </c>
      <c r="L42" s="200"/>
      <c r="M42" s="202"/>
      <c r="N42" s="177">
        <f t="shared" si="2"/>
      </c>
      <c r="O42" s="178">
        <f t="shared" si="3"/>
      </c>
      <c r="P42" s="179"/>
      <c r="Q42" s="180">
        <f t="shared" si="4"/>
      </c>
      <c r="R42" s="181">
        <f t="shared" si="5"/>
      </c>
      <c r="S42" s="181">
        <f t="shared" si="6"/>
      </c>
      <c r="T42" s="182" t="str">
        <f t="shared" si="7"/>
        <v>--</v>
      </c>
      <c r="U42" s="183" t="str">
        <f t="shared" si="8"/>
        <v>--</v>
      </c>
      <c r="V42" s="184" t="str">
        <f t="shared" si="9"/>
        <v>--</v>
      </c>
      <c r="W42" s="185" t="str">
        <f t="shared" si="10"/>
        <v>--</v>
      </c>
      <c r="X42" s="186" t="str">
        <f t="shared" si="11"/>
        <v>--</v>
      </c>
      <c r="Y42" s="187" t="str">
        <f t="shared" si="12"/>
        <v>--</v>
      </c>
      <c r="Z42" s="188" t="str">
        <f t="shared" si="13"/>
        <v>--</v>
      </c>
      <c r="AA42" s="189" t="str">
        <f t="shared" si="14"/>
        <v>--</v>
      </c>
      <c r="AB42" s="190" t="str">
        <f t="shared" si="15"/>
        <v>--</v>
      </c>
      <c r="AC42" s="191" t="str">
        <f t="shared" si="16"/>
        <v>--</v>
      </c>
      <c r="AD42" s="192">
        <f t="shared" si="18"/>
      </c>
      <c r="AE42" s="193">
        <f t="shared" si="17"/>
      </c>
      <c r="AF42" s="194"/>
    </row>
    <row r="43" spans="2:32" s="8" customFormat="1" ht="16.5" customHeight="1">
      <c r="B43" s="55"/>
      <c r="C43" s="170"/>
      <c r="D43" s="170"/>
      <c r="E43" s="170"/>
      <c r="F43" s="197"/>
      <c r="G43" s="198"/>
      <c r="H43" s="199"/>
      <c r="I43" s="198"/>
      <c r="J43" s="173">
        <f t="shared" si="0"/>
        <v>20</v>
      </c>
      <c r="K43" s="174">
        <f t="shared" si="1"/>
        <v>196.885</v>
      </c>
      <c r="L43" s="200"/>
      <c r="M43" s="202"/>
      <c r="N43" s="177">
        <f t="shared" si="2"/>
      </c>
      <c r="O43" s="178">
        <f t="shared" si="3"/>
      </c>
      <c r="P43" s="179"/>
      <c r="Q43" s="180">
        <f t="shared" si="4"/>
      </c>
      <c r="R43" s="181">
        <f t="shared" si="5"/>
      </c>
      <c r="S43" s="181">
        <f t="shared" si="6"/>
      </c>
      <c r="T43" s="182" t="str">
        <f t="shared" si="7"/>
        <v>--</v>
      </c>
      <c r="U43" s="183" t="str">
        <f t="shared" si="8"/>
        <v>--</v>
      </c>
      <c r="V43" s="184" t="str">
        <f t="shared" si="9"/>
        <v>--</v>
      </c>
      <c r="W43" s="185" t="str">
        <f t="shared" si="10"/>
        <v>--</v>
      </c>
      <c r="X43" s="186" t="str">
        <f t="shared" si="11"/>
        <v>--</v>
      </c>
      <c r="Y43" s="187" t="str">
        <f t="shared" si="12"/>
        <v>--</v>
      </c>
      <c r="Z43" s="188" t="str">
        <f t="shared" si="13"/>
        <v>--</v>
      </c>
      <c r="AA43" s="189" t="str">
        <f t="shared" si="14"/>
        <v>--</v>
      </c>
      <c r="AB43" s="190" t="str">
        <f t="shared" si="15"/>
        <v>--</v>
      </c>
      <c r="AC43" s="191" t="str">
        <f t="shared" si="16"/>
        <v>--</v>
      </c>
      <c r="AD43" s="192">
        <f t="shared" si="18"/>
      </c>
      <c r="AE43" s="193">
        <f t="shared" si="17"/>
      </c>
      <c r="AF43" s="194"/>
    </row>
    <row r="44" spans="2:32" s="8" customFormat="1" ht="16.5" customHeight="1">
      <c r="B44" s="55"/>
      <c r="C44" s="151"/>
      <c r="D44" s="151"/>
      <c r="E44" s="151"/>
      <c r="F44" s="197"/>
      <c r="G44" s="198"/>
      <c r="H44" s="199"/>
      <c r="I44" s="198"/>
      <c r="J44" s="173">
        <f t="shared" si="0"/>
        <v>20</v>
      </c>
      <c r="K44" s="174">
        <f t="shared" si="1"/>
        <v>196.885</v>
      </c>
      <c r="L44" s="200"/>
      <c r="M44" s="202"/>
      <c r="N44" s="177">
        <f t="shared" si="2"/>
      </c>
      <c r="O44" s="178">
        <f t="shared" si="3"/>
      </c>
      <c r="P44" s="179"/>
      <c r="Q44" s="180">
        <f t="shared" si="4"/>
      </c>
      <c r="R44" s="181">
        <f t="shared" si="5"/>
      </c>
      <c r="S44" s="181">
        <f t="shared" si="6"/>
      </c>
      <c r="T44" s="182" t="str">
        <f t="shared" si="7"/>
        <v>--</v>
      </c>
      <c r="U44" s="183" t="str">
        <f t="shared" si="8"/>
        <v>--</v>
      </c>
      <c r="V44" s="184" t="str">
        <f t="shared" si="9"/>
        <v>--</v>
      </c>
      <c r="W44" s="185" t="str">
        <f t="shared" si="10"/>
        <v>--</v>
      </c>
      <c r="X44" s="186" t="str">
        <f t="shared" si="11"/>
        <v>--</v>
      </c>
      <c r="Y44" s="187" t="str">
        <f t="shared" si="12"/>
        <v>--</v>
      </c>
      <c r="Z44" s="188" t="str">
        <f t="shared" si="13"/>
        <v>--</v>
      </c>
      <c r="AA44" s="189" t="str">
        <f t="shared" si="14"/>
        <v>--</v>
      </c>
      <c r="AB44" s="190" t="str">
        <f t="shared" si="15"/>
        <v>--</v>
      </c>
      <c r="AC44" s="191" t="str">
        <f t="shared" si="16"/>
        <v>--</v>
      </c>
      <c r="AD44" s="192">
        <f t="shared" si="18"/>
      </c>
      <c r="AE44" s="193">
        <f t="shared" si="17"/>
      </c>
      <c r="AF44" s="194"/>
    </row>
    <row r="45" spans="2:32" s="8" customFormat="1" ht="16.5" customHeight="1" thickBot="1">
      <c r="B45" s="55"/>
      <c r="C45" s="203"/>
      <c r="D45" s="203"/>
      <c r="E45" s="170"/>
      <c r="F45" s="204"/>
      <c r="G45" s="205"/>
      <c r="H45" s="206"/>
      <c r="I45" s="207"/>
      <c r="J45" s="208"/>
      <c r="K45" s="209"/>
      <c r="L45" s="210"/>
      <c r="M45" s="210"/>
      <c r="N45" s="211"/>
      <c r="O45" s="211"/>
      <c r="P45" s="212"/>
      <c r="Q45" s="213"/>
      <c r="R45" s="212"/>
      <c r="S45" s="212"/>
      <c r="T45" s="214"/>
      <c r="U45" s="215"/>
      <c r="V45" s="216"/>
      <c r="W45" s="217"/>
      <c r="X45" s="218"/>
      <c r="Y45" s="219"/>
      <c r="Z45" s="220"/>
      <c r="AA45" s="221"/>
      <c r="AB45" s="222"/>
      <c r="AC45" s="223"/>
      <c r="AD45" s="224"/>
      <c r="AE45" s="225"/>
      <c r="AF45" s="194"/>
    </row>
    <row r="46" spans="2:32" s="8" customFormat="1" ht="16.5" customHeight="1" thickBot="1" thickTop="1">
      <c r="B46" s="55"/>
      <c r="C46" s="625" t="s">
        <v>324</v>
      </c>
      <c r="D46" s="626" t="s">
        <v>525</v>
      </c>
      <c r="E46" s="226"/>
      <c r="F46" s="227"/>
      <c r="G46" s="228"/>
      <c r="H46" s="229"/>
      <c r="I46" s="230"/>
      <c r="J46" s="229"/>
      <c r="K46" s="231"/>
      <c r="L46" s="231"/>
      <c r="M46" s="231"/>
      <c r="N46" s="231"/>
      <c r="O46" s="231"/>
      <c r="P46" s="231"/>
      <c r="Q46" s="232"/>
      <c r="R46" s="231"/>
      <c r="S46" s="231"/>
      <c r="T46" s="233">
        <f aca="true" t="shared" si="19" ref="T46:AC46">SUM(T20:T45)</f>
        <v>33692.5002962268</v>
      </c>
      <c r="U46" s="234">
        <f t="shared" si="19"/>
        <v>0</v>
      </c>
      <c r="V46" s="235">
        <f t="shared" si="19"/>
        <v>40872.461</v>
      </c>
      <c r="W46" s="235">
        <f t="shared" si="19"/>
        <v>27833.437170000005</v>
      </c>
      <c r="X46" s="235">
        <f t="shared" si="19"/>
        <v>0</v>
      </c>
      <c r="Y46" s="236">
        <f t="shared" si="19"/>
        <v>0</v>
      </c>
      <c r="Z46" s="236">
        <f t="shared" si="19"/>
        <v>0</v>
      </c>
      <c r="AA46" s="236">
        <f t="shared" si="19"/>
        <v>0</v>
      </c>
      <c r="AB46" s="237">
        <f t="shared" si="19"/>
        <v>0</v>
      </c>
      <c r="AC46" s="238">
        <f t="shared" si="19"/>
        <v>0</v>
      </c>
      <c r="AD46" s="239"/>
      <c r="AE46" s="240">
        <f>ROUND(SUM(AE20:AE45),2)</f>
        <v>82089.12</v>
      </c>
      <c r="AF46" s="194"/>
    </row>
    <row r="47" spans="2:32" s="8" customFormat="1" ht="16.5" customHeight="1" thickBot="1" thickTop="1"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3"/>
    </row>
    <row r="48" spans="2:32" ht="16.5" customHeight="1" thickTop="1">
      <c r="B48" s="244"/>
      <c r="C48" s="244"/>
      <c r="D48" s="244"/>
      <c r="AF48" s="244"/>
    </row>
  </sheetData>
  <sheetProtection password="CC12"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59" r:id="rId3"/>
  <headerFooter alignWithMargins="0">
    <oddFooter>&amp;L&amp;"Times New Roman,Normal"&amp;8&amp;F-&amp;A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G82"/>
  <sheetViews>
    <sheetView zoomScale="55" zoomScaleNormal="55" zoomScalePageLayoutView="0" workbookViewId="0" topLeftCell="A1">
      <selection activeCell="N47" sqref="N47"/>
    </sheetView>
  </sheetViews>
  <sheetFormatPr defaultColWidth="11.421875" defaultRowHeight="12.75"/>
  <cols>
    <col min="1" max="1" width="29.57421875" style="9" customWidth="1"/>
    <col min="2" max="2" width="14.8515625" style="9" customWidth="1"/>
    <col min="3" max="3" width="4.7109375" style="9" customWidth="1"/>
    <col min="4" max="4" width="29.140625" style="9" customWidth="1"/>
    <col min="5" max="5" width="28.421875" style="9" customWidth="1"/>
    <col min="6" max="6" width="15.00390625" style="9" customWidth="1"/>
    <col min="7" max="7" width="14.00390625" style="9" customWidth="1"/>
    <col min="8" max="8" width="9.8515625" style="9" hidden="1" customWidth="1"/>
    <col min="9" max="9" width="11.00390625" style="9" hidden="1" customWidth="1"/>
    <col min="10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8.421875" style="9" customWidth="1"/>
    <col min="17" max="17" width="5.8515625" style="9" customWidth="1"/>
    <col min="18" max="18" width="12.140625" style="9" hidden="1" customWidth="1"/>
    <col min="19" max="19" width="13.00390625" style="9" hidden="1" customWidth="1"/>
    <col min="20" max="20" width="11.57421875" style="9" hidden="1" customWidth="1"/>
    <col min="21" max="21" width="15.8515625" style="9" hidden="1" customWidth="1"/>
    <col min="22" max="22" width="11.7109375" style="9" hidden="1" customWidth="1"/>
    <col min="23" max="27" width="8.421875" style="9" hidden="1" customWidth="1"/>
    <col min="28" max="28" width="10.421875" style="9" customWidth="1"/>
    <col min="29" max="29" width="21.7109375" style="9" customWidth="1"/>
    <col min="30" max="30" width="14.851562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9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AD1" s="5"/>
    </row>
    <row r="2" spans="1:23" ht="27" customHeight="1">
      <c r="A2" s="9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2005" customFormat="1" ht="37.5" customHeight="1">
      <c r="A3" s="2002"/>
      <c r="B3" s="2003" t="str">
        <f>'TOT-0312'!B2</f>
        <v>ANEXO IV al Memorándum D.T.E.E.  N° 783/ 2013</v>
      </c>
      <c r="C3" s="2004"/>
      <c r="D3" s="2004"/>
      <c r="E3" s="2004"/>
      <c r="F3" s="2004"/>
      <c r="G3" s="2004"/>
      <c r="H3" s="2004"/>
      <c r="I3" s="2004"/>
      <c r="J3" s="2004"/>
      <c r="K3" s="2004"/>
      <c r="L3" s="2004"/>
      <c r="M3" s="2004"/>
      <c r="N3" s="2004"/>
      <c r="O3" s="2004"/>
      <c r="P3" s="2004"/>
      <c r="Q3" s="2004"/>
      <c r="R3" s="2004"/>
      <c r="S3" s="2004"/>
      <c r="T3" s="2004"/>
      <c r="U3" s="2004"/>
      <c r="V3" s="2004"/>
      <c r="W3" s="2004"/>
      <c r="AB3" s="2004"/>
      <c r="AC3" s="2004"/>
      <c r="AD3" s="2004"/>
    </row>
    <row r="4" spans="1:2" s="14" customFormat="1" ht="14.25" customHeight="1">
      <c r="A4" s="2006" t="s">
        <v>2</v>
      </c>
      <c r="B4" s="2007"/>
    </row>
    <row r="5" spans="1:2" s="14" customFormat="1" ht="13.5" customHeight="1" thickBot="1">
      <c r="A5" s="2006" t="s">
        <v>3</v>
      </c>
      <c r="B5" s="2006"/>
    </row>
    <row r="6" spans="1:30" ht="16.5" customHeight="1" thickTop="1">
      <c r="A6" s="8"/>
      <c r="B6" s="92"/>
      <c r="C6" s="93"/>
      <c r="D6" s="93"/>
      <c r="E6" s="94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2008"/>
      <c r="X6" s="2008"/>
      <c r="Y6" s="2008"/>
      <c r="Z6" s="2008"/>
      <c r="AA6" s="2008"/>
      <c r="AB6" s="2008"/>
      <c r="AC6" s="2008"/>
      <c r="AD6" s="95"/>
    </row>
    <row r="7" spans="1:30" ht="20.25">
      <c r="A7" s="8"/>
      <c r="B7" s="55"/>
      <c r="C7" s="11"/>
      <c r="D7" s="97" t="s">
        <v>377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009"/>
      <c r="Q7" s="2009"/>
      <c r="R7" s="11"/>
      <c r="S7" s="11"/>
      <c r="T7" s="11"/>
      <c r="U7" s="11"/>
      <c r="V7" s="11"/>
      <c r="AD7" s="100"/>
    </row>
    <row r="8" spans="1:30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D8" s="100"/>
    </row>
    <row r="9" spans="2:30" s="34" customFormat="1" ht="20.25">
      <c r="B9" s="43"/>
      <c r="C9" s="42"/>
      <c r="D9" s="97" t="s">
        <v>378</v>
      </c>
      <c r="E9" s="42"/>
      <c r="F9" s="42"/>
      <c r="G9" s="42"/>
      <c r="H9" s="42"/>
      <c r="N9" s="42"/>
      <c r="O9" s="42"/>
      <c r="P9" s="2010"/>
      <c r="Q9" s="2010"/>
      <c r="R9" s="42"/>
      <c r="S9" s="42"/>
      <c r="T9" s="42"/>
      <c r="U9" s="42"/>
      <c r="V9" s="42"/>
      <c r="W9" s="9"/>
      <c r="X9" s="42"/>
      <c r="Y9" s="42"/>
      <c r="Z9" s="42"/>
      <c r="AA9" s="42"/>
      <c r="AB9" s="42"/>
      <c r="AC9" s="9"/>
      <c r="AD9" s="2011"/>
    </row>
    <row r="10" spans="1:30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D10" s="100"/>
    </row>
    <row r="11" spans="2:30" s="34" customFormat="1" ht="20.25">
      <c r="B11" s="43"/>
      <c r="C11" s="42"/>
      <c r="D11" s="97" t="s">
        <v>499</v>
      </c>
      <c r="E11" s="42"/>
      <c r="F11" s="42"/>
      <c r="G11" s="42"/>
      <c r="H11" s="42"/>
      <c r="N11" s="42"/>
      <c r="O11" s="42"/>
      <c r="P11" s="2010"/>
      <c r="Q11" s="2010"/>
      <c r="R11" s="42"/>
      <c r="S11" s="42"/>
      <c r="T11" s="42"/>
      <c r="U11" s="42"/>
      <c r="V11" s="42"/>
      <c r="W11" s="9"/>
      <c r="X11" s="42"/>
      <c r="Y11" s="42"/>
      <c r="Z11" s="42"/>
      <c r="AA11" s="42"/>
      <c r="AB11" s="42"/>
      <c r="AC11" s="9"/>
      <c r="AD11" s="2011"/>
    </row>
    <row r="12" spans="1:30" ht="16.5" customHeight="1">
      <c r="A12" s="8"/>
      <c r="B12" s="55"/>
      <c r="C12" s="11"/>
      <c r="D12" s="11"/>
      <c r="E12" s="8"/>
      <c r="F12" s="8"/>
      <c r="G12" s="8"/>
      <c r="H12" s="8"/>
      <c r="I12" s="101"/>
      <c r="J12" s="101"/>
      <c r="K12" s="101"/>
      <c r="L12" s="101"/>
      <c r="M12" s="101"/>
      <c r="N12" s="101"/>
      <c r="O12" s="101"/>
      <c r="P12" s="101"/>
      <c r="Q12" s="101"/>
      <c r="R12" s="11"/>
      <c r="S12" s="11"/>
      <c r="T12" s="11"/>
      <c r="U12" s="11"/>
      <c r="V12" s="11"/>
      <c r="AD12" s="100"/>
    </row>
    <row r="13" spans="2:30" s="34" customFormat="1" ht="19.5">
      <c r="B13" s="35" t="str">
        <f>'TOT-0312'!B14</f>
        <v>Desde el 01 al 31 de Marzo de 2012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2012"/>
      <c r="V13" s="2012"/>
      <c r="W13" s="9"/>
      <c r="X13" s="2013"/>
      <c r="Y13" s="2013"/>
      <c r="Z13" s="2013"/>
      <c r="AA13" s="2013"/>
      <c r="AB13" s="2012"/>
      <c r="AC13" s="25"/>
      <c r="AD13" s="41"/>
    </row>
    <row r="14" spans="1:30" ht="16.5" customHeight="1">
      <c r="A14" s="8"/>
      <c r="B14" s="55"/>
      <c r="C14" s="11"/>
      <c r="D14" s="11"/>
      <c r="E14" s="86"/>
      <c r="F14" s="86"/>
      <c r="G14" s="11"/>
      <c r="H14" s="11"/>
      <c r="I14" s="11"/>
      <c r="J14" s="2014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AD14" s="100"/>
    </row>
    <row r="15" spans="1:30" ht="16.5" customHeight="1">
      <c r="A15" s="8"/>
      <c r="B15" s="55"/>
      <c r="C15" s="11"/>
      <c r="D15" s="11"/>
      <c r="E15" s="86"/>
      <c r="F15" s="86"/>
      <c r="G15" s="11"/>
      <c r="H15" s="11"/>
      <c r="I15" s="2015"/>
      <c r="J15" s="11"/>
      <c r="K15" s="244"/>
      <c r="M15" s="11"/>
      <c r="N15" s="8"/>
      <c r="O15" s="8"/>
      <c r="P15" s="11"/>
      <c r="Q15" s="11"/>
      <c r="R15" s="11"/>
      <c r="S15" s="11"/>
      <c r="T15" s="11"/>
      <c r="U15" s="11"/>
      <c r="V15" s="11"/>
      <c r="AD15" s="100"/>
    </row>
    <row r="16" spans="1:30" ht="16.5" customHeight="1">
      <c r="A16" s="8"/>
      <c r="B16" s="55"/>
      <c r="C16" s="11"/>
      <c r="D16" s="11"/>
      <c r="E16" s="86"/>
      <c r="F16" s="86"/>
      <c r="G16" s="11"/>
      <c r="H16" s="11"/>
      <c r="I16" s="2015"/>
      <c r="J16" s="11"/>
      <c r="K16" s="244"/>
      <c r="M16" s="11"/>
      <c r="N16" s="8"/>
      <c r="O16" s="8"/>
      <c r="P16" s="11"/>
      <c r="Q16" s="11"/>
      <c r="R16" s="11"/>
      <c r="S16" s="11"/>
      <c r="T16" s="11"/>
      <c r="U16" s="11"/>
      <c r="V16" s="11"/>
      <c r="AD16" s="100"/>
    </row>
    <row r="17" spans="1:30" ht="16.5" customHeight="1">
      <c r="A17" s="8"/>
      <c r="B17" s="55"/>
      <c r="C17" s="73" t="s">
        <v>379</v>
      </c>
      <c r="D17" s="4" t="s">
        <v>380</v>
      </c>
      <c r="E17" s="86"/>
      <c r="F17" s="86"/>
      <c r="G17" s="11"/>
      <c r="H17" s="11"/>
      <c r="I17" s="11"/>
      <c r="J17" s="2014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AD17" s="100"/>
    </row>
    <row r="18" spans="2:30" s="27" customFormat="1" ht="16.5" customHeight="1">
      <c r="B18" s="2016"/>
      <c r="C18" s="29"/>
      <c r="D18" s="2017"/>
      <c r="E18" s="2018"/>
      <c r="F18" s="2019"/>
      <c r="G18" s="29"/>
      <c r="H18" s="29"/>
      <c r="I18" s="29"/>
      <c r="J18" s="2020"/>
      <c r="K18" s="29"/>
      <c r="L18" s="29"/>
      <c r="M18" s="29"/>
      <c r="P18" s="29"/>
      <c r="Q18" s="29"/>
      <c r="R18" s="29"/>
      <c r="S18" s="29"/>
      <c r="T18" s="29"/>
      <c r="U18" s="29"/>
      <c r="V18" s="29"/>
      <c r="W18" s="9"/>
      <c r="AD18" s="2021"/>
    </row>
    <row r="19" spans="2:30" s="27" customFormat="1" ht="16.5" customHeight="1">
      <c r="B19" s="2016"/>
      <c r="C19" s="29"/>
      <c r="D19" s="2022" t="s">
        <v>381</v>
      </c>
      <c r="F19" s="2023">
        <v>236.257</v>
      </c>
      <c r="G19" s="2022" t="s">
        <v>382</v>
      </c>
      <c r="H19" s="29"/>
      <c r="I19" s="29"/>
      <c r="J19" s="2024"/>
      <c r="K19" s="2025" t="s">
        <v>383</v>
      </c>
      <c r="L19" s="2026">
        <v>0.025</v>
      </c>
      <c r="R19" s="29"/>
      <c r="S19" s="29"/>
      <c r="T19" s="29"/>
      <c r="U19" s="29"/>
      <c r="V19" s="29"/>
      <c r="W19" s="9"/>
      <c r="AD19" s="2021"/>
    </row>
    <row r="20" spans="2:30" s="27" customFormat="1" ht="16.5" customHeight="1">
      <c r="B20" s="2016"/>
      <c r="C20" s="29"/>
      <c r="D20" s="2022" t="s">
        <v>489</v>
      </c>
      <c r="F20" s="2023">
        <v>196.885</v>
      </c>
      <c r="G20" s="2022" t="s">
        <v>382</v>
      </c>
      <c r="H20" s="29"/>
      <c r="I20" s="29"/>
      <c r="J20" s="29"/>
      <c r="K20" s="2017" t="s">
        <v>386</v>
      </c>
      <c r="L20" s="29">
        <f>MID(B13,16,2)*24</f>
        <v>744</v>
      </c>
      <c r="M20" s="29" t="s">
        <v>437</v>
      </c>
      <c r="R20" s="29"/>
      <c r="S20" s="29"/>
      <c r="T20" s="29"/>
      <c r="U20" s="29"/>
      <c r="V20" s="29"/>
      <c r="W20" s="9"/>
      <c r="AD20" s="2021"/>
    </row>
    <row r="21" spans="2:30" s="27" customFormat="1" ht="16.5" customHeight="1">
      <c r="B21" s="2016"/>
      <c r="C21" s="29"/>
      <c r="D21" s="2022" t="s">
        <v>384</v>
      </c>
      <c r="F21" s="2023">
        <v>0.649</v>
      </c>
      <c r="G21" s="2022" t="s">
        <v>385</v>
      </c>
      <c r="H21" s="29"/>
      <c r="I21" s="29"/>
      <c r="N21" s="29"/>
      <c r="O21" s="29"/>
      <c r="P21" s="2027"/>
      <c r="Q21" s="29"/>
      <c r="R21" s="29"/>
      <c r="S21" s="29"/>
      <c r="T21" s="29"/>
      <c r="U21" s="29"/>
      <c r="V21" s="29"/>
      <c r="W21" s="9"/>
      <c r="AD21" s="2021"/>
    </row>
    <row r="22" spans="2:30" s="27" customFormat="1" ht="16.5" customHeight="1">
      <c r="B22" s="2016"/>
      <c r="C22" s="29"/>
      <c r="D22" s="2022" t="s">
        <v>490</v>
      </c>
      <c r="F22" s="2023">
        <v>103.083</v>
      </c>
      <c r="G22" s="2022" t="s">
        <v>491</v>
      </c>
      <c r="H22" s="29"/>
      <c r="I22" s="29"/>
      <c r="J22" s="29"/>
      <c r="K22" s="108"/>
      <c r="L22" s="109"/>
      <c r="M22" s="29"/>
      <c r="N22" s="29"/>
      <c r="O22" s="29"/>
      <c r="P22" s="2027"/>
      <c r="Q22" s="29"/>
      <c r="R22" s="29"/>
      <c r="S22" s="29"/>
      <c r="T22" s="29"/>
      <c r="U22" s="29"/>
      <c r="V22" s="29"/>
      <c r="W22" s="9"/>
      <c r="AD22" s="2021"/>
    </row>
    <row r="23" spans="2:30" s="27" customFormat="1" ht="9" customHeight="1">
      <c r="B23" s="2016"/>
      <c r="C23" s="29"/>
      <c r="H23" s="29"/>
      <c r="I23" s="29"/>
      <c r="J23" s="29"/>
      <c r="K23" s="108"/>
      <c r="L23" s="109"/>
      <c r="M23" s="29"/>
      <c r="N23" s="29"/>
      <c r="O23" s="29"/>
      <c r="P23" s="2027"/>
      <c r="Q23" s="29"/>
      <c r="R23" s="29"/>
      <c r="S23" s="29"/>
      <c r="T23" s="29"/>
      <c r="U23" s="29"/>
      <c r="V23" s="29"/>
      <c r="W23" s="9"/>
      <c r="AD23" s="2021"/>
    </row>
    <row r="24" spans="2:30" s="27" customFormat="1" ht="8.25" customHeight="1">
      <c r="B24" s="2016"/>
      <c r="C24" s="29"/>
      <c r="D24" s="29"/>
      <c r="E24" s="20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9"/>
      <c r="AD24" s="2021"/>
    </row>
    <row r="25" spans="1:30" ht="16.5" customHeight="1">
      <c r="A25" s="8"/>
      <c r="B25" s="55"/>
      <c r="C25" s="73" t="s">
        <v>389</v>
      </c>
      <c r="D25" s="28" t="s">
        <v>420</v>
      </c>
      <c r="I25" s="11"/>
      <c r="J25" s="27"/>
      <c r="O25" s="11"/>
      <c r="P25" s="11"/>
      <c r="Q25" s="11"/>
      <c r="R25" s="11"/>
      <c r="S25" s="11"/>
      <c r="T25" s="11"/>
      <c r="V25" s="11"/>
      <c r="X25" s="11"/>
      <c r="Y25" s="11"/>
      <c r="Z25" s="11"/>
      <c r="AA25" s="11"/>
      <c r="AB25" s="11"/>
      <c r="AC25" s="11"/>
      <c r="AD25" s="100"/>
    </row>
    <row r="26" spans="1:30" ht="10.5" customHeight="1" thickBot="1">
      <c r="A26" s="8"/>
      <c r="B26" s="55"/>
      <c r="C26" s="86"/>
      <c r="D26" s="28"/>
      <c r="I26" s="11"/>
      <c r="J26" s="27"/>
      <c r="O26" s="11"/>
      <c r="P26" s="11"/>
      <c r="Q26" s="11"/>
      <c r="R26" s="11"/>
      <c r="S26" s="11"/>
      <c r="T26" s="11"/>
      <c r="V26" s="11"/>
      <c r="X26" s="11"/>
      <c r="Y26" s="11"/>
      <c r="Z26" s="11"/>
      <c r="AA26" s="11"/>
      <c r="AB26" s="11"/>
      <c r="AC26" s="11"/>
      <c r="AD26" s="100"/>
    </row>
    <row r="27" spans="2:30" s="27" customFormat="1" ht="16.5" customHeight="1" thickBot="1" thickTop="1">
      <c r="B27" s="2016"/>
      <c r="C27" s="2019"/>
      <c r="D27" s="9"/>
      <c r="E27" s="9"/>
      <c r="F27" s="9"/>
      <c r="G27" s="9"/>
      <c r="H27" s="9"/>
      <c r="I27" s="9"/>
      <c r="J27" s="2029" t="s">
        <v>390</v>
      </c>
      <c r="K27" s="2030">
        <f>L19*AC77</f>
        <v>29456.371976300004</v>
      </c>
      <c r="L27" s="9"/>
      <c r="S27" s="9"/>
      <c r="T27" s="9"/>
      <c r="U27" s="9"/>
      <c r="W27" s="9"/>
      <c r="AD27" s="2021"/>
    </row>
    <row r="28" spans="2:30" s="27" customFormat="1" ht="11.25" customHeight="1" thickTop="1">
      <c r="B28" s="2016"/>
      <c r="C28" s="2019"/>
      <c r="D28" s="29"/>
      <c r="E28" s="20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9"/>
      <c r="W28" s="9"/>
      <c r="AD28" s="2021"/>
    </row>
    <row r="29" spans="1:30" ht="16.5" customHeight="1">
      <c r="A29" s="8"/>
      <c r="B29" s="55"/>
      <c r="C29" s="73" t="s">
        <v>391</v>
      </c>
      <c r="D29" s="28" t="s">
        <v>421</v>
      </c>
      <c r="E29" s="22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D29" s="100"/>
    </row>
    <row r="30" spans="1:30" ht="21.75" customHeight="1" thickBot="1">
      <c r="A30" s="8"/>
      <c r="B30" s="55"/>
      <c r="C30" s="11"/>
      <c r="D30" s="11"/>
      <c r="E30" s="22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AD30" s="100"/>
    </row>
    <row r="31" spans="2:31" s="8" customFormat="1" ht="33.75" customHeight="1" thickBot="1" thickTop="1">
      <c r="B31" s="55"/>
      <c r="C31" s="112" t="s">
        <v>32</v>
      </c>
      <c r="D31" s="975" t="s">
        <v>5</v>
      </c>
      <c r="E31" s="2031" t="s">
        <v>35</v>
      </c>
      <c r="F31" s="2032" t="s">
        <v>36</v>
      </c>
      <c r="G31" s="116" t="s">
        <v>37</v>
      </c>
      <c r="H31" s="2033" t="s">
        <v>38</v>
      </c>
      <c r="I31" s="420" t="s">
        <v>39</v>
      </c>
      <c r="J31" s="113" t="s">
        <v>40</v>
      </c>
      <c r="K31" s="119" t="s">
        <v>41</v>
      </c>
      <c r="L31" s="120" t="s">
        <v>42</v>
      </c>
      <c r="M31" s="115" t="s">
        <v>43</v>
      </c>
      <c r="N31" s="120" t="s">
        <v>392</v>
      </c>
      <c r="O31" s="120" t="s">
        <v>44</v>
      </c>
      <c r="P31" s="119" t="s">
        <v>45</v>
      </c>
      <c r="Q31" s="113" t="s">
        <v>46</v>
      </c>
      <c r="R31" s="2034" t="s">
        <v>47</v>
      </c>
      <c r="S31" s="2035" t="s">
        <v>48</v>
      </c>
      <c r="T31" s="2036" t="s">
        <v>393</v>
      </c>
      <c r="U31" s="2037"/>
      <c r="V31" s="2038"/>
      <c r="W31" s="2039" t="s">
        <v>394</v>
      </c>
      <c r="X31" s="2040"/>
      <c r="Y31" s="2041"/>
      <c r="Z31" s="2042" t="s">
        <v>51</v>
      </c>
      <c r="AA31" s="2043" t="s">
        <v>395</v>
      </c>
      <c r="AB31" s="2044" t="s">
        <v>53</v>
      </c>
      <c r="AC31" s="300" t="s">
        <v>54</v>
      </c>
      <c r="AD31" s="132"/>
      <c r="AE31" s="9"/>
    </row>
    <row r="32" spans="1:30" ht="16.5" customHeight="1" thickTop="1">
      <c r="A32" s="8"/>
      <c r="B32" s="55"/>
      <c r="C32" s="153"/>
      <c r="D32" s="2045"/>
      <c r="E32" s="2046"/>
      <c r="F32" s="2047"/>
      <c r="G32" s="2048"/>
      <c r="H32" s="2049"/>
      <c r="I32" s="2050"/>
      <c r="J32" s="2051"/>
      <c r="K32" s="2052"/>
      <c r="L32" s="153"/>
      <c r="M32" s="153"/>
      <c r="N32" s="2053"/>
      <c r="O32" s="2053"/>
      <c r="P32" s="153"/>
      <c r="Q32" s="2054"/>
      <c r="R32" s="2055"/>
      <c r="S32" s="2056"/>
      <c r="T32" s="2057"/>
      <c r="U32" s="2058"/>
      <c r="V32" s="2059"/>
      <c r="W32" s="2060"/>
      <c r="X32" s="2061"/>
      <c r="Y32" s="2062"/>
      <c r="Z32" s="2063"/>
      <c r="AA32" s="2064"/>
      <c r="AB32" s="2065"/>
      <c r="AC32" s="2066"/>
      <c r="AD32" s="100"/>
    </row>
    <row r="33" spans="1:30" ht="16.5" customHeight="1">
      <c r="A33" s="8"/>
      <c r="B33" s="55"/>
      <c r="C33" s="1021" t="s">
        <v>396</v>
      </c>
      <c r="D33" s="646"/>
      <c r="E33" s="647"/>
      <c r="F33" s="648"/>
      <c r="G33" s="2067"/>
      <c r="H33" s="2068">
        <v>20</v>
      </c>
      <c r="I33" s="2069">
        <f>IF(E33=500,IF(F33&lt;100,100*$F$19/100,F33*$F$19/100),IF(F33&lt;100,100*$F$20/100,F33*$F$20/100))</f>
        <v>196.885</v>
      </c>
      <c r="J33" s="2070"/>
      <c r="K33" s="2071"/>
      <c r="L33" s="2072">
        <f>IF(D33="","",(K33-J33)*24)</f>
      </c>
      <c r="M33" s="446">
        <f>IF(D33="","",(K33-J33)*24*60)</f>
      </c>
      <c r="N33" s="2073"/>
      <c r="O33" s="254">
        <f>IF(D33="","","--")</f>
      </c>
      <c r="P33" s="181">
        <f>IF(D33="","","NO")</f>
      </c>
      <c r="Q33" s="181">
        <f>IF(D33="","",IF(OR(N33="P",N33="RP"),"--","NO"))</f>
      </c>
      <c r="R33" s="2074" t="str">
        <f>IF(N33="P",I33*H33*ROUND(M33/60,2)*0.01,"--")</f>
        <v>--</v>
      </c>
      <c r="S33" s="2075" t="str">
        <f>IF(N33="RP",I33*H33*ROUND(M33/60,2)*0.01*O33/100,"--")</f>
        <v>--</v>
      </c>
      <c r="T33" s="2076" t="str">
        <f>IF(AND(N33="F",Q33="NO"),I33*H33*IF(P33="SI",1.2,1),"--")</f>
        <v>--</v>
      </c>
      <c r="U33" s="2077" t="str">
        <f>IF(AND(N33="F",M33&gt;=10),I33*H33*IF(P33="SI",1.2,1)*IF(M33&lt;=300,ROUND(M33/60,2),5),"--")</f>
        <v>--</v>
      </c>
      <c r="V33" s="2078" t="str">
        <f>IF(AND(N33="F",M33&gt;300),(ROUND(M33/60,2)-5)*I33*H33*0.1*IF(P33="SI",1.2,1),"--")</f>
        <v>--</v>
      </c>
      <c r="W33" s="2079" t="str">
        <f>IF(AND(N33="R",Q33="NO"),I33*H33*O33/100*IF(P33="SI",1.2,1),"--")</f>
        <v>--</v>
      </c>
      <c r="X33" s="2080" t="str">
        <f>IF(AND(N33="R",M33&gt;=10),I33*H33*O33/100*IF(P33="SI",1.2,1)*IF(M33&lt;=300,ROUND(M33/60,2),5),"--")</f>
        <v>--</v>
      </c>
      <c r="Y33" s="2081" t="str">
        <f>IF(AND(N33="R",M33&gt;300),(ROUND(M33/60,2)-5)*I33*H33*0.1*O33/100*IF(P33="SI",1.2,1),"--")</f>
        <v>--</v>
      </c>
      <c r="Z33" s="2082" t="str">
        <f>IF(N33="RF",ROUND(M33/60,2)*I33*H33*0.1*IF(P33="SI",1.2,1),"--")</f>
        <v>--</v>
      </c>
      <c r="AA33" s="2083" t="str">
        <f>IF(N33="RR",ROUND(M33/60,2)*I33*H33*0.1*O33/100*IF(P33="SI",1.2,1),"--")</f>
        <v>--</v>
      </c>
      <c r="AB33" s="2084">
        <f>IF(D33="","","SI")</f>
      </c>
      <c r="AC33" s="193">
        <f>IF(D33="","",SUM(R33:AA33)*IF(AB33="SI",1,2))</f>
      </c>
      <c r="AD33" s="100"/>
    </row>
    <row r="34" spans="1:30" ht="16.5" customHeight="1">
      <c r="A34" s="8"/>
      <c r="B34" s="55"/>
      <c r="C34" s="1021" t="s">
        <v>397</v>
      </c>
      <c r="D34" s="646"/>
      <c r="E34" s="647"/>
      <c r="F34" s="648"/>
      <c r="G34" s="2067"/>
      <c r="H34" s="2068">
        <v>20</v>
      </c>
      <c r="I34" s="2069">
        <f>IF(E34=500,IF(F34&lt;100,100*$F$19/100,F34*$F$19/100),IF(F34&lt;100,100*$F$20/100,F34*$F$20/100))</f>
        <v>196.885</v>
      </c>
      <c r="J34" s="2070"/>
      <c r="K34" s="2071"/>
      <c r="L34" s="2072">
        <f>IF(D34="","",(K34-J34)*24)</f>
      </c>
      <c r="M34" s="446">
        <f>IF(D34="","",(K34-J34)*24*60)</f>
      </c>
      <c r="N34" s="2073"/>
      <c r="O34" s="254">
        <f>IF(D34="","","--")</f>
      </c>
      <c r="P34" s="181">
        <f>IF(D34="","","NO")</f>
      </c>
      <c r="Q34" s="181">
        <f>IF(D34="","",IF(OR(N34="P",N34="RP"),"--","NO"))</f>
      </c>
      <c r="R34" s="2074" t="str">
        <f>IF(N34="P",I34*H34*ROUND(M34/60,2)*0.01,"--")</f>
        <v>--</v>
      </c>
      <c r="S34" s="2075" t="str">
        <f>IF(N34="RP",I34*H34*ROUND(M34/60,2)*0.01*O34/100,"--")</f>
        <v>--</v>
      </c>
      <c r="T34" s="2076" t="str">
        <f>IF(AND(N34="F",Q34="NO"),I34*H34*IF(P34="SI",1.2,1),"--")</f>
        <v>--</v>
      </c>
      <c r="U34" s="2077" t="str">
        <f>IF(AND(N34="F",M34&gt;=10),I34*H34*IF(P34="SI",1.2,1)*IF(M34&lt;=300,ROUND(M34/60,2),5),"--")</f>
        <v>--</v>
      </c>
      <c r="V34" s="2078" t="str">
        <f>IF(AND(N34="F",M34&gt;300),(ROUND(M34/60,2)-5)*I34*H34*0.1*IF(P34="SI",1.2,1),"--")</f>
        <v>--</v>
      </c>
      <c r="W34" s="2079" t="str">
        <f>IF(AND(N34="R",Q34="NO"),I34*H34*O34/100*IF(P34="SI",1.2,1),"--")</f>
        <v>--</v>
      </c>
      <c r="X34" s="2080" t="str">
        <f>IF(AND(N34="R",M34&gt;=10),I34*H34*O34/100*IF(P34="SI",1.2,1)*IF(M34&lt;=300,ROUND(M34/60,2),5),"--")</f>
        <v>--</v>
      </c>
      <c r="Y34" s="2081" t="str">
        <f>IF(AND(N34="R",M34&gt;300),(ROUND(M34/60,2)-5)*I34*H34*0.1*O34/100*IF(P34="SI",1.2,1),"--")</f>
        <v>--</v>
      </c>
      <c r="Z34" s="2082" t="str">
        <f>IF(N34="RF",ROUND(M34/60,2)*I34*H34*0.1*IF(P34="SI",1.2,1),"--")</f>
        <v>--</v>
      </c>
      <c r="AA34" s="2083" t="str">
        <f>IF(N34="RR",ROUND(M34/60,2)*I34*H34*0.1*O34/100*IF(P34="SI",1.2,1),"--")</f>
        <v>--</v>
      </c>
      <c r="AB34" s="2084">
        <f>IF(D34="","","SI")</f>
      </c>
      <c r="AC34" s="193">
        <f>IF(D34="","",SUM(R34:AA34)*IF(AB34="SI",1,2))</f>
      </c>
      <c r="AD34" s="100"/>
    </row>
    <row r="35" spans="1:30" ht="16.5" customHeight="1" thickBot="1">
      <c r="A35" s="27"/>
      <c r="B35" s="55"/>
      <c r="C35" s="2086"/>
      <c r="D35" s="2087"/>
      <c r="E35" s="2088"/>
      <c r="F35" s="2089"/>
      <c r="G35" s="2090"/>
      <c r="H35" s="2091"/>
      <c r="I35" s="2092"/>
      <c r="J35" s="2093"/>
      <c r="K35" s="2093"/>
      <c r="L35" s="211"/>
      <c r="M35" s="211"/>
      <c r="N35" s="211"/>
      <c r="O35" s="2094"/>
      <c r="P35" s="211"/>
      <c r="Q35" s="211"/>
      <c r="R35" s="2095"/>
      <c r="S35" s="2096"/>
      <c r="T35" s="2097"/>
      <c r="U35" s="2098"/>
      <c r="V35" s="2099"/>
      <c r="W35" s="2100"/>
      <c r="X35" s="2101"/>
      <c r="Y35" s="2102"/>
      <c r="Z35" s="2103"/>
      <c r="AA35" s="2104"/>
      <c r="AB35" s="2105"/>
      <c r="AC35" s="2106"/>
      <c r="AD35" s="2107"/>
    </row>
    <row r="36" spans="1:30" ht="16.5" customHeight="1" thickBot="1" thickTop="1">
      <c r="A36" s="27"/>
      <c r="B36" s="55"/>
      <c r="C36" s="2019"/>
      <c r="D36" s="2019"/>
      <c r="E36" s="2108"/>
      <c r="F36" s="2028"/>
      <c r="G36" s="2109"/>
      <c r="H36" s="2109"/>
      <c r="I36" s="2110"/>
      <c r="J36" s="2110"/>
      <c r="K36" s="2110"/>
      <c r="L36" s="2110"/>
      <c r="M36" s="2110"/>
      <c r="N36" s="2110"/>
      <c r="O36" s="2111"/>
      <c r="P36" s="2110"/>
      <c r="Q36" s="2110"/>
      <c r="R36" s="2110"/>
      <c r="S36" s="2110"/>
      <c r="T36" s="2110"/>
      <c r="U36" s="2110"/>
      <c r="V36" s="2110"/>
      <c r="W36" s="2110"/>
      <c r="X36" s="2110"/>
      <c r="Y36" s="2110"/>
      <c r="Z36" s="2110"/>
      <c r="AA36" s="2110"/>
      <c r="AB36" s="2118"/>
      <c r="AC36" s="2119">
        <f>SUM(AC32:AC35)</f>
        <v>0</v>
      </c>
      <c r="AD36" s="2107"/>
    </row>
    <row r="37" spans="1:30" ht="13.5" customHeight="1" thickBot="1" thickTop="1">
      <c r="A37" s="27"/>
      <c r="B37" s="55"/>
      <c r="C37" s="2019"/>
      <c r="D37" s="2019"/>
      <c r="E37" s="2108"/>
      <c r="F37" s="2028"/>
      <c r="G37" s="2109"/>
      <c r="H37" s="2109"/>
      <c r="I37" s="2110"/>
      <c r="J37" s="2110"/>
      <c r="K37" s="2110"/>
      <c r="L37" s="2110"/>
      <c r="M37" s="2110"/>
      <c r="N37" s="2110"/>
      <c r="O37" s="2111"/>
      <c r="P37" s="2110"/>
      <c r="Q37" s="2110"/>
      <c r="R37" s="2110"/>
      <c r="S37" s="2110"/>
      <c r="T37" s="2110"/>
      <c r="U37" s="2110"/>
      <c r="V37" s="2110"/>
      <c r="W37" s="2110"/>
      <c r="X37" s="2110"/>
      <c r="Y37" s="2110"/>
      <c r="Z37" s="2110"/>
      <c r="AA37" s="2110"/>
      <c r="AB37" s="2123"/>
      <c r="AC37" s="2124"/>
      <c r="AD37" s="2107"/>
    </row>
    <row r="38" spans="1:33" s="8" customFormat="1" ht="33.75" customHeight="1" thickBot="1" thickTop="1">
      <c r="A38" s="90"/>
      <c r="B38" s="267"/>
      <c r="C38" s="296" t="s">
        <v>32</v>
      </c>
      <c r="D38" s="297" t="s">
        <v>60</v>
      </c>
      <c r="E38" s="298" t="s">
        <v>61</v>
      </c>
      <c r="F38" s="299" t="s">
        <v>344</v>
      </c>
      <c r="G38" s="300" t="s">
        <v>35</v>
      </c>
      <c r="H38" s="301" t="s">
        <v>39</v>
      </c>
      <c r="I38" s="2125"/>
      <c r="J38" s="298" t="s">
        <v>40</v>
      </c>
      <c r="K38" s="298" t="s">
        <v>41</v>
      </c>
      <c r="L38" s="297" t="s">
        <v>63</v>
      </c>
      <c r="M38" s="297" t="s">
        <v>43</v>
      </c>
      <c r="N38" s="120" t="s">
        <v>398</v>
      </c>
      <c r="O38" s="298" t="s">
        <v>46</v>
      </c>
      <c r="P38" s="2126" t="s">
        <v>64</v>
      </c>
      <c r="Q38" s="2127"/>
      <c r="R38" s="301" t="s">
        <v>399</v>
      </c>
      <c r="S38" s="2128" t="s">
        <v>47</v>
      </c>
      <c r="T38" s="2129" t="s">
        <v>400</v>
      </c>
      <c r="U38" s="2130"/>
      <c r="V38" s="2131" t="s">
        <v>51</v>
      </c>
      <c r="W38" s="2132"/>
      <c r="X38" s="2133"/>
      <c r="Y38" s="2133"/>
      <c r="Z38" s="2133"/>
      <c r="AA38" s="2134"/>
      <c r="AB38" s="131" t="s">
        <v>53</v>
      </c>
      <c r="AC38" s="300" t="s">
        <v>54</v>
      </c>
      <c r="AD38" s="100"/>
      <c r="AF38" s="9"/>
      <c r="AG38" s="9"/>
    </row>
    <row r="39" spans="1:30" ht="16.5" customHeight="1" thickTop="1">
      <c r="A39" s="8"/>
      <c r="B39" s="55"/>
      <c r="C39" s="153"/>
      <c r="D39" s="251"/>
      <c r="E39" s="251"/>
      <c r="F39" s="251"/>
      <c r="G39" s="2135"/>
      <c r="H39" s="2136"/>
      <c r="I39" s="2137"/>
      <c r="J39" s="251"/>
      <c r="K39" s="251"/>
      <c r="L39" s="251"/>
      <c r="M39" s="251"/>
      <c r="N39" s="251"/>
      <c r="O39" s="2138"/>
      <c r="P39" s="2760"/>
      <c r="Q39" s="2762"/>
      <c r="R39" s="2141"/>
      <c r="S39" s="2142"/>
      <c r="T39" s="2143"/>
      <c r="U39" s="2144"/>
      <c r="V39" s="2145"/>
      <c r="W39" s="2146"/>
      <c r="X39" s="2147"/>
      <c r="Y39" s="2147"/>
      <c r="Z39" s="2147"/>
      <c r="AA39" s="2148"/>
      <c r="AB39" s="2138"/>
      <c r="AC39" s="2149"/>
      <c r="AD39" s="100"/>
    </row>
    <row r="40" spans="1:30" ht="16.5" customHeight="1">
      <c r="A40" s="8"/>
      <c r="B40" s="55"/>
      <c r="C40" s="1021" t="s">
        <v>396</v>
      </c>
      <c r="D40" s="683" t="s">
        <v>336</v>
      </c>
      <c r="E40" s="151" t="s">
        <v>308</v>
      </c>
      <c r="F40" s="151">
        <v>300</v>
      </c>
      <c r="G40" s="324" t="s">
        <v>78</v>
      </c>
      <c r="H40" s="2150">
        <f>F40*$F$21</f>
        <v>194.70000000000002</v>
      </c>
      <c r="I40" s="2151"/>
      <c r="J40" s="2152">
        <v>40984.34166666667</v>
      </c>
      <c r="K40" s="2152">
        <v>40984.40416666667</v>
      </c>
      <c r="L40" s="343">
        <f>IF(D40="","",(K40-J40)*24)</f>
        <v>1.5</v>
      </c>
      <c r="M40" s="344">
        <f>IF(D40="","",(K40-J40)*24*60)</f>
        <v>90</v>
      </c>
      <c r="N40" s="2153" t="s">
        <v>253</v>
      </c>
      <c r="O40" s="346" t="str">
        <f>IF(D40="","",IF(OR(N40="P",N40="RP"),"--","NO"))</f>
        <v>--</v>
      </c>
      <c r="P40" s="2769" t="str">
        <f>IF(D40="","","NO")</f>
        <v>NO</v>
      </c>
      <c r="Q40" s="2770"/>
      <c r="R40" s="2156">
        <f>200*IF(P40="SI",1,0.1)*IF(N40="P",0.1,1)</f>
        <v>2</v>
      </c>
      <c r="S40" s="2157">
        <f>IF(N40="P",H40*R40*ROUND(M40/60,2),"--")</f>
        <v>584.1</v>
      </c>
      <c r="T40" s="2158" t="str">
        <f>IF(AND(N40="F",O40="NO"),H40*R40,"--")</f>
        <v>--</v>
      </c>
      <c r="U40" s="2159" t="str">
        <f>IF(N40="F",H40*R40*ROUND(M40/60,2),"--")</f>
        <v>--</v>
      </c>
      <c r="V40" s="438" t="str">
        <f>IF(N40="RF",H40*R40*ROUND(M40/60,2),"--")</f>
        <v>--</v>
      </c>
      <c r="W40" s="2160"/>
      <c r="X40" s="2161"/>
      <c r="Y40" s="2161"/>
      <c r="Z40" s="2161"/>
      <c r="AA40" s="2162"/>
      <c r="AB40" s="356" t="str">
        <f>IF(D40="","","SI")</f>
        <v>SI</v>
      </c>
      <c r="AC40" s="688">
        <f>IF(D40="","",SUM(S40:V40)*IF(AB40="SI",1,2))</f>
        <v>584.1</v>
      </c>
      <c r="AD40" s="100"/>
    </row>
    <row r="41" spans="1:30" ht="16.5" customHeight="1">
      <c r="A41" s="8"/>
      <c r="B41" s="55"/>
      <c r="C41" s="1021" t="s">
        <v>397</v>
      </c>
      <c r="D41" s="151"/>
      <c r="E41" s="151"/>
      <c r="F41" s="151"/>
      <c r="G41" s="324"/>
      <c r="H41" s="2150">
        <f>F41*$F$21</f>
        <v>0</v>
      </c>
      <c r="I41" s="2151"/>
      <c r="J41" s="2152"/>
      <c r="K41" s="2071"/>
      <c r="L41" s="343">
        <f>IF(D41="","",(K41-J41)*24)</f>
      </c>
      <c r="M41" s="344">
        <f>IF(D41="","",(K41-J41)*24*60)</f>
      </c>
      <c r="N41" s="2153"/>
      <c r="O41" s="346">
        <f>IF(D41="","",IF(OR(N41="P",N41="RP"),"--","NO"))</f>
      </c>
      <c r="P41" s="2769">
        <f>IF(D41="","","NO")</f>
      </c>
      <c r="Q41" s="2770"/>
      <c r="R41" s="2156">
        <f>200*IF(P41="SI",1,0.1)*IF(N41="P",0.1,1)</f>
        <v>20</v>
      </c>
      <c r="S41" s="2157" t="str">
        <f>IF(N41="P",H41*R41*ROUND(M41/60,2),"--")</f>
        <v>--</v>
      </c>
      <c r="T41" s="2158" t="str">
        <f>IF(AND(N41="F",O41="NO"),H41*R41,"--")</f>
        <v>--</v>
      </c>
      <c r="U41" s="2159" t="str">
        <f>IF(N41="F",H41*R41*ROUND(M41/60,2),"--")</f>
        <v>--</v>
      </c>
      <c r="V41" s="438" t="str">
        <f>IF(N41="RF",H41*R41*ROUND(M41/60,2),"--")</f>
        <v>--</v>
      </c>
      <c r="W41" s="2160"/>
      <c r="X41" s="2161"/>
      <c r="Y41" s="2161"/>
      <c r="Z41" s="2161"/>
      <c r="AA41" s="2162"/>
      <c r="AB41" s="356">
        <f>IF(D41="","","SI")</f>
      </c>
      <c r="AC41" s="688">
        <f>IF(D41="","",SUM(S41:V41)*IF(AB41="SI",1,2))</f>
      </c>
      <c r="AD41" s="100"/>
    </row>
    <row r="42" spans="1:30" ht="16.5" customHeight="1" thickBot="1">
      <c r="A42" s="27"/>
      <c r="B42" s="55"/>
      <c r="C42" s="2086"/>
      <c r="D42" s="2164"/>
      <c r="E42" s="2165"/>
      <c r="F42" s="2166"/>
      <c r="G42" s="2167"/>
      <c r="H42" s="2168"/>
      <c r="I42" s="2169"/>
      <c r="J42" s="2170"/>
      <c r="K42" s="2171"/>
      <c r="L42" s="2172"/>
      <c r="M42" s="2173"/>
      <c r="N42" s="2174"/>
      <c r="O42" s="211"/>
      <c r="P42" s="2771"/>
      <c r="Q42" s="2772"/>
      <c r="R42" s="2177"/>
      <c r="S42" s="2178"/>
      <c r="T42" s="2179"/>
      <c r="U42" s="2180"/>
      <c r="V42" s="2181"/>
      <c r="W42" s="2182"/>
      <c r="X42" s="2183"/>
      <c r="Y42" s="2183"/>
      <c r="Z42" s="2183"/>
      <c r="AA42" s="2184"/>
      <c r="AB42" s="2185"/>
      <c r="AC42" s="2186"/>
      <c r="AD42" s="2107"/>
    </row>
    <row r="43" spans="1:30" ht="16.5" customHeight="1" thickBot="1" thickTop="1">
      <c r="A43" s="27"/>
      <c r="B43" s="55"/>
      <c r="C43" s="283"/>
      <c r="D43" s="229"/>
      <c r="E43" s="229"/>
      <c r="F43" s="2187"/>
      <c r="G43" s="2188"/>
      <c r="H43" s="2188"/>
      <c r="I43" s="2188"/>
      <c r="J43" s="2190"/>
      <c r="K43" s="2191"/>
      <c r="L43" s="2192"/>
      <c r="M43" s="2193"/>
      <c r="N43" s="2189"/>
      <c r="O43" s="231"/>
      <c r="P43" s="2201"/>
      <c r="Q43" s="2201"/>
      <c r="R43" s="2201"/>
      <c r="S43" s="2201"/>
      <c r="T43" s="2201"/>
      <c r="U43" s="2201"/>
      <c r="V43" s="2201"/>
      <c r="W43" s="2201"/>
      <c r="X43" s="2201"/>
      <c r="Y43" s="2201"/>
      <c r="Z43" s="2201"/>
      <c r="AA43" s="2201"/>
      <c r="AB43" s="2198"/>
      <c r="AC43" s="2262">
        <f>SUM(AC39:AC42)</f>
        <v>584.1</v>
      </c>
      <c r="AD43" s="2107"/>
    </row>
    <row r="44" spans="1:30" ht="16.5" customHeight="1" thickBot="1" thickTop="1">
      <c r="A44" s="27"/>
      <c r="B44" s="55"/>
      <c r="C44" s="283"/>
      <c r="D44" s="229"/>
      <c r="E44" s="283"/>
      <c r="F44" s="229"/>
      <c r="G44" s="283"/>
      <c r="H44" s="229"/>
      <c r="I44" s="283"/>
      <c r="J44" s="229"/>
      <c r="K44" s="283"/>
      <c r="L44" s="229"/>
      <c r="M44" s="283"/>
      <c r="N44" s="229"/>
      <c r="O44" s="283"/>
      <c r="P44" s="229"/>
      <c r="Q44" s="283"/>
      <c r="R44" s="229"/>
      <c r="S44" s="283"/>
      <c r="T44" s="229"/>
      <c r="U44" s="283"/>
      <c r="V44" s="229"/>
      <c r="W44" s="283"/>
      <c r="X44" s="229"/>
      <c r="Y44" s="283"/>
      <c r="Z44" s="229"/>
      <c r="AA44" s="283"/>
      <c r="AB44" s="229"/>
      <c r="AC44" s="283"/>
      <c r="AD44" s="2107"/>
    </row>
    <row r="45" spans="1:33" s="8" customFormat="1" ht="33.75" customHeight="1" thickBot="1" thickTop="1">
      <c r="A45" s="90"/>
      <c r="B45" s="267"/>
      <c r="C45" s="296" t="s">
        <v>32</v>
      </c>
      <c r="D45" s="297" t="s">
        <v>60</v>
      </c>
      <c r="E45" s="298" t="s">
        <v>61</v>
      </c>
      <c r="F45" s="2763" t="s">
        <v>35</v>
      </c>
      <c r="G45" s="2764"/>
      <c r="H45" s="301" t="s">
        <v>39</v>
      </c>
      <c r="I45" s="2125"/>
      <c r="J45" s="298" t="s">
        <v>40</v>
      </c>
      <c r="K45" s="298" t="s">
        <v>41</v>
      </c>
      <c r="L45" s="297" t="s">
        <v>63</v>
      </c>
      <c r="M45" s="297" t="s">
        <v>43</v>
      </c>
      <c r="N45" s="120" t="s">
        <v>398</v>
      </c>
      <c r="O45" s="2757" t="s">
        <v>46</v>
      </c>
      <c r="P45" s="2758"/>
      <c r="Q45" s="2759"/>
      <c r="R45" s="420" t="s">
        <v>38</v>
      </c>
      <c r="S45" s="421" t="s">
        <v>73</v>
      </c>
      <c r="T45" s="422" t="s">
        <v>74</v>
      </c>
      <c r="U45" s="423"/>
      <c r="V45" s="424" t="s">
        <v>51</v>
      </c>
      <c r="W45" s="2133"/>
      <c r="X45" s="2133"/>
      <c r="Y45" s="2133"/>
      <c r="Z45" s="2133"/>
      <c r="AA45" s="2134"/>
      <c r="AB45" s="131" t="s">
        <v>53</v>
      </c>
      <c r="AC45" s="300" t="s">
        <v>54</v>
      </c>
      <c r="AD45" s="100"/>
      <c r="AF45" s="9"/>
      <c r="AG45" s="9"/>
    </row>
    <row r="46" spans="1:30" ht="16.5" customHeight="1" thickTop="1">
      <c r="A46" s="8"/>
      <c r="B46" s="55"/>
      <c r="C46" s="153"/>
      <c r="D46" s="251"/>
      <c r="E46" s="251"/>
      <c r="F46" s="2760"/>
      <c r="G46" s="2762"/>
      <c r="H46" s="2136"/>
      <c r="I46" s="2137"/>
      <c r="J46" s="251"/>
      <c r="K46" s="251"/>
      <c r="L46" s="251"/>
      <c r="M46" s="251"/>
      <c r="N46" s="251"/>
      <c r="O46" s="2760"/>
      <c r="P46" s="2761"/>
      <c r="Q46" s="2762"/>
      <c r="R46" s="447"/>
      <c r="S46" s="427"/>
      <c r="T46" s="428"/>
      <c r="U46" s="429"/>
      <c r="V46" s="430"/>
      <c r="W46" s="2147"/>
      <c r="X46" s="2147"/>
      <c r="Y46" s="2147"/>
      <c r="Z46" s="2147"/>
      <c r="AA46" s="2148"/>
      <c r="AB46" s="2138"/>
      <c r="AC46" s="2149"/>
      <c r="AD46" s="100"/>
    </row>
    <row r="47" spans="1:30" ht="15">
      <c r="A47" s="8"/>
      <c r="B47" s="55"/>
      <c r="C47" s="1021" t="s">
        <v>396</v>
      </c>
      <c r="D47" s="683" t="s">
        <v>336</v>
      </c>
      <c r="E47" s="2163" t="s">
        <v>337</v>
      </c>
      <c r="F47" s="2765">
        <v>132</v>
      </c>
      <c r="G47" s="2766"/>
      <c r="H47" s="2150">
        <f>IF(F47=132,$F$22,0)</f>
        <v>103.083</v>
      </c>
      <c r="I47" s="2151"/>
      <c r="J47" s="443">
        <v>40984.31180555555</v>
      </c>
      <c r="K47" s="202">
        <v>40984.4375</v>
      </c>
      <c r="L47" s="343">
        <f>IF(D47="","",(K47-J47)*24)</f>
        <v>3.016666666720994</v>
      </c>
      <c r="M47" s="344">
        <f>IF(D47="","",(K47-J47)*24*60)</f>
        <v>181.00000000325963</v>
      </c>
      <c r="N47" s="2153" t="s">
        <v>253</v>
      </c>
      <c r="O47" s="2774" t="str">
        <f>IF(D47="","",IF(N47="P","--","NO"))</f>
        <v>--</v>
      </c>
      <c r="P47" s="2775"/>
      <c r="Q47" s="2776"/>
      <c r="R47" s="447">
        <f>IF(F47=132,40,0)</f>
        <v>40</v>
      </c>
      <c r="S47" s="448">
        <f>IF(N47="P",H47*R47*ROUND(M47/60,2)*0.1,"--")</f>
        <v>1245.24264</v>
      </c>
      <c r="T47" s="436" t="str">
        <f>IF(AND(N47="F",O47="NO"),H47*R47,"--")</f>
        <v>--</v>
      </c>
      <c r="U47" s="437" t="str">
        <f>IF(N47="F",H47*R47*ROUND(M47/60,2),"--")</f>
        <v>--</v>
      </c>
      <c r="V47" s="438" t="str">
        <f>IF(N47="RF",H47*R47*ROUND(M47/60,2),"--")</f>
        <v>--</v>
      </c>
      <c r="W47" s="2161"/>
      <c r="X47" s="2161"/>
      <c r="Y47" s="2161"/>
      <c r="Z47" s="2161"/>
      <c r="AA47" s="2162"/>
      <c r="AB47" s="356" t="str">
        <f>IF(D47="","","SI")</f>
        <v>SI</v>
      </c>
      <c r="AC47" s="449">
        <f>IF(D47="","",SUM(S47:V47)*IF(AB47="SI",1,2))</f>
        <v>1245.24264</v>
      </c>
      <c r="AD47" s="2107"/>
    </row>
    <row r="48" spans="1:30" ht="16.5" customHeight="1">
      <c r="A48" s="8"/>
      <c r="B48" s="55"/>
      <c r="C48" s="1021" t="s">
        <v>397</v>
      </c>
      <c r="D48" s="683" t="s">
        <v>336</v>
      </c>
      <c r="E48" s="2163" t="s">
        <v>501</v>
      </c>
      <c r="F48" s="2765">
        <v>132</v>
      </c>
      <c r="G48" s="2766"/>
      <c r="H48" s="2150">
        <f>IF(F48=132,$F$22,0)</f>
        <v>103.083</v>
      </c>
      <c r="I48" s="2151"/>
      <c r="J48" s="443">
        <v>40984.31180555555</v>
      </c>
      <c r="K48" s="202">
        <v>40984.44027777778</v>
      </c>
      <c r="L48" s="343">
        <f>IF(D48="","",(K48-J48)*24)</f>
        <v>3.083333333430346</v>
      </c>
      <c r="M48" s="344">
        <f>IF(D48="","",(K48-J48)*24*60)</f>
        <v>185.00000000582077</v>
      </c>
      <c r="N48" s="2153" t="s">
        <v>253</v>
      </c>
      <c r="O48" s="2774" t="str">
        <f>IF(D48="","",IF(N48="P","--","NO"))</f>
        <v>--</v>
      </c>
      <c r="P48" s="2775"/>
      <c r="Q48" s="2776"/>
      <c r="R48" s="447">
        <f>IF(F48=132,40,0)</f>
        <v>40</v>
      </c>
      <c r="S48" s="448">
        <f>IF(N48="P",H48*R48*ROUND(M48/60,2)*0.1,"--")</f>
        <v>1269.9825600000001</v>
      </c>
      <c r="T48" s="436" t="str">
        <f>IF(AND(N48="F",O48="NO"),H48*R48,"--")</f>
        <v>--</v>
      </c>
      <c r="U48" s="437" t="str">
        <f>IF(N48="F",H48*R48*ROUND(M48/60,2),"--")</f>
        <v>--</v>
      </c>
      <c r="V48" s="438" t="str">
        <f>IF(N48="RF",H48*R48*ROUND(M48/60,2),"--")</f>
        <v>--</v>
      </c>
      <c r="W48" s="2161"/>
      <c r="X48" s="2161"/>
      <c r="Y48" s="2161"/>
      <c r="Z48" s="2161"/>
      <c r="AA48" s="2162"/>
      <c r="AB48" s="356" t="str">
        <f>IF(D48="","","SI")</f>
        <v>SI</v>
      </c>
      <c r="AC48" s="449">
        <f>IF(D48="","",SUM(S48:V48)*IF(AB48="SI",1,2))</f>
        <v>1269.9825600000001</v>
      </c>
      <c r="AD48" s="100"/>
    </row>
    <row r="49" spans="1:30" ht="16.5" customHeight="1" thickBot="1">
      <c r="A49" s="27"/>
      <c r="B49" s="55"/>
      <c r="C49" s="2086"/>
      <c r="D49" s="2164"/>
      <c r="E49" s="2165"/>
      <c r="F49" s="2755"/>
      <c r="G49" s="2756"/>
      <c r="H49" s="2168"/>
      <c r="I49" s="2169"/>
      <c r="J49" s="2170"/>
      <c r="K49" s="2171"/>
      <c r="L49" s="2172"/>
      <c r="M49" s="2173"/>
      <c r="N49" s="2174"/>
      <c r="O49" s="2771"/>
      <c r="P49" s="2773"/>
      <c r="Q49" s="2772"/>
      <c r="R49" s="447"/>
      <c r="S49" s="448"/>
      <c r="T49" s="436"/>
      <c r="U49" s="437"/>
      <c r="V49" s="438"/>
      <c r="W49" s="2183"/>
      <c r="X49" s="2183"/>
      <c r="Y49" s="2183"/>
      <c r="Z49" s="2183"/>
      <c r="AA49" s="2184"/>
      <c r="AB49" s="2185"/>
      <c r="AC49" s="449"/>
      <c r="AD49" s="2107"/>
    </row>
    <row r="50" spans="1:30" ht="16.5" customHeight="1" thickBot="1" thickTop="1">
      <c r="A50" s="27"/>
      <c r="B50" s="55"/>
      <c r="C50" s="283"/>
      <c r="D50" s="229"/>
      <c r="E50" s="229"/>
      <c r="F50" s="2187"/>
      <c r="G50" s="2187"/>
      <c r="H50" s="2187"/>
      <c r="I50" s="2187"/>
      <c r="J50" s="2190"/>
      <c r="K50" s="2191"/>
      <c r="L50" s="2192"/>
      <c r="M50" s="2193"/>
      <c r="N50" s="2189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198"/>
      <c r="AC50" s="2262">
        <f>SUM(AC46:AC49)</f>
        <v>2515.2252</v>
      </c>
      <c r="AD50" s="2107"/>
    </row>
    <row r="51" spans="1:30" ht="16.5" customHeight="1" thickBot="1" thickTop="1">
      <c r="A51" s="27"/>
      <c r="B51" s="55"/>
      <c r="C51" s="2263">
        <v>3</v>
      </c>
      <c r="D51" s="2264">
        <v>4</v>
      </c>
      <c r="E51" s="2263">
        <v>5</v>
      </c>
      <c r="F51" s="2264">
        <v>6</v>
      </c>
      <c r="G51" s="2263">
        <v>7</v>
      </c>
      <c r="H51" s="2264">
        <v>8</v>
      </c>
      <c r="I51" s="2263">
        <v>9</v>
      </c>
      <c r="J51" s="2264">
        <v>10</v>
      </c>
      <c r="K51" s="2263">
        <v>11</v>
      </c>
      <c r="L51" s="2264">
        <v>12</v>
      </c>
      <c r="M51" s="2263">
        <v>13</v>
      </c>
      <c r="N51" s="2264">
        <v>14</v>
      </c>
      <c r="O51" s="2263">
        <v>15</v>
      </c>
      <c r="P51" s="2264">
        <v>16</v>
      </c>
      <c r="Q51" s="2263">
        <v>17</v>
      </c>
      <c r="R51" s="2264">
        <v>18</v>
      </c>
      <c r="S51" s="2263">
        <v>19</v>
      </c>
      <c r="T51" s="2264">
        <v>20</v>
      </c>
      <c r="U51" s="2263">
        <v>21</v>
      </c>
      <c r="V51" s="2264">
        <v>22</v>
      </c>
      <c r="W51" s="2263">
        <v>23</v>
      </c>
      <c r="X51" s="2264">
        <v>24</v>
      </c>
      <c r="Y51" s="2263">
        <v>25</v>
      </c>
      <c r="Z51" s="2264">
        <v>26</v>
      </c>
      <c r="AA51" s="2263">
        <v>27</v>
      </c>
      <c r="AB51" s="2264">
        <v>28</v>
      </c>
      <c r="AC51" s="2263">
        <v>29</v>
      </c>
      <c r="AD51" s="2107"/>
    </row>
    <row r="52" spans="1:30" ht="43.5" customHeight="1" thickBot="1" thickTop="1">
      <c r="A52" s="27"/>
      <c r="B52" s="2016"/>
      <c r="C52" s="296" t="s">
        <v>32</v>
      </c>
      <c r="D52" s="297" t="s">
        <v>60</v>
      </c>
      <c r="E52" s="113" t="s">
        <v>61</v>
      </c>
      <c r="F52" s="2783" t="s">
        <v>344</v>
      </c>
      <c r="G52" s="2784"/>
      <c r="H52" s="301" t="s">
        <v>39</v>
      </c>
      <c r="I52" s="2265"/>
      <c r="J52" s="113" t="s">
        <v>40</v>
      </c>
      <c r="K52" s="113" t="s">
        <v>41</v>
      </c>
      <c r="L52" s="115" t="s">
        <v>42</v>
      </c>
      <c r="M52" s="115" t="s">
        <v>43</v>
      </c>
      <c r="N52" s="120" t="s">
        <v>251</v>
      </c>
      <c r="O52" s="120" t="s">
        <v>44</v>
      </c>
      <c r="P52" s="2779" t="s">
        <v>46</v>
      </c>
      <c r="Q52" s="2780"/>
      <c r="R52" s="2266" t="s">
        <v>38</v>
      </c>
      <c r="S52" s="698" t="s">
        <v>73</v>
      </c>
      <c r="T52" s="699" t="s">
        <v>345</v>
      </c>
      <c r="U52" s="700"/>
      <c r="V52" s="306" t="s">
        <v>346</v>
      </c>
      <c r="W52" s="307"/>
      <c r="X52" s="701" t="s">
        <v>51</v>
      </c>
      <c r="Y52" s="305" t="s">
        <v>48</v>
      </c>
      <c r="Z52" s="2265"/>
      <c r="AA52" s="2265"/>
      <c r="AB52" s="131" t="s">
        <v>53</v>
      </c>
      <c r="AC52" s="702" t="s">
        <v>54</v>
      </c>
      <c r="AD52" s="2212"/>
    </row>
    <row r="53" spans="1:30" ht="16.5" customHeight="1" thickTop="1">
      <c r="A53" s="27"/>
      <c r="B53" s="2016"/>
      <c r="C53" s="310"/>
      <c r="D53" s="479"/>
      <c r="E53" s="479"/>
      <c r="F53" s="2781"/>
      <c r="G53" s="2782"/>
      <c r="H53" s="703"/>
      <c r="I53" s="2265"/>
      <c r="J53" s="704"/>
      <c r="K53" s="704"/>
      <c r="L53" s="705"/>
      <c r="M53" s="705"/>
      <c r="N53" s="479"/>
      <c r="O53" s="152"/>
      <c r="P53" s="2781"/>
      <c r="Q53" s="2782"/>
      <c r="R53" s="707"/>
      <c r="S53" s="708"/>
      <c r="T53" s="900"/>
      <c r="U53" s="901"/>
      <c r="V53" s="319"/>
      <c r="W53" s="320"/>
      <c r="X53" s="711"/>
      <c r="Y53" s="711"/>
      <c r="Z53" s="2265"/>
      <c r="AA53" s="2265"/>
      <c r="AB53" s="480"/>
      <c r="AC53" s="712"/>
      <c r="AD53" s="2212"/>
    </row>
    <row r="54" spans="1:30" ht="16.5" customHeight="1">
      <c r="A54" s="27"/>
      <c r="B54" s="2016"/>
      <c r="C54" s="1021" t="s">
        <v>396</v>
      </c>
      <c r="D54" s="481"/>
      <c r="E54" s="902"/>
      <c r="F54" s="2785"/>
      <c r="G54" s="2786"/>
      <c r="H54" s="903"/>
      <c r="I54" s="2265"/>
      <c r="J54" s="904"/>
      <c r="K54" s="905"/>
      <c r="L54" s="728"/>
      <c r="M54" s="729"/>
      <c r="N54" s="906"/>
      <c r="O54" s="158"/>
      <c r="P54" s="2769"/>
      <c r="Q54" s="2770"/>
      <c r="R54" s="732"/>
      <c r="S54" s="907"/>
      <c r="T54" s="734"/>
      <c r="U54" s="735"/>
      <c r="V54" s="332"/>
      <c r="W54" s="333"/>
      <c r="X54" s="736"/>
      <c r="Y54" s="736"/>
      <c r="Z54" s="2265"/>
      <c r="AA54" s="2265"/>
      <c r="AB54" s="685"/>
      <c r="AC54" s="908"/>
      <c r="AD54" s="2212"/>
    </row>
    <row r="55" spans="2:30" s="27" customFormat="1" ht="16.5" customHeight="1">
      <c r="B55" s="2016"/>
      <c r="C55" s="1021" t="s">
        <v>397</v>
      </c>
      <c r="D55" s="483"/>
      <c r="E55" s="440"/>
      <c r="F55" s="2767"/>
      <c r="G55" s="2768"/>
      <c r="H55" s="341">
        <f>F55*$F$21</f>
        <v>0</v>
      </c>
      <c r="I55" s="2265"/>
      <c r="J55" s="443"/>
      <c r="K55" s="202"/>
      <c r="L55" s="445">
        <f>IF(D55="","",(K55-J55)*24)</f>
      </c>
      <c r="M55" s="446">
        <f>IF(D55="","",ROUND((K55-J55)*24*60,0))</f>
      </c>
      <c r="N55" s="179"/>
      <c r="O55" s="254">
        <f>IF(D55="","","--")</f>
      </c>
      <c r="P55" s="2769">
        <f>IF(D55="","",IF(OR(N55="P",N55="RP"),"--","NO"))</f>
      </c>
      <c r="Q55" s="2770"/>
      <c r="R55" s="739">
        <f>IF(OR(N55="P",N55="RP"),200/10,200)</f>
        <v>200</v>
      </c>
      <c r="S55" s="740" t="str">
        <f>IF(N55="P",H55*R55*ROUND(M55/60,2),"--")</f>
        <v>--</v>
      </c>
      <c r="T55" s="734" t="str">
        <f>IF(AND(N55="F",P55="NO"),H55*R55,"--")</f>
        <v>--</v>
      </c>
      <c r="U55" s="735" t="str">
        <f>IF(N55="F",H55*R55*ROUND(M55/60,2),"--")</f>
        <v>--</v>
      </c>
      <c r="V55" s="352" t="str">
        <f>IF(AND(N55="R",P55="NO"),H55*R55*O55/100,"--")</f>
        <v>--</v>
      </c>
      <c r="W55" s="353" t="str">
        <f>IF(N55="R",H55*R55*O55/100*ROUND(M55/60,2),"--")</f>
        <v>--</v>
      </c>
      <c r="X55" s="736" t="str">
        <f>IF(N55="RF",H55*R55*ROUND(M55/60,2),"--")</f>
        <v>--</v>
      </c>
      <c r="Y55" s="687" t="str">
        <f>IF(N55="RP",H55*R55*O55/100*ROUND(M55/60,2),"--")</f>
        <v>--</v>
      </c>
      <c r="Z55" s="2265"/>
      <c r="AA55" s="2265"/>
      <c r="AB55" s="181">
        <f>IF(D55="","","SI")</f>
      </c>
      <c r="AC55" s="449">
        <f>IF(D55="","",SUM(S55:Y55)*IF(AB55="SI",1,2)*IF(AND(O55&lt;&gt;"--",N55="RF"),O55/100,1))</f>
      </c>
      <c r="AD55" s="2212"/>
    </row>
    <row r="56" spans="1:30" ht="16.5" customHeight="1" thickBot="1">
      <c r="A56" s="27"/>
      <c r="B56" s="2016"/>
      <c r="C56" s="2267"/>
      <c r="D56" s="2268"/>
      <c r="E56" s="909"/>
      <c r="F56" s="2777"/>
      <c r="G56" s="2778"/>
      <c r="H56" s="341">
        <f>F56*$F$21</f>
        <v>0</v>
      </c>
      <c r="I56" s="2265"/>
      <c r="J56" s="2269"/>
      <c r="K56" s="2270"/>
      <c r="L56" s="2271">
        <f>IF(D56="","",(K56-J56)*24)</f>
      </c>
      <c r="M56" s="365">
        <f>IF(D56="","",ROUND((K56-J56)*24*60,0))</f>
      </c>
      <c r="N56" s="450"/>
      <c r="O56" s="2272">
        <f>IF(D56="","","--")</f>
      </c>
      <c r="P56" s="2771"/>
      <c r="Q56" s="2772"/>
      <c r="R56" s="2273"/>
      <c r="S56" s="2274"/>
      <c r="T56" s="2275"/>
      <c r="U56" s="2276"/>
      <c r="V56" s="2277"/>
      <c r="W56" s="2278"/>
      <c r="X56" s="2279"/>
      <c r="Y56" s="2280"/>
      <c r="Z56" s="2183"/>
      <c r="AA56" s="2183"/>
      <c r="AB56" s="211"/>
      <c r="AC56" s="2281"/>
      <c r="AD56" s="2212"/>
    </row>
    <row r="57" spans="1:30" ht="16.5" customHeight="1" thickBot="1" thickTop="1">
      <c r="A57" s="27"/>
      <c r="B57" s="2016"/>
      <c r="C57" s="283"/>
      <c r="D57" s="229"/>
      <c r="E57" s="2198"/>
      <c r="F57" s="2198"/>
      <c r="G57" s="2198"/>
      <c r="H57" s="2198"/>
      <c r="I57" s="2198"/>
      <c r="J57" s="2198"/>
      <c r="K57" s="2198"/>
      <c r="L57" s="2198"/>
      <c r="M57" s="2198"/>
      <c r="N57" s="2198"/>
      <c r="O57" s="2198"/>
      <c r="P57" s="2198"/>
      <c r="Q57" s="2198"/>
      <c r="R57" s="2198"/>
      <c r="S57" s="2198"/>
      <c r="T57" s="2198"/>
      <c r="U57" s="2198"/>
      <c r="V57" s="2198"/>
      <c r="W57" s="2198"/>
      <c r="X57" s="2198"/>
      <c r="Y57" s="2198"/>
      <c r="Z57" s="2198"/>
      <c r="AA57" s="2198"/>
      <c r="AB57" s="2198"/>
      <c r="AC57" s="2262">
        <f>SUM(AC53:AC56)</f>
        <v>0</v>
      </c>
      <c r="AD57" s="2212"/>
    </row>
    <row r="58" spans="1:30" ht="16.5" customHeight="1" thickBot="1" thickTop="1">
      <c r="A58" s="27"/>
      <c r="B58" s="2016"/>
      <c r="C58" s="283"/>
      <c r="D58" s="229"/>
      <c r="E58" s="229"/>
      <c r="F58" s="2187"/>
      <c r="G58" s="2188"/>
      <c r="H58" s="2189"/>
      <c r="I58" s="2190"/>
      <c r="J58" s="2191"/>
      <c r="K58" s="2192"/>
      <c r="L58" s="2193"/>
      <c r="M58" s="2189"/>
      <c r="N58" s="2194"/>
      <c r="O58" s="231"/>
      <c r="P58" s="2195"/>
      <c r="Q58" s="2196"/>
      <c r="R58" s="2197"/>
      <c r="S58" s="2197"/>
      <c r="T58" s="2197"/>
      <c r="U58" s="2198"/>
      <c r="V58" s="2198"/>
      <c r="W58" s="2198"/>
      <c r="X58" s="2198"/>
      <c r="Y58" s="2198"/>
      <c r="Z58" s="2198"/>
      <c r="AA58" s="2198"/>
      <c r="AB58" s="2198"/>
      <c r="AC58" s="2282"/>
      <c r="AD58" s="2212"/>
    </row>
    <row r="59" spans="1:30" ht="16.5" customHeight="1" thickBot="1" thickTop="1">
      <c r="A59" s="27"/>
      <c r="B59" s="2016"/>
      <c r="C59" s="283"/>
      <c r="D59" s="229"/>
      <c r="E59" s="229"/>
      <c r="F59" s="2187"/>
      <c r="G59" s="2188"/>
      <c r="H59" s="2189"/>
      <c r="I59" s="2190"/>
      <c r="J59" s="2029" t="s">
        <v>402</v>
      </c>
      <c r="K59" s="2030">
        <f>+AC43+AC36+AC50+AC57</f>
        <v>3099.3251999999998</v>
      </c>
      <c r="L59" s="2193"/>
      <c r="M59" s="2189"/>
      <c r="N59" s="2200"/>
      <c r="O59" s="2201"/>
      <c r="P59" s="2195"/>
      <c r="Q59" s="2196"/>
      <c r="R59" s="2197"/>
      <c r="S59" s="2197"/>
      <c r="T59" s="2197"/>
      <c r="U59" s="2198"/>
      <c r="V59" s="2198"/>
      <c r="W59" s="2198"/>
      <c r="X59" s="2198"/>
      <c r="Y59" s="2198"/>
      <c r="Z59" s="2198"/>
      <c r="AA59" s="2198"/>
      <c r="AB59" s="2198"/>
      <c r="AC59" s="2202"/>
      <c r="AD59" s="2212"/>
    </row>
    <row r="60" spans="2:30" ht="16.5" customHeight="1" thickTop="1">
      <c r="B60" s="2016"/>
      <c r="C60" s="2019"/>
      <c r="D60" s="2203"/>
      <c r="E60" s="2204"/>
      <c r="F60" s="2205"/>
      <c r="G60" s="2206"/>
      <c r="H60" s="2206"/>
      <c r="I60" s="2204"/>
      <c r="J60" s="2207"/>
      <c r="K60" s="2207"/>
      <c r="L60" s="2204"/>
      <c r="M60" s="2204"/>
      <c r="N60" s="2204"/>
      <c r="O60" s="2208"/>
      <c r="P60" s="2204"/>
      <c r="Q60" s="2204"/>
      <c r="R60" s="2209"/>
      <c r="S60" s="2210"/>
      <c r="T60" s="2210"/>
      <c r="U60" s="2211"/>
      <c r="AC60" s="2211"/>
      <c r="AD60" s="2212"/>
    </row>
    <row r="61" spans="2:30" s="27" customFormat="1" ht="16.5" customHeight="1">
      <c r="B61" s="2016"/>
      <c r="C61" s="2213" t="s">
        <v>403</v>
      </c>
      <c r="D61" s="2214" t="s">
        <v>422</v>
      </c>
      <c r="E61" s="2204"/>
      <c r="F61" s="2205"/>
      <c r="G61" s="2206"/>
      <c r="H61" s="2206"/>
      <c r="I61" s="2204"/>
      <c r="J61" s="2207"/>
      <c r="K61" s="2207"/>
      <c r="L61" s="2204"/>
      <c r="M61" s="2204"/>
      <c r="N61" s="2204"/>
      <c r="O61" s="2208"/>
      <c r="P61" s="2204"/>
      <c r="Q61" s="2204"/>
      <c r="R61" s="2209"/>
      <c r="S61" s="2210"/>
      <c r="T61" s="2210"/>
      <c r="U61" s="2211"/>
      <c r="V61" s="9"/>
      <c r="W61" s="9"/>
      <c r="X61" s="9"/>
      <c r="Y61" s="9"/>
      <c r="Z61" s="9"/>
      <c r="AA61" s="9"/>
      <c r="AB61" s="9"/>
      <c r="AC61" s="2211"/>
      <c r="AD61" s="2212"/>
    </row>
    <row r="62" spans="2:30" s="27" customFormat="1" ht="16.5" customHeight="1">
      <c r="B62" s="2016"/>
      <c r="C62" s="2213"/>
      <c r="D62" s="2203"/>
      <c r="E62" s="2204"/>
      <c r="F62" s="2205"/>
      <c r="G62" s="2206"/>
      <c r="H62" s="2206"/>
      <c r="I62" s="2204"/>
      <c r="J62" s="2207"/>
      <c r="K62" s="2207"/>
      <c r="L62" s="2204"/>
      <c r="M62" s="2204"/>
      <c r="N62" s="2204"/>
      <c r="O62" s="2208"/>
      <c r="P62" s="2204"/>
      <c r="Q62" s="2204"/>
      <c r="R62" s="2204"/>
      <c r="S62" s="2209"/>
      <c r="T62" s="2210"/>
      <c r="U62" s="9"/>
      <c r="V62" s="9"/>
      <c r="W62" s="9"/>
      <c r="X62" s="9"/>
      <c r="Y62" s="9"/>
      <c r="Z62" s="9"/>
      <c r="AA62" s="9"/>
      <c r="AB62" s="9"/>
      <c r="AC62" s="9"/>
      <c r="AD62" s="2212"/>
    </row>
    <row r="63" spans="1:30" ht="16.5" customHeight="1">
      <c r="A63" s="27"/>
      <c r="B63" s="2016"/>
      <c r="C63" s="2019"/>
      <c r="D63" s="2215" t="s">
        <v>5</v>
      </c>
      <c r="E63" s="2110" t="s">
        <v>404</v>
      </c>
      <c r="F63" s="2110" t="s">
        <v>405</v>
      </c>
      <c r="G63" s="2216" t="s">
        <v>423</v>
      </c>
      <c r="H63" s="2111"/>
      <c r="I63" s="2110"/>
      <c r="L63" s="2217" t="s">
        <v>424</v>
      </c>
      <c r="Q63" s="2218"/>
      <c r="R63" s="2218"/>
      <c r="S63" s="29"/>
      <c r="X63" s="29"/>
      <c r="Y63" s="29"/>
      <c r="Z63" s="29"/>
      <c r="AA63" s="29"/>
      <c r="AB63" s="29"/>
      <c r="AC63" s="2219" t="s">
        <v>425</v>
      </c>
      <c r="AD63" s="2212"/>
    </row>
    <row r="64" spans="1:30" ht="16.5" customHeight="1">
      <c r="A64" s="27"/>
      <c r="B64" s="2016"/>
      <c r="C64" s="2019"/>
      <c r="D64" s="2110" t="s">
        <v>492</v>
      </c>
      <c r="E64" s="2123">
        <v>386.15</v>
      </c>
      <c r="F64" s="2220">
        <v>500</v>
      </c>
      <c r="G64" s="2752">
        <f>E64*$F$19*$L$20/100</f>
        <v>678755.965692</v>
      </c>
      <c r="H64" s="2753"/>
      <c r="I64" s="2753"/>
      <c r="J64" s="2753"/>
      <c r="L64" s="2222">
        <v>522643</v>
      </c>
      <c r="M64" s="25"/>
      <c r="N64" s="2223" t="s">
        <v>500</v>
      </c>
      <c r="Q64" s="2218"/>
      <c r="R64" s="2218"/>
      <c r="S64" s="29"/>
      <c r="X64" s="29"/>
      <c r="Y64" s="29"/>
      <c r="Z64" s="29"/>
      <c r="AA64" s="29"/>
      <c r="AB64" s="2224"/>
      <c r="AC64" s="2225">
        <f>L64+G64</f>
        <v>1201398.965692</v>
      </c>
      <c r="AD64" s="2212"/>
    </row>
    <row r="65" spans="1:31" s="2243" customFormat="1" ht="18.75">
      <c r="A65" s="27"/>
      <c r="B65" s="2016"/>
      <c r="C65" s="2019"/>
      <c r="D65" s="2226" t="s">
        <v>493</v>
      </c>
      <c r="E65" s="2123">
        <v>280.7</v>
      </c>
      <c r="F65" s="2220">
        <v>500</v>
      </c>
      <c r="G65" s="2752">
        <f>E65*$F$19*$L$20/100</f>
        <v>493401.0088559999</v>
      </c>
      <c r="H65" s="2753"/>
      <c r="I65" s="2754"/>
      <c r="J65" s="2754"/>
      <c r="K65" s="9"/>
      <c r="L65" s="2222">
        <v>419740</v>
      </c>
      <c r="M65" s="25"/>
      <c r="N65" s="2223" t="s">
        <v>500</v>
      </c>
      <c r="O65" s="2228"/>
      <c r="P65" s="9"/>
      <c r="Q65" s="2218"/>
      <c r="R65" s="2218"/>
      <c r="S65" s="29"/>
      <c r="T65" s="9"/>
      <c r="U65" s="9"/>
      <c r="V65" s="9"/>
      <c r="W65" s="9"/>
      <c r="X65" s="29"/>
      <c r="Y65" s="29"/>
      <c r="Z65" s="29"/>
      <c r="AA65" s="29"/>
      <c r="AB65" s="29"/>
      <c r="AC65" s="2225">
        <f>L65+G65</f>
        <v>913141.0088559999</v>
      </c>
      <c r="AD65" s="2212"/>
      <c r="AE65" s="9"/>
    </row>
    <row r="66" spans="1:30" ht="16.5" customHeight="1">
      <c r="A66" s="27"/>
      <c r="B66" s="2016"/>
      <c r="C66" s="2019"/>
      <c r="D66" s="27"/>
      <c r="E66" s="2024"/>
      <c r="F66" s="2110"/>
      <c r="G66" s="2111"/>
      <c r="I66" s="2110"/>
      <c r="J66" s="2110"/>
      <c r="L66" s="2225"/>
      <c r="M66" s="2229"/>
      <c r="N66" s="2229"/>
      <c r="O66" s="2218"/>
      <c r="P66" s="2218"/>
      <c r="Q66" s="2218"/>
      <c r="R66" s="2218"/>
      <c r="S66" s="29"/>
      <c r="X66" s="29"/>
      <c r="Y66" s="29"/>
      <c r="Z66" s="29"/>
      <c r="AA66" s="29"/>
      <c r="AB66" s="29"/>
      <c r="AC66" s="2225"/>
      <c r="AD66" s="2212"/>
    </row>
    <row r="67" spans="1:30" ht="16.5" customHeight="1">
      <c r="A67" s="27"/>
      <c r="B67" s="2016"/>
      <c r="C67" s="2019"/>
      <c r="D67" s="2215" t="s">
        <v>456</v>
      </c>
      <c r="E67" s="2110" t="s">
        <v>409</v>
      </c>
      <c r="F67" s="2110" t="s">
        <v>405</v>
      </c>
      <c r="G67" s="2216" t="s">
        <v>426</v>
      </c>
      <c r="I67" s="2230"/>
      <c r="J67" s="2110"/>
      <c r="L67" s="2217" t="s">
        <v>444</v>
      </c>
      <c r="M67" s="2230"/>
      <c r="N67" s="2229"/>
      <c r="O67" s="2218"/>
      <c r="P67" s="2218"/>
      <c r="Q67" s="2218"/>
      <c r="R67" s="2218"/>
      <c r="S67" s="2218"/>
      <c r="AC67" s="2225"/>
      <c r="AD67" s="2212"/>
    </row>
    <row r="68" spans="1:30" ht="15.75">
      <c r="A68" s="27"/>
      <c r="B68" s="2016"/>
      <c r="C68" s="2019"/>
      <c r="D68" s="2110" t="s">
        <v>494</v>
      </c>
      <c r="E68" s="2220">
        <v>300</v>
      </c>
      <c r="F68" s="2220" t="s">
        <v>78</v>
      </c>
      <c r="G68" s="2752">
        <f>E68*F21*L20</f>
        <v>144856.80000000002</v>
      </c>
      <c r="H68" s="2753"/>
      <c r="I68" s="2753"/>
      <c r="J68" s="2754"/>
      <c r="L68" s="2221">
        <v>0</v>
      </c>
      <c r="M68" s="25"/>
      <c r="N68" s="2223" t="s">
        <v>500</v>
      </c>
      <c r="O68" s="2231"/>
      <c r="P68" s="2231"/>
      <c r="Q68" s="2231"/>
      <c r="R68" s="2231"/>
      <c r="S68" s="2231"/>
      <c r="AC68" s="2232">
        <f>G68</f>
        <v>144856.80000000002</v>
      </c>
      <c r="AD68" s="2212"/>
    </row>
    <row r="69" spans="1:30" ht="15.75">
      <c r="A69" s="27"/>
      <c r="B69" s="2016"/>
      <c r="C69" s="2019"/>
      <c r="D69" s="2110"/>
      <c r="E69" s="2220"/>
      <c r="F69" s="2220"/>
      <c r="G69" s="2221"/>
      <c r="H69" s="25"/>
      <c r="I69" s="25"/>
      <c r="J69" s="2222"/>
      <c r="L69" s="2222"/>
      <c r="M69" s="25"/>
      <c r="N69" s="2223"/>
      <c r="O69" s="2231"/>
      <c r="P69" s="2231"/>
      <c r="Q69" s="2231"/>
      <c r="R69" s="2231"/>
      <c r="S69" s="2231"/>
      <c r="AC69" s="2232"/>
      <c r="AD69" s="2212"/>
    </row>
    <row r="70" spans="1:30" ht="15.75">
      <c r="A70" s="27"/>
      <c r="B70" s="2016"/>
      <c r="C70" s="2019"/>
      <c r="D70" s="2215" t="s">
        <v>410</v>
      </c>
      <c r="E70" s="2227" t="s">
        <v>411</v>
      </c>
      <c r="F70" s="2227"/>
      <c r="G70" s="2110" t="s">
        <v>405</v>
      </c>
      <c r="I70" s="2230"/>
      <c r="J70" s="2216" t="s">
        <v>427</v>
      </c>
      <c r="L70" s="2217"/>
      <c r="M70" s="2230"/>
      <c r="N70" s="2229"/>
      <c r="O70" s="2218"/>
      <c r="P70" s="2218"/>
      <c r="Q70" s="2218"/>
      <c r="R70" s="2218"/>
      <c r="S70" s="2218"/>
      <c r="AC70" s="2225"/>
      <c r="AD70" s="2212"/>
    </row>
    <row r="71" spans="1:30" ht="15.75">
      <c r="A71" s="27"/>
      <c r="B71" s="2016"/>
      <c r="C71" s="2019"/>
      <c r="D71" s="2110" t="s">
        <v>494</v>
      </c>
      <c r="E71" s="2283" t="s">
        <v>495</v>
      </c>
      <c r="F71" s="2284"/>
      <c r="G71" s="2220">
        <v>132</v>
      </c>
      <c r="H71" s="25"/>
      <c r="I71" s="25"/>
      <c r="J71" s="2221">
        <f>F22*L20</f>
        <v>76693.752</v>
      </c>
      <c r="L71" s="2222"/>
      <c r="M71" s="25"/>
      <c r="N71" s="2223"/>
      <c r="O71" s="2231"/>
      <c r="P71" s="2231"/>
      <c r="Q71" s="2231"/>
      <c r="R71" s="2231"/>
      <c r="S71" s="2231"/>
      <c r="AC71" s="2232">
        <f>J71</f>
        <v>76693.752</v>
      </c>
      <c r="AD71" s="2212"/>
    </row>
    <row r="72" spans="1:30" ht="15.75">
      <c r="A72" s="27"/>
      <c r="B72" s="2016"/>
      <c r="C72" s="2019"/>
      <c r="D72" s="2110" t="s">
        <v>494</v>
      </c>
      <c r="E72" s="2283" t="s">
        <v>496</v>
      </c>
      <c r="F72" s="2284"/>
      <c r="G72" s="2220">
        <v>132</v>
      </c>
      <c r="H72" s="25"/>
      <c r="I72" s="25"/>
      <c r="J72" s="2221">
        <f>F22*L20</f>
        <v>76693.752</v>
      </c>
      <c r="L72" s="2222"/>
      <c r="M72" s="25"/>
      <c r="N72" s="2223"/>
      <c r="O72" s="2231"/>
      <c r="P72" s="2231"/>
      <c r="Q72" s="2231"/>
      <c r="R72" s="2231"/>
      <c r="S72" s="2231"/>
      <c r="AC72" s="2233">
        <f>J72</f>
        <v>76693.752</v>
      </c>
      <c r="AD72" s="2212"/>
    </row>
    <row r="73" spans="1:30" ht="9" customHeight="1" thickBot="1">
      <c r="A73" s="27"/>
      <c r="B73" s="2016"/>
      <c r="C73" s="2019"/>
      <c r="D73" s="2110"/>
      <c r="E73" s="2283"/>
      <c r="F73" s="2284"/>
      <c r="G73" s="2220"/>
      <c r="H73" s="25"/>
      <c r="I73" s="25"/>
      <c r="J73" s="2221"/>
      <c r="L73" s="2222"/>
      <c r="M73" s="25"/>
      <c r="N73" s="2223"/>
      <c r="O73" s="2231"/>
      <c r="P73" s="2231"/>
      <c r="Q73" s="2231"/>
      <c r="R73" s="2231"/>
      <c r="S73" s="2231"/>
      <c r="AC73" s="2232"/>
      <c r="AD73" s="2212"/>
    </row>
    <row r="74" spans="1:30" ht="18.75" customHeight="1" thickBot="1" thickTop="1">
      <c r="A74" s="27"/>
      <c r="B74" s="2016"/>
      <c r="C74" s="2019"/>
      <c r="D74" s="2207"/>
      <c r="E74" s="2024"/>
      <c r="F74" s="2110"/>
      <c r="G74" s="2110"/>
      <c r="H74" s="2111"/>
      <c r="J74" s="2110"/>
      <c r="L74" s="2234"/>
      <c r="M74" s="2229"/>
      <c r="N74" s="2229"/>
      <c r="O74" s="2218"/>
      <c r="P74" s="2218"/>
      <c r="Q74" s="2218"/>
      <c r="R74" s="2218"/>
      <c r="S74" s="2218"/>
      <c r="AB74" s="2285" t="s">
        <v>497</v>
      </c>
      <c r="AC74" s="71">
        <f>SUM(AC64:AC72)</f>
        <v>2412784.2785479994</v>
      </c>
      <c r="AD74" s="2212"/>
    </row>
    <row r="75" spans="1:30" ht="16.5" thickTop="1">
      <c r="A75" s="27"/>
      <c r="B75" s="2016"/>
      <c r="C75" s="2213" t="s">
        <v>415</v>
      </c>
      <c r="D75" s="2236" t="s">
        <v>416</v>
      </c>
      <c r="E75" s="2110"/>
      <c r="F75" s="2237"/>
      <c r="G75" s="2109"/>
      <c r="H75" s="2207"/>
      <c r="I75" s="2207"/>
      <c r="J75" s="2207"/>
      <c r="K75" s="2110"/>
      <c r="L75" s="2110"/>
      <c r="M75" s="2207"/>
      <c r="N75" s="2110"/>
      <c r="O75" s="2207"/>
      <c r="P75" s="2207"/>
      <c r="Q75" s="2207"/>
      <c r="R75" s="2207"/>
      <c r="S75" s="2207"/>
      <c r="T75" s="2207"/>
      <c r="U75" s="2207"/>
      <c r="AC75" s="2207"/>
      <c r="AD75" s="2212"/>
    </row>
    <row r="76" spans="1:30" ht="16.5" thickBot="1">
      <c r="A76" s="27"/>
      <c r="B76" s="2016"/>
      <c r="C76" s="2019"/>
      <c r="D76" s="2215" t="s">
        <v>417</v>
      </c>
      <c r="E76" s="2238">
        <f>10*K59*K27/AC74</f>
        <v>378.3797697059812</v>
      </c>
      <c r="F76" s="27"/>
      <c r="G76" s="2109"/>
      <c r="H76" s="27"/>
      <c r="I76" s="27"/>
      <c r="J76" s="27"/>
      <c r="K76" s="27"/>
      <c r="L76" s="2110"/>
      <c r="M76" s="27"/>
      <c r="N76" s="2110"/>
      <c r="O76" s="2111"/>
      <c r="P76" s="27"/>
      <c r="Q76" s="27"/>
      <c r="R76" s="27"/>
      <c r="S76" s="27"/>
      <c r="T76" s="27"/>
      <c r="U76" s="27"/>
      <c r="X76" s="27"/>
      <c r="Y76" s="27"/>
      <c r="Z76" s="27"/>
      <c r="AA76" s="27"/>
      <c r="AB76" s="27"/>
      <c r="AC76" s="27"/>
      <c r="AD76" s="2212"/>
    </row>
    <row r="77" spans="1:30" ht="21" thickBot="1" thickTop="1">
      <c r="A77" s="27"/>
      <c r="B77" s="2016"/>
      <c r="C77" s="2019"/>
      <c r="D77" s="27"/>
      <c r="E77" s="2239"/>
      <c r="F77" s="2028"/>
      <c r="G77" s="2109"/>
      <c r="H77" s="27"/>
      <c r="I77" s="27"/>
      <c r="J77" s="2109"/>
      <c r="K77" s="2124"/>
      <c r="L77" s="2110"/>
      <c r="M77" s="2110"/>
      <c r="N77" s="2110"/>
      <c r="O77" s="2111"/>
      <c r="P77" s="2110"/>
      <c r="Q77" s="2110"/>
      <c r="R77" s="2123"/>
      <c r="S77" s="2123"/>
      <c r="T77" s="2123"/>
      <c r="U77" s="2240"/>
      <c r="X77" s="27"/>
      <c r="Y77" s="27"/>
      <c r="Z77" s="27"/>
      <c r="AA77" s="27"/>
      <c r="AB77" s="2285" t="s">
        <v>414</v>
      </c>
      <c r="AC77" s="71">
        <v>1178254.8790520001</v>
      </c>
      <c r="AD77" s="2212"/>
    </row>
    <row r="78" spans="2:30" ht="16.5" thickTop="1">
      <c r="B78" s="2016"/>
      <c r="C78" s="2019"/>
      <c r="D78" s="2241" t="s">
        <v>498</v>
      </c>
      <c r="E78" s="2242"/>
      <c r="F78" s="2028"/>
      <c r="G78" s="2109"/>
      <c r="H78" s="2207"/>
      <c r="I78" s="2207"/>
      <c r="N78" s="2110"/>
      <c r="O78" s="2111"/>
      <c r="P78" s="2110"/>
      <c r="Q78" s="2110"/>
      <c r="R78" s="2230"/>
      <c r="S78" s="2230"/>
      <c r="T78" s="2230"/>
      <c r="U78" s="2229"/>
      <c r="AC78" s="2229"/>
      <c r="AD78" s="2212"/>
    </row>
    <row r="79" spans="2:30" ht="16.5" thickBot="1">
      <c r="B79" s="2016"/>
      <c r="C79" s="2019"/>
      <c r="D79" s="2241"/>
      <c r="E79" s="2242"/>
      <c r="F79" s="2028"/>
      <c r="G79" s="2109"/>
      <c r="H79" s="2207"/>
      <c r="I79" s="2207"/>
      <c r="N79" s="2110"/>
      <c r="O79" s="2111"/>
      <c r="P79" s="2110"/>
      <c r="Q79" s="2110"/>
      <c r="R79" s="2230"/>
      <c r="S79" s="2230"/>
      <c r="T79" s="2230"/>
      <c r="U79" s="2229"/>
      <c r="AC79" s="2229"/>
      <c r="AD79" s="2212"/>
    </row>
    <row r="80" spans="1:31" ht="24" thickBot="1" thickTop="1">
      <c r="A80" s="2243"/>
      <c r="B80" s="2244"/>
      <c r="C80" s="2252"/>
      <c r="D80" s="2751"/>
      <c r="E80" s="2751"/>
      <c r="F80" s="2751"/>
      <c r="G80" s="2249"/>
      <c r="H80" s="2243"/>
      <c r="J80" s="2250" t="s">
        <v>419</v>
      </c>
      <c r="K80" s="2251">
        <f>IF(E76&gt;3*K27,K27*3,E76)</f>
        <v>378.3797697059812</v>
      </c>
      <c r="L80" s="2252"/>
      <c r="M80" s="1813"/>
      <c r="N80" s="1813"/>
      <c r="O80" s="2259" t="s">
        <v>487</v>
      </c>
      <c r="P80" s="2253"/>
      <c r="Q80" s="2253"/>
      <c r="R80" s="2254"/>
      <c r="S80" s="2254"/>
      <c r="T80" s="2254"/>
      <c r="U80" s="2255"/>
      <c r="X80" s="2243"/>
      <c r="Y80" s="2243"/>
      <c r="Z80" s="2243"/>
      <c r="AA80" s="2243"/>
      <c r="AB80" s="2243"/>
      <c r="AC80" s="2255"/>
      <c r="AD80" s="2256"/>
      <c r="AE80" s="2243"/>
    </row>
    <row r="81" spans="2:30" ht="17.25" thickBot="1" thickTop="1">
      <c r="B81" s="76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2260"/>
      <c r="W81" s="2260"/>
      <c r="X81" s="2260"/>
      <c r="Y81" s="2260"/>
      <c r="Z81" s="2260"/>
      <c r="AA81" s="2260"/>
      <c r="AB81" s="2260"/>
      <c r="AC81" s="78"/>
      <c r="AD81" s="2261"/>
    </row>
    <row r="82" spans="2:23" ht="13.5" thickTop="1">
      <c r="B82" s="244"/>
      <c r="C82" s="252"/>
      <c r="W82" s="244"/>
    </row>
  </sheetData>
  <sheetProtection password="CC12"/>
  <mergeCells count="28">
    <mergeCell ref="D80:F80"/>
    <mergeCell ref="F56:G56"/>
    <mergeCell ref="P56:Q56"/>
    <mergeCell ref="P52:Q52"/>
    <mergeCell ref="P53:Q53"/>
    <mergeCell ref="P54:Q54"/>
    <mergeCell ref="P55:Q55"/>
    <mergeCell ref="F52:G52"/>
    <mergeCell ref="F53:G53"/>
    <mergeCell ref="F54:G54"/>
    <mergeCell ref="P39:Q39"/>
    <mergeCell ref="P40:Q40"/>
    <mergeCell ref="P41:Q41"/>
    <mergeCell ref="P42:Q42"/>
    <mergeCell ref="F47:G47"/>
    <mergeCell ref="O49:Q49"/>
    <mergeCell ref="O47:Q47"/>
    <mergeCell ref="O48:Q48"/>
    <mergeCell ref="G68:J68"/>
    <mergeCell ref="F49:G49"/>
    <mergeCell ref="O45:Q45"/>
    <mergeCell ref="O46:Q46"/>
    <mergeCell ref="G64:J64"/>
    <mergeCell ref="G65:J65"/>
    <mergeCell ref="F45:G45"/>
    <mergeCell ref="F48:G48"/>
    <mergeCell ref="F55:G55"/>
    <mergeCell ref="F46:G46"/>
  </mergeCells>
  <printOptions horizontalCentered="1"/>
  <pageMargins left="0.24" right="0.4" top="0.39" bottom="0.66" header="0.23" footer="0.5118110236220472"/>
  <pageSetup fitToHeight="1" fitToWidth="1" orientation="landscape" paperSize="9" scale="35" r:id="rId4"/>
  <headerFooter alignWithMargins="0">
    <oddFooter>&amp;L&amp;"Times New Roman,Normal"&amp;8&amp;F-&amp;A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G96"/>
  <sheetViews>
    <sheetView zoomScale="50" zoomScaleNormal="50" zoomScalePageLayoutView="0" workbookViewId="0" topLeftCell="A1">
      <selection activeCell="N47" sqref="N47"/>
    </sheetView>
  </sheetViews>
  <sheetFormatPr defaultColWidth="11.421875" defaultRowHeight="12.75"/>
  <cols>
    <col min="1" max="1" width="25.00390625" style="2288" customWidth="1"/>
    <col min="2" max="2" width="17.140625" style="2288" customWidth="1"/>
    <col min="3" max="3" width="4.7109375" style="2288" customWidth="1"/>
    <col min="4" max="4" width="30.7109375" style="2288" customWidth="1"/>
    <col min="5" max="5" width="20.7109375" style="2288" customWidth="1"/>
    <col min="6" max="6" width="15.00390625" style="2288" customWidth="1"/>
    <col min="7" max="7" width="14.7109375" style="2288" customWidth="1"/>
    <col min="8" max="8" width="10.140625" style="2288" hidden="1" customWidth="1"/>
    <col min="9" max="9" width="11.00390625" style="2288" hidden="1" customWidth="1"/>
    <col min="10" max="11" width="18.7109375" style="2288" customWidth="1"/>
    <col min="12" max="13" width="10.7109375" style="2288" customWidth="1"/>
    <col min="14" max="14" width="9.7109375" style="2288" customWidth="1"/>
    <col min="15" max="15" width="10.57421875" style="2288" customWidth="1"/>
    <col min="16" max="16" width="8.421875" style="2288" customWidth="1"/>
    <col min="17" max="17" width="5.8515625" style="2288" customWidth="1"/>
    <col min="18" max="18" width="12.140625" style="2288" hidden="1" customWidth="1"/>
    <col min="19" max="19" width="13.00390625" style="2288" hidden="1" customWidth="1"/>
    <col min="20" max="21" width="8.421875" style="2288" hidden="1" customWidth="1"/>
    <col min="22" max="22" width="11.7109375" style="2288" hidden="1" customWidth="1"/>
    <col min="23" max="23" width="8.421875" style="2288" hidden="1" customWidth="1"/>
    <col min="24" max="24" width="11.57421875" style="2288" hidden="1" customWidth="1"/>
    <col min="25" max="25" width="12.140625" style="2288" hidden="1" customWidth="1"/>
    <col min="26" max="27" width="8.421875" style="2288" hidden="1" customWidth="1"/>
    <col min="28" max="28" width="10.57421875" style="2288" customWidth="1"/>
    <col min="29" max="29" width="19.8515625" style="2288" customWidth="1"/>
    <col min="30" max="30" width="17.7109375" style="2288" customWidth="1"/>
    <col min="31" max="31" width="4.140625" style="2288" customWidth="1"/>
    <col min="32" max="32" width="7.140625" style="2288" customWidth="1"/>
    <col min="33" max="33" width="5.28125" style="2288" customWidth="1"/>
    <col min="34" max="34" width="5.421875" style="2288" customWidth="1"/>
    <col min="35" max="35" width="4.7109375" style="2288" customWidth="1"/>
    <col min="36" max="36" width="5.28125" style="2288" customWidth="1"/>
    <col min="37" max="38" width="13.28125" style="2288" customWidth="1"/>
    <col min="39" max="39" width="6.57421875" style="2288" customWidth="1"/>
    <col min="40" max="40" width="6.421875" style="2288" customWidth="1"/>
    <col min="41" max="44" width="11.421875" style="2288" customWidth="1"/>
    <col min="45" max="45" width="12.7109375" style="2288" customWidth="1"/>
    <col min="46" max="48" width="11.421875" style="2288" customWidth="1"/>
    <col min="49" max="49" width="21.00390625" style="2288" customWidth="1"/>
    <col min="50" max="16384" width="11.421875" style="2288" customWidth="1"/>
  </cols>
  <sheetData>
    <row r="1" spans="1:30" ht="13.5">
      <c r="A1" s="2286"/>
      <c r="B1" s="2287"/>
      <c r="C1" s="2287"/>
      <c r="D1" s="2287"/>
      <c r="E1" s="2287"/>
      <c r="F1" s="2287"/>
      <c r="G1" s="2287"/>
      <c r="H1" s="2287"/>
      <c r="I1" s="2287"/>
      <c r="J1" s="2287"/>
      <c r="K1" s="2287"/>
      <c r="L1" s="2287"/>
      <c r="M1" s="2287"/>
      <c r="N1" s="2287"/>
      <c r="O1" s="2287"/>
      <c r="P1" s="2287"/>
      <c r="Q1" s="2287"/>
      <c r="R1" s="2287"/>
      <c r="S1" s="2287"/>
      <c r="T1" s="2287"/>
      <c r="U1" s="2287"/>
      <c r="V1" s="2287"/>
      <c r="AD1" s="2289"/>
    </row>
    <row r="2" spans="1:23" ht="27" customHeight="1">
      <c r="A2" s="2286"/>
      <c r="B2" s="2287"/>
      <c r="C2" s="2287"/>
      <c r="D2" s="2287"/>
      <c r="E2" s="2287"/>
      <c r="F2" s="2287"/>
      <c r="G2" s="2287"/>
      <c r="H2" s="2287"/>
      <c r="I2" s="2287"/>
      <c r="J2" s="2287"/>
      <c r="K2" s="2287"/>
      <c r="L2" s="2287"/>
      <c r="M2" s="2287"/>
      <c r="N2" s="2287"/>
      <c r="O2" s="2287"/>
      <c r="P2" s="2287"/>
      <c r="Q2" s="2287"/>
      <c r="R2" s="2287"/>
      <c r="S2" s="2287"/>
      <c r="T2" s="2287"/>
      <c r="U2" s="2287"/>
      <c r="V2" s="2287"/>
      <c r="W2" s="2287"/>
    </row>
    <row r="3" spans="1:30" s="2293" customFormat="1" ht="30.75">
      <c r="A3" s="2290"/>
      <c r="B3" s="2291" t="str">
        <f>'TOT-0312'!B2</f>
        <v>ANEXO IV al Memorándum D.T.E.E.  N° 783/ 2013</v>
      </c>
      <c r="C3" s="2292"/>
      <c r="D3" s="2292"/>
      <c r="E3" s="2292"/>
      <c r="F3" s="2292"/>
      <c r="G3" s="2292"/>
      <c r="H3" s="2292"/>
      <c r="I3" s="2292"/>
      <c r="J3" s="2292"/>
      <c r="K3" s="2292"/>
      <c r="L3" s="2292"/>
      <c r="M3" s="2292"/>
      <c r="N3" s="2292"/>
      <c r="O3" s="2292"/>
      <c r="P3" s="2292"/>
      <c r="Q3" s="2292"/>
      <c r="R3" s="2292"/>
      <c r="S3" s="2292"/>
      <c r="T3" s="2292"/>
      <c r="U3" s="2292"/>
      <c r="V3" s="2292"/>
      <c r="W3" s="2292"/>
      <c r="AB3" s="2292"/>
      <c r="AC3" s="2292"/>
      <c r="AD3" s="2292"/>
    </row>
    <row r="4" spans="1:2" s="2296" customFormat="1" ht="11.25">
      <c r="A4" s="2294" t="s">
        <v>2</v>
      </c>
      <c r="B4" s="2295"/>
    </row>
    <row r="5" spans="1:2" s="2296" customFormat="1" ht="12" thickBot="1">
      <c r="A5" s="2294" t="s">
        <v>3</v>
      </c>
      <c r="B5" s="2294"/>
    </row>
    <row r="6" spans="1:30" ht="16.5" customHeight="1" thickTop="1">
      <c r="A6" s="2287"/>
      <c r="B6" s="2297"/>
      <c r="C6" s="2298"/>
      <c r="D6" s="2298"/>
      <c r="E6" s="2299"/>
      <c r="F6" s="2298"/>
      <c r="G6" s="2298"/>
      <c r="H6" s="2298"/>
      <c r="I6" s="2298"/>
      <c r="J6" s="2298"/>
      <c r="K6" s="2298"/>
      <c r="L6" s="2298"/>
      <c r="M6" s="2298"/>
      <c r="N6" s="2298"/>
      <c r="O6" s="2298"/>
      <c r="P6" s="2298"/>
      <c r="Q6" s="2298"/>
      <c r="R6" s="2298"/>
      <c r="S6" s="2298"/>
      <c r="T6" s="2298"/>
      <c r="U6" s="2298"/>
      <c r="V6" s="2298"/>
      <c r="W6" s="2300"/>
      <c r="X6" s="2300"/>
      <c r="Y6" s="2300"/>
      <c r="Z6" s="2300"/>
      <c r="AA6" s="2300"/>
      <c r="AB6" s="2300"/>
      <c r="AC6" s="2300"/>
      <c r="AD6" s="2301"/>
    </row>
    <row r="7" spans="1:30" ht="20.25">
      <c r="A7" s="2287"/>
      <c r="B7" s="2302"/>
      <c r="C7" s="2303"/>
      <c r="D7" s="2304" t="s">
        <v>377</v>
      </c>
      <c r="E7" s="2303"/>
      <c r="F7" s="2303"/>
      <c r="G7" s="2303"/>
      <c r="H7" s="2303"/>
      <c r="I7" s="2303"/>
      <c r="J7" s="2303"/>
      <c r="K7" s="2303"/>
      <c r="L7" s="2303"/>
      <c r="M7" s="2303"/>
      <c r="N7" s="2303"/>
      <c r="O7" s="2303"/>
      <c r="P7" s="2305"/>
      <c r="Q7" s="2305"/>
      <c r="R7" s="2303"/>
      <c r="S7" s="2303"/>
      <c r="T7" s="2303"/>
      <c r="U7" s="2303"/>
      <c r="V7" s="2303"/>
      <c r="AD7" s="2306"/>
    </row>
    <row r="8" spans="1:30" ht="16.5" customHeight="1">
      <c r="A8" s="2287"/>
      <c r="B8" s="2302"/>
      <c r="C8" s="2303"/>
      <c r="D8" s="2303"/>
      <c r="E8" s="2303"/>
      <c r="F8" s="2303"/>
      <c r="G8" s="2303"/>
      <c r="H8" s="2303"/>
      <c r="I8" s="2303"/>
      <c r="J8" s="2303"/>
      <c r="K8" s="2303"/>
      <c r="L8" s="2303"/>
      <c r="M8" s="2303"/>
      <c r="N8" s="2303"/>
      <c r="O8" s="2303"/>
      <c r="P8" s="2303"/>
      <c r="Q8" s="2303"/>
      <c r="R8" s="2303"/>
      <c r="S8" s="2303"/>
      <c r="T8" s="2303"/>
      <c r="U8" s="2303"/>
      <c r="V8" s="2303"/>
      <c r="AD8" s="2306"/>
    </row>
    <row r="9" spans="2:30" s="2307" customFormat="1" ht="20.25">
      <c r="B9" s="2308"/>
      <c r="C9" s="2309"/>
      <c r="D9" s="2304" t="s">
        <v>378</v>
      </c>
      <c r="E9" s="2309"/>
      <c r="F9" s="2309"/>
      <c r="G9" s="2309"/>
      <c r="H9" s="2309"/>
      <c r="N9" s="2309"/>
      <c r="O9" s="2309"/>
      <c r="P9" s="2310"/>
      <c r="Q9" s="2310"/>
      <c r="R9" s="2309"/>
      <c r="S9" s="2309"/>
      <c r="T9" s="2309"/>
      <c r="U9" s="2309"/>
      <c r="V9" s="2309"/>
      <c r="W9" s="2288"/>
      <c r="X9" s="2309"/>
      <c r="Y9" s="2309"/>
      <c r="Z9" s="2309"/>
      <c r="AA9" s="2309"/>
      <c r="AB9" s="2309"/>
      <c r="AC9" s="2288"/>
      <c r="AD9" s="2311"/>
    </row>
    <row r="10" spans="1:30" ht="16.5" customHeight="1">
      <c r="A10" s="2287"/>
      <c r="B10" s="2302"/>
      <c r="C10" s="2303"/>
      <c r="D10" s="2303"/>
      <c r="E10" s="2303"/>
      <c r="F10" s="2303"/>
      <c r="G10" s="2303"/>
      <c r="H10" s="2303"/>
      <c r="I10" s="2303"/>
      <c r="J10" s="2303"/>
      <c r="K10" s="2303"/>
      <c r="L10" s="2303"/>
      <c r="M10" s="2303"/>
      <c r="N10" s="2303"/>
      <c r="O10" s="2303"/>
      <c r="P10" s="2303"/>
      <c r="Q10" s="2303"/>
      <c r="R10" s="2303"/>
      <c r="S10" s="2303"/>
      <c r="T10" s="2303"/>
      <c r="U10" s="2303"/>
      <c r="V10" s="2303"/>
      <c r="AD10" s="2306"/>
    </row>
    <row r="11" spans="2:30" s="2307" customFormat="1" ht="20.25">
      <c r="B11" s="2308"/>
      <c r="C11" s="2309"/>
      <c r="D11" s="2304" t="s">
        <v>523</v>
      </c>
      <c r="E11" s="2309"/>
      <c r="F11" s="2309"/>
      <c r="G11" s="2309"/>
      <c r="H11" s="2309"/>
      <c r="N11" s="2309"/>
      <c r="O11" s="2309"/>
      <c r="P11" s="2310"/>
      <c r="Q11" s="2310"/>
      <c r="R11" s="2309"/>
      <c r="S11" s="2309"/>
      <c r="T11" s="2309"/>
      <c r="U11" s="2309"/>
      <c r="V11" s="2309"/>
      <c r="W11" s="2288"/>
      <c r="X11" s="2309"/>
      <c r="Y11" s="2309"/>
      <c r="Z11" s="2309"/>
      <c r="AA11" s="2309"/>
      <c r="AB11" s="2309"/>
      <c r="AC11" s="2288"/>
      <c r="AD11" s="2311"/>
    </row>
    <row r="12" spans="1:30" ht="16.5" customHeight="1">
      <c r="A12" s="2287"/>
      <c r="B12" s="2302"/>
      <c r="C12" s="2303"/>
      <c r="D12" s="2303"/>
      <c r="E12" s="2287"/>
      <c r="F12" s="2287"/>
      <c r="G12" s="2287"/>
      <c r="H12" s="2287"/>
      <c r="I12" s="2312"/>
      <c r="J12" s="2312"/>
      <c r="K12" s="2312"/>
      <c r="L12" s="2312"/>
      <c r="M12" s="2312"/>
      <c r="N12" s="2312"/>
      <c r="O12" s="2312"/>
      <c r="P12" s="2312"/>
      <c r="Q12" s="2312"/>
      <c r="R12" s="2303"/>
      <c r="S12" s="2303"/>
      <c r="T12" s="2303"/>
      <c r="U12" s="2303"/>
      <c r="V12" s="2303"/>
      <c r="AD12" s="2306"/>
    </row>
    <row r="13" spans="2:30" s="2307" customFormat="1" ht="19.5">
      <c r="B13" s="2313" t="str">
        <f>'TOT-0312'!B14</f>
        <v>Desde el 01 al 31 de Marzo de 2012</v>
      </c>
      <c r="C13" s="2314"/>
      <c r="D13" s="2315"/>
      <c r="E13" s="2315"/>
      <c r="F13" s="2315"/>
      <c r="G13" s="2315"/>
      <c r="H13" s="2315"/>
      <c r="I13" s="2316"/>
      <c r="J13" s="2317"/>
      <c r="K13" s="2316"/>
      <c r="L13" s="2316"/>
      <c r="M13" s="2316"/>
      <c r="N13" s="2316"/>
      <c r="O13" s="2316"/>
      <c r="P13" s="2316"/>
      <c r="Q13" s="2316"/>
      <c r="R13" s="2316"/>
      <c r="S13" s="2316"/>
      <c r="T13" s="2316"/>
      <c r="U13" s="2318"/>
      <c r="V13" s="2318"/>
      <c r="W13" s="2288"/>
      <c r="X13" s="2319"/>
      <c r="Y13" s="2319"/>
      <c r="Z13" s="2319"/>
      <c r="AA13" s="2319"/>
      <c r="AB13" s="2318"/>
      <c r="AC13" s="2317"/>
      <c r="AD13" s="2320"/>
    </row>
    <row r="14" spans="1:30" ht="16.5" customHeight="1">
      <c r="A14" s="2287"/>
      <c r="B14" s="2302"/>
      <c r="C14" s="2303"/>
      <c r="D14" s="2303"/>
      <c r="E14" s="2321"/>
      <c r="F14" s="2321"/>
      <c r="G14" s="2303"/>
      <c r="H14" s="2303"/>
      <c r="I14" s="2303"/>
      <c r="J14" s="2322"/>
      <c r="K14" s="2303"/>
      <c r="L14" s="2303"/>
      <c r="M14" s="2303"/>
      <c r="N14" s="2287"/>
      <c r="O14" s="2287"/>
      <c r="P14" s="2303"/>
      <c r="Q14" s="2303"/>
      <c r="R14" s="2303"/>
      <c r="S14" s="2303"/>
      <c r="T14" s="2303"/>
      <c r="U14" s="2303"/>
      <c r="V14" s="2303"/>
      <c r="AD14" s="2306"/>
    </row>
    <row r="15" spans="1:30" ht="16.5" customHeight="1">
      <c r="A15" s="2287"/>
      <c r="B15" s="2302"/>
      <c r="C15" s="2303"/>
      <c r="D15" s="2303"/>
      <c r="E15" s="2321"/>
      <c r="F15" s="2321"/>
      <c r="G15" s="2303"/>
      <c r="H15" s="2303"/>
      <c r="I15" s="2323"/>
      <c r="J15" s="2303"/>
      <c r="K15" s="2324"/>
      <c r="M15" s="2303"/>
      <c r="N15" s="2287"/>
      <c r="O15" s="2287"/>
      <c r="P15" s="2303"/>
      <c r="Q15" s="2303"/>
      <c r="R15" s="2303"/>
      <c r="S15" s="2303"/>
      <c r="T15" s="2303"/>
      <c r="U15" s="2303"/>
      <c r="V15" s="2303"/>
      <c r="AD15" s="2306"/>
    </row>
    <row r="16" spans="1:30" ht="16.5" customHeight="1">
      <c r="A16" s="2287"/>
      <c r="B16" s="2302"/>
      <c r="C16" s="2303"/>
      <c r="D16" s="2303"/>
      <c r="E16" s="2321"/>
      <c r="F16" s="2321"/>
      <c r="G16" s="2303"/>
      <c r="H16" s="2303"/>
      <c r="I16" s="2323"/>
      <c r="J16" s="2303"/>
      <c r="K16" s="2324"/>
      <c r="M16" s="2303"/>
      <c r="N16" s="2287"/>
      <c r="O16" s="2287"/>
      <c r="P16" s="2303"/>
      <c r="Q16" s="2303"/>
      <c r="R16" s="2303"/>
      <c r="S16" s="2303"/>
      <c r="T16" s="2303"/>
      <c r="U16" s="2303"/>
      <c r="V16" s="2303"/>
      <c r="AD16" s="2306"/>
    </row>
    <row r="17" spans="1:30" ht="16.5" customHeight="1">
      <c r="A17" s="2287"/>
      <c r="B17" s="2302"/>
      <c r="C17" s="2325" t="s">
        <v>379</v>
      </c>
      <c r="D17" s="2326" t="s">
        <v>380</v>
      </c>
      <c r="E17" s="2321"/>
      <c r="F17" s="2321"/>
      <c r="G17" s="2303"/>
      <c r="H17" s="2303"/>
      <c r="I17" s="2303"/>
      <c r="J17" s="2322"/>
      <c r="K17" s="2303"/>
      <c r="L17" s="2303"/>
      <c r="M17" s="2303"/>
      <c r="N17" s="2287"/>
      <c r="O17" s="2287"/>
      <c r="P17" s="2303"/>
      <c r="Q17" s="2303"/>
      <c r="R17" s="2303"/>
      <c r="S17" s="2303"/>
      <c r="T17" s="2303"/>
      <c r="U17" s="2303"/>
      <c r="V17" s="2303"/>
      <c r="AD17" s="2306"/>
    </row>
    <row r="18" spans="2:30" s="2327" customFormat="1" ht="16.5" customHeight="1">
      <c r="B18" s="2328"/>
      <c r="C18" s="2329"/>
      <c r="D18" s="2330"/>
      <c r="E18" s="2331"/>
      <c r="F18" s="2332"/>
      <c r="G18" s="2329"/>
      <c r="H18" s="2329"/>
      <c r="I18" s="2329"/>
      <c r="J18" s="2333"/>
      <c r="K18" s="2329"/>
      <c r="L18" s="2329"/>
      <c r="M18" s="2329"/>
      <c r="P18" s="2329"/>
      <c r="Q18" s="2329"/>
      <c r="R18" s="2329"/>
      <c r="S18" s="2329"/>
      <c r="T18" s="2329"/>
      <c r="U18" s="2329"/>
      <c r="V18" s="2329"/>
      <c r="W18" s="2288"/>
      <c r="AD18" s="2334"/>
    </row>
    <row r="19" spans="2:30" s="2327" customFormat="1" ht="16.5" customHeight="1">
      <c r="B19" s="2328"/>
      <c r="C19" s="2329"/>
      <c r="D19" s="2335" t="s">
        <v>381</v>
      </c>
      <c r="F19" s="2336">
        <v>236.257</v>
      </c>
      <c r="G19" s="2335" t="s">
        <v>382</v>
      </c>
      <c r="H19" s="2329"/>
      <c r="I19" s="2329"/>
      <c r="J19" s="2337"/>
      <c r="K19" s="2338" t="s">
        <v>383</v>
      </c>
      <c r="L19" s="2339">
        <v>0.025</v>
      </c>
      <c r="R19" s="2329"/>
      <c r="S19" s="2329"/>
      <c r="T19" s="2329"/>
      <c r="U19" s="2329"/>
      <c r="V19" s="2329"/>
      <c r="W19" s="2288"/>
      <c r="AD19" s="2334"/>
    </row>
    <row r="20" spans="2:30" s="2327" customFormat="1" ht="16.5" customHeight="1">
      <c r="B20" s="2328"/>
      <c r="C20" s="2329"/>
      <c r="D20" s="2335" t="s">
        <v>384</v>
      </c>
      <c r="F20" s="2336">
        <v>0.649</v>
      </c>
      <c r="G20" s="2335" t="s">
        <v>385</v>
      </c>
      <c r="H20" s="2329"/>
      <c r="I20" s="2329"/>
      <c r="J20" s="2329"/>
      <c r="K20" s="2330" t="s">
        <v>386</v>
      </c>
      <c r="L20" s="2329">
        <f>MID(B13,16,2)*24</f>
        <v>744</v>
      </c>
      <c r="M20" s="2329" t="s">
        <v>437</v>
      </c>
      <c r="N20" s="2329"/>
      <c r="O20" s="2329"/>
      <c r="P20" s="2340"/>
      <c r="Q20" s="2329"/>
      <c r="R20" s="2329"/>
      <c r="S20" s="2329"/>
      <c r="T20" s="2329"/>
      <c r="U20" s="2329"/>
      <c r="V20" s="2329"/>
      <c r="W20" s="2288"/>
      <c r="AD20" s="2334"/>
    </row>
    <row r="21" spans="2:30" s="2327" customFormat="1" ht="16.5" customHeight="1">
      <c r="B21" s="2328"/>
      <c r="C21" s="2329"/>
      <c r="D21" s="2335" t="s">
        <v>502</v>
      </c>
      <c r="F21" s="2336">
        <v>0.649</v>
      </c>
      <c r="G21" s="2335" t="s">
        <v>385</v>
      </c>
      <c r="H21" s="2329"/>
      <c r="I21" s="2329"/>
      <c r="J21" s="2329"/>
      <c r="K21" s="2330"/>
      <c r="L21" s="2329"/>
      <c r="M21" s="2329"/>
      <c r="N21" s="2329"/>
      <c r="O21" s="2329"/>
      <c r="P21" s="2340"/>
      <c r="Q21" s="2329"/>
      <c r="R21" s="2329"/>
      <c r="S21" s="2329"/>
      <c r="T21" s="2329"/>
      <c r="U21" s="2329"/>
      <c r="V21" s="2329"/>
      <c r="W21" s="2288"/>
      <c r="AD21" s="2334"/>
    </row>
    <row r="22" spans="2:30" s="2327" customFormat="1" ht="16.5" customHeight="1">
      <c r="B22" s="2328"/>
      <c r="C22" s="2329"/>
      <c r="D22" s="2335" t="s">
        <v>490</v>
      </c>
      <c r="F22" s="2336">
        <v>103.083</v>
      </c>
      <c r="G22" s="2335" t="s">
        <v>491</v>
      </c>
      <c r="H22" s="2329"/>
      <c r="I22" s="2329"/>
      <c r="J22" s="2329"/>
      <c r="K22" s="2341"/>
      <c r="L22" s="2342"/>
      <c r="M22" s="2329"/>
      <c r="N22" s="2329"/>
      <c r="O22" s="2329"/>
      <c r="P22" s="2340"/>
      <c r="Q22" s="2329"/>
      <c r="R22" s="2329"/>
      <c r="S22" s="2329"/>
      <c r="T22" s="2329"/>
      <c r="U22" s="2329"/>
      <c r="V22" s="2329"/>
      <c r="W22" s="2288"/>
      <c r="AD22" s="2334"/>
    </row>
    <row r="23" spans="2:30" s="2327" customFormat="1" ht="16.5" customHeight="1">
      <c r="B23" s="2328"/>
      <c r="C23" s="2329"/>
      <c r="D23" s="2335" t="s">
        <v>503</v>
      </c>
      <c r="F23" s="2336">
        <v>128.853</v>
      </c>
      <c r="G23" s="2335" t="s">
        <v>491</v>
      </c>
      <c r="H23" s="2329"/>
      <c r="I23" s="2329"/>
      <c r="J23" s="2329"/>
      <c r="K23" s="2341"/>
      <c r="L23" s="2342"/>
      <c r="M23" s="2329"/>
      <c r="N23" s="2329"/>
      <c r="O23" s="2329"/>
      <c r="P23" s="2340"/>
      <c r="Q23" s="2329"/>
      <c r="R23" s="2329"/>
      <c r="S23" s="2329"/>
      <c r="T23" s="2329"/>
      <c r="U23" s="2329"/>
      <c r="V23" s="2329"/>
      <c r="W23" s="2288"/>
      <c r="AD23" s="2334"/>
    </row>
    <row r="24" spans="2:30" s="2327" customFormat="1" ht="8.25" customHeight="1">
      <c r="B24" s="2328"/>
      <c r="C24" s="2329"/>
      <c r="D24" s="2329"/>
      <c r="E24" s="2343"/>
      <c r="F24" s="2329"/>
      <c r="G24" s="2329"/>
      <c r="H24" s="2329"/>
      <c r="I24" s="2329"/>
      <c r="J24" s="2329"/>
      <c r="K24" s="2329"/>
      <c r="L24" s="2329"/>
      <c r="M24" s="2329"/>
      <c r="N24" s="2329"/>
      <c r="O24" s="2329"/>
      <c r="P24" s="2329"/>
      <c r="Q24" s="2329"/>
      <c r="R24" s="2329"/>
      <c r="S24" s="2329"/>
      <c r="T24" s="2329"/>
      <c r="U24" s="2329"/>
      <c r="V24" s="2329"/>
      <c r="W24" s="2288"/>
      <c r="AD24" s="2334"/>
    </row>
    <row r="25" spans="1:30" ht="16.5" customHeight="1">
      <c r="A25" s="2287"/>
      <c r="B25" s="2302"/>
      <c r="C25" s="2325" t="s">
        <v>389</v>
      </c>
      <c r="D25" s="2344" t="s">
        <v>420</v>
      </c>
      <c r="I25" s="2303"/>
      <c r="J25" s="2327"/>
      <c r="O25" s="2303"/>
      <c r="P25" s="2303"/>
      <c r="Q25" s="2303"/>
      <c r="R25" s="2303"/>
      <c r="S25" s="2303"/>
      <c r="T25" s="2303"/>
      <c r="V25" s="2303"/>
      <c r="X25" s="2303"/>
      <c r="Y25" s="2303"/>
      <c r="Z25" s="2303"/>
      <c r="AA25" s="2303"/>
      <c r="AB25" s="2303"/>
      <c r="AC25" s="2303"/>
      <c r="AD25" s="2306"/>
    </row>
    <row r="26" spans="1:30" ht="10.5" customHeight="1" thickBot="1">
      <c r="A26" s="2287"/>
      <c r="B26" s="2302"/>
      <c r="C26" s="2321"/>
      <c r="D26" s="2344"/>
      <c r="I26" s="2303"/>
      <c r="J26" s="2327"/>
      <c r="O26" s="2303"/>
      <c r="P26" s="2303"/>
      <c r="Q26" s="2303"/>
      <c r="R26" s="2303"/>
      <c r="S26" s="2303"/>
      <c r="T26" s="2303"/>
      <c r="V26" s="2303"/>
      <c r="X26" s="2303"/>
      <c r="Y26" s="2303"/>
      <c r="Z26" s="2303"/>
      <c r="AA26" s="2303"/>
      <c r="AB26" s="2303"/>
      <c r="AC26" s="2303"/>
      <c r="AD26" s="2306"/>
    </row>
    <row r="27" spans="2:30" s="2327" customFormat="1" ht="16.5" customHeight="1" thickBot="1" thickTop="1">
      <c r="B27" s="2328"/>
      <c r="C27" s="2332"/>
      <c r="D27" s="2288"/>
      <c r="E27" s="2288"/>
      <c r="F27" s="2288"/>
      <c r="G27" s="2288"/>
      <c r="H27" s="2288"/>
      <c r="I27" s="2288"/>
      <c r="J27" s="2345" t="s">
        <v>390</v>
      </c>
      <c r="K27" s="2346">
        <f>L19*AC88</f>
        <v>43188.880754</v>
      </c>
      <c r="L27" s="2288"/>
      <c r="S27" s="2288"/>
      <c r="T27" s="2288"/>
      <c r="U27" s="2288"/>
      <c r="W27" s="2288"/>
      <c r="AD27" s="2334"/>
    </row>
    <row r="28" spans="2:30" s="2327" customFormat="1" ht="11.25" customHeight="1" thickTop="1">
      <c r="B28" s="2328"/>
      <c r="C28" s="2332"/>
      <c r="D28" s="2329"/>
      <c r="E28" s="2343"/>
      <c r="F28" s="2329"/>
      <c r="G28" s="2329"/>
      <c r="H28" s="2329"/>
      <c r="I28" s="2329"/>
      <c r="J28" s="2329"/>
      <c r="K28" s="2329"/>
      <c r="L28" s="2329"/>
      <c r="M28" s="2329"/>
      <c r="N28" s="2329"/>
      <c r="O28" s="2329"/>
      <c r="P28" s="2329"/>
      <c r="Q28" s="2329"/>
      <c r="R28" s="2329"/>
      <c r="S28" s="2329"/>
      <c r="T28" s="2329"/>
      <c r="U28" s="2288"/>
      <c r="W28" s="2288"/>
      <c r="AD28" s="2334"/>
    </row>
    <row r="29" spans="1:30" ht="16.5" customHeight="1">
      <c r="A29" s="2287"/>
      <c r="B29" s="2302"/>
      <c r="C29" s="2325" t="s">
        <v>391</v>
      </c>
      <c r="D29" s="2344" t="s">
        <v>421</v>
      </c>
      <c r="E29" s="2347"/>
      <c r="F29" s="2303"/>
      <c r="G29" s="2303"/>
      <c r="H29" s="2303"/>
      <c r="I29" s="2303"/>
      <c r="J29" s="2303"/>
      <c r="K29" s="2303"/>
      <c r="L29" s="2303"/>
      <c r="M29" s="2303"/>
      <c r="N29" s="2303"/>
      <c r="O29" s="2303"/>
      <c r="P29" s="2303"/>
      <c r="Q29" s="2303"/>
      <c r="R29" s="2303"/>
      <c r="S29" s="2303"/>
      <c r="T29" s="2303"/>
      <c r="U29" s="2303"/>
      <c r="V29" s="2303"/>
      <c r="AD29" s="2306"/>
    </row>
    <row r="30" spans="1:30" ht="21.75" customHeight="1" thickBot="1">
      <c r="A30" s="2287"/>
      <c r="B30" s="2302"/>
      <c r="C30" s="2303"/>
      <c r="D30" s="2303"/>
      <c r="E30" s="2347"/>
      <c r="F30" s="2303"/>
      <c r="G30" s="2303"/>
      <c r="H30" s="2303"/>
      <c r="I30" s="2303"/>
      <c r="J30" s="2303"/>
      <c r="K30" s="2303"/>
      <c r="L30" s="2303"/>
      <c r="M30" s="2303"/>
      <c r="N30" s="2303"/>
      <c r="O30" s="2303"/>
      <c r="P30" s="2303"/>
      <c r="Q30" s="2303"/>
      <c r="R30" s="2303"/>
      <c r="S30" s="2303"/>
      <c r="T30" s="2303"/>
      <c r="U30" s="2303"/>
      <c r="V30" s="2303"/>
      <c r="AD30" s="2306"/>
    </row>
    <row r="31" spans="2:31" s="2287" customFormat="1" ht="33.75" customHeight="1" thickBot="1" thickTop="1">
      <c r="B31" s="2302"/>
      <c r="C31" s="2348" t="s">
        <v>32</v>
      </c>
      <c r="D31" s="975" t="s">
        <v>5</v>
      </c>
      <c r="E31" s="2349" t="s">
        <v>35</v>
      </c>
      <c r="F31" s="2350" t="s">
        <v>36</v>
      </c>
      <c r="G31" s="2351" t="s">
        <v>37</v>
      </c>
      <c r="H31" s="2352" t="s">
        <v>38</v>
      </c>
      <c r="I31" s="2353" t="s">
        <v>39</v>
      </c>
      <c r="J31" s="2354" t="s">
        <v>40</v>
      </c>
      <c r="K31" s="2355" t="s">
        <v>41</v>
      </c>
      <c r="L31" s="2356" t="s">
        <v>42</v>
      </c>
      <c r="M31" s="2357" t="s">
        <v>43</v>
      </c>
      <c r="N31" s="2356" t="s">
        <v>392</v>
      </c>
      <c r="O31" s="2356" t="s">
        <v>44</v>
      </c>
      <c r="P31" s="2355" t="s">
        <v>45</v>
      </c>
      <c r="Q31" s="2354" t="s">
        <v>46</v>
      </c>
      <c r="R31" s="2358" t="s">
        <v>47</v>
      </c>
      <c r="S31" s="2359" t="s">
        <v>48</v>
      </c>
      <c r="T31" s="2360" t="s">
        <v>393</v>
      </c>
      <c r="U31" s="2361"/>
      <c r="V31" s="2362"/>
      <c r="W31" s="2363" t="s">
        <v>394</v>
      </c>
      <c r="X31" s="2364"/>
      <c r="Y31" s="2365"/>
      <c r="Z31" s="2366" t="s">
        <v>51</v>
      </c>
      <c r="AA31" s="2367" t="s">
        <v>395</v>
      </c>
      <c r="AB31" s="2368" t="s">
        <v>53</v>
      </c>
      <c r="AC31" s="2369" t="s">
        <v>54</v>
      </c>
      <c r="AD31" s="2370"/>
      <c r="AE31" s="2288"/>
    </row>
    <row r="32" spans="1:30" ht="16.5" customHeight="1" thickTop="1">
      <c r="A32" s="2287"/>
      <c r="B32" s="2302"/>
      <c r="C32" s="2371"/>
      <c r="D32" s="2372"/>
      <c r="E32" s="2373"/>
      <c r="F32" s="2374"/>
      <c r="G32" s="2375"/>
      <c r="H32" s="2376"/>
      <c r="I32" s="2377"/>
      <c r="J32" s="2378"/>
      <c r="K32" s="2379"/>
      <c r="L32" s="2371"/>
      <c r="M32" s="2371"/>
      <c r="N32" s="2380"/>
      <c r="O32" s="2380"/>
      <c r="P32" s="2371"/>
      <c r="Q32" s="2381"/>
      <c r="R32" s="2382"/>
      <c r="S32" s="2383"/>
      <c r="T32" s="2384"/>
      <c r="U32" s="2385"/>
      <c r="V32" s="2386"/>
      <c r="W32" s="2387"/>
      <c r="X32" s="2388"/>
      <c r="Y32" s="2389"/>
      <c r="Z32" s="2390"/>
      <c r="AA32" s="2391"/>
      <c r="AB32" s="2392"/>
      <c r="AC32" s="2393"/>
      <c r="AD32" s="2306"/>
    </row>
    <row r="33" spans="1:30" ht="16.5" customHeight="1">
      <c r="A33" s="2287"/>
      <c r="B33" s="2302"/>
      <c r="C33" s="1021" t="s">
        <v>396</v>
      </c>
      <c r="D33" s="2371"/>
      <c r="E33" s="2394"/>
      <c r="F33" s="2395"/>
      <c r="G33" s="2396"/>
      <c r="H33" s="2397">
        <f>IF(G33="A",200,IF(G33="B",60,20))</f>
        <v>20</v>
      </c>
      <c r="I33" s="2398">
        <f>IF(F33&gt;100,F33,100)*$F$19/100</f>
        <v>236.257</v>
      </c>
      <c r="J33" s="2399"/>
      <c r="K33" s="2400"/>
      <c r="L33" s="2401">
        <f>IF(D33="","",(K33-J33)*24)</f>
      </c>
      <c r="M33" s="2402">
        <f>IF(D33="","",ROUND((K33-J33)*24*60,0))</f>
      </c>
      <c r="N33" s="2403"/>
      <c r="O33" s="2404">
        <f>IF(D33="","","--")</f>
      </c>
      <c r="P33" s="2405">
        <f>IF(D33="","","NO")</f>
      </c>
      <c r="Q33" s="2405">
        <f>IF(D33="","",IF(OR(N33="P",N33="RP"),"--","NO"))</f>
      </c>
      <c r="R33" s="2406" t="str">
        <f>IF(N33="P",+I33*H33*ROUND(M33/60,2)/100,"--")</f>
        <v>--</v>
      </c>
      <c r="S33" s="2407" t="str">
        <f>IF(N33="RP",I33*H33*ROUND(M33/60,2)*0.01*O33/100,"--")</f>
        <v>--</v>
      </c>
      <c r="T33" s="2408" t="str">
        <f>IF(AND(N33="F",Q33="NO"),IF(P33="SI",1.2,1)*I33*H33,"--")</f>
        <v>--</v>
      </c>
      <c r="U33" s="2409" t="str">
        <f>IF(AND(M33&gt;10,N33="F"),IF(M33&lt;=300,ROUND(M33/60,2),5)*I33*H33*IF(P33="SI",1.2,1),"--")</f>
        <v>--</v>
      </c>
      <c r="V33" s="2410" t="str">
        <f>IF(AND(N33="F",M33&gt;300),IF(P33="SI",1.2,1)*(ROUND(M33/60,2)-5)*I33*H33*0.1,"--")</f>
        <v>--</v>
      </c>
      <c r="W33" s="2411" t="str">
        <f>IF(AND(N33="R",Q33="NO"),IF(P33="SI",1.2,1)*I33*H33*O33/100,"--")</f>
        <v>--</v>
      </c>
      <c r="X33" s="2412" t="str">
        <f>IF(AND(M33&gt;10,N33="R"),IF(M33&lt;=300,ROUND(M33/60,2),5)*I33*H33*O33/100*IF(P33="SI",1.2,1),"--")</f>
        <v>--</v>
      </c>
      <c r="Y33" s="2413" t="str">
        <f>IF(AND(N33="R",M33&gt;300),IF(P33="SI",1.2,1)*(ROUND(M33/60,2)-5)*I33*H33*O33/100*0.1,"--")</f>
        <v>--</v>
      </c>
      <c r="Z33" s="2414" t="str">
        <f>IF(N33="RF",IF(P33="SI",1.2,1)*ROUND(M33/60,2)*I33*H33*0.1,"--")</f>
        <v>--</v>
      </c>
      <c r="AA33" s="2415" t="str">
        <f>IF(N33="RR",IF(P33="SI",1.2,1)*ROUND(M33/60,2)*I33*H33*O33/100*0.1,"--")</f>
        <v>--</v>
      </c>
      <c r="AB33" s="2416">
        <f>IF(D33="","","SI")</f>
      </c>
      <c r="AC33" s="2417">
        <f>IF(D33="","",SUM(R33:AA33)*IF(AB33="SI",1,2))</f>
      </c>
      <c r="AD33" s="2306"/>
    </row>
    <row r="34" spans="1:30" ht="16.5" customHeight="1">
      <c r="A34" s="2287"/>
      <c r="B34" s="2302"/>
      <c r="C34" s="1021" t="s">
        <v>397</v>
      </c>
      <c r="D34" s="2371"/>
      <c r="E34" s="2394"/>
      <c r="F34" s="2395"/>
      <c r="G34" s="2396"/>
      <c r="H34" s="2397">
        <f>IF(G34="A",200,IF(G34="B",60,20))</f>
        <v>20</v>
      </c>
      <c r="I34" s="2398">
        <f>IF(F34&gt;100,F34,100)*$F$19/100</f>
        <v>236.257</v>
      </c>
      <c r="J34" s="2399"/>
      <c r="K34" s="2400"/>
      <c r="L34" s="2401">
        <f>IF(D34="","",(K34-J34)*24)</f>
      </c>
      <c r="M34" s="2402">
        <f>IF(D34="","",ROUND((K34-J34)*24*60,0))</f>
      </c>
      <c r="N34" s="2403"/>
      <c r="O34" s="2404">
        <f>IF(D34="","","--")</f>
      </c>
      <c r="P34" s="2405">
        <f>IF(D34="","","NO")</f>
      </c>
      <c r="Q34" s="2405">
        <f>IF(D34="","",IF(OR(N34="P",N34="RP"),"--","NO"))</f>
      </c>
      <c r="R34" s="2406" t="str">
        <f>IF(N34="P",+I34*H34*ROUND(M34/60,2)/100,"--")</f>
        <v>--</v>
      </c>
      <c r="S34" s="2407" t="str">
        <f>IF(N34="RP",I34*H34*ROUND(M34/60,2)*0.01*O34/100,"--")</f>
        <v>--</v>
      </c>
      <c r="T34" s="2408" t="str">
        <f>IF(AND(N34="F",Q34="NO"),IF(P34="SI",1.2,1)*I34*H34,"--")</f>
        <v>--</v>
      </c>
      <c r="U34" s="2409" t="str">
        <f>IF(AND(M34&gt;10,N34="F"),IF(M34&lt;=300,ROUND(M34/60,2),5)*I34*H34*IF(P34="SI",1.2,1),"--")</f>
        <v>--</v>
      </c>
      <c r="V34" s="2410" t="str">
        <f>IF(AND(N34="F",M34&gt;300),IF(P34="SI",1.2,1)*(ROUND(M34/60,2)-5)*I34*H34*0.1,"--")</f>
        <v>--</v>
      </c>
      <c r="W34" s="2411" t="str">
        <f>IF(AND(N34="R",Q34="NO"),IF(P34="SI",1.2,1)*I34*H34*O34/100,"--")</f>
        <v>--</v>
      </c>
      <c r="X34" s="2412" t="str">
        <f>IF(AND(M34&gt;10,N34="R"),IF(M34&lt;=300,ROUND(M34/60,2),5)*I34*H34*O34/100*IF(P34="SI",1.2,1),"--")</f>
        <v>--</v>
      </c>
      <c r="Y34" s="2413" t="str">
        <f>IF(AND(N34="R",M34&gt;300),IF(P34="SI",1.2,1)*(ROUND(M34/60,2)-5)*I34*H34*O34/100*0.1,"--")</f>
        <v>--</v>
      </c>
      <c r="Z34" s="2414" t="str">
        <f>IF(N34="RF",IF(P34="SI",1.2,1)*ROUND(M34/60,2)*I34*H34*0.1,"--")</f>
        <v>--</v>
      </c>
      <c r="AA34" s="2415" t="str">
        <f>IF(N34="RR",IF(P34="SI",1.2,1)*ROUND(M34/60,2)*I34*H34*O34/100*0.1,"--")</f>
        <v>--</v>
      </c>
      <c r="AB34" s="2416">
        <f>IF(D34="","","SI")</f>
      </c>
      <c r="AC34" s="2417">
        <f>IF(D34="","",SUM(R34:AA34)*IF(AB34="SI",1,2))</f>
      </c>
      <c r="AD34" s="2306"/>
    </row>
    <row r="35" spans="1:30" ht="16.5" customHeight="1">
      <c r="A35" s="2287"/>
      <c r="B35" s="2302"/>
      <c r="C35" s="1021"/>
      <c r="D35" s="2371"/>
      <c r="E35" s="2394"/>
      <c r="F35" s="2395"/>
      <c r="G35" s="2396"/>
      <c r="H35" s="2397">
        <f>IF(G35="A",200,IF(G35="B",60,20))</f>
        <v>20</v>
      </c>
      <c r="I35" s="2398">
        <f>IF(F35&gt;100,F35,100)*$F$19/100</f>
        <v>236.257</v>
      </c>
      <c r="J35" s="2399"/>
      <c r="K35" s="2400"/>
      <c r="L35" s="2401">
        <f>IF(D35="","",(K35-J35)*24)</f>
      </c>
      <c r="M35" s="2402">
        <f>IF(D35="","",ROUND((K35-J35)*24*60,0))</f>
      </c>
      <c r="N35" s="2403"/>
      <c r="O35" s="2404">
        <f>IF(D35="","","--")</f>
      </c>
      <c r="P35" s="2405">
        <f>IF(D35="","","NO")</f>
      </c>
      <c r="Q35" s="2405">
        <f>IF(D35="","",IF(OR(N35="P",N35="RP"),"--","NO"))</f>
      </c>
      <c r="R35" s="2406" t="str">
        <f>IF(N35="P",+I35*H35*ROUND(M35/60,2)/100,"--")</f>
        <v>--</v>
      </c>
      <c r="S35" s="2407" t="str">
        <f>IF(N35="RP",I35*H35*ROUND(M35/60,2)*0.01*O35/100,"--")</f>
        <v>--</v>
      </c>
      <c r="T35" s="2408" t="str">
        <f>IF(AND(N35="F",Q35="NO"),IF(P35="SI",1.2,1)*I35*H35,"--")</f>
        <v>--</v>
      </c>
      <c r="U35" s="2409" t="str">
        <f>IF(AND(M35&gt;10,N35="F"),IF(M35&lt;=300,ROUND(M35/60,2),5)*I35*H35*IF(P35="SI",1.2,1),"--")</f>
        <v>--</v>
      </c>
      <c r="V35" s="2410" t="str">
        <f>IF(AND(N35="F",M35&gt;300),IF(P35="SI",1.2,1)*(ROUND(M35/60,2)-5)*I35*H35*0.1,"--")</f>
        <v>--</v>
      </c>
      <c r="W35" s="2411" t="str">
        <f>IF(AND(N35="R",Q35="NO"),IF(P35="SI",1.2,1)*I35*H35*O35/100,"--")</f>
        <v>--</v>
      </c>
      <c r="X35" s="2412" t="str">
        <f>IF(AND(M35&gt;10,N35="R"),IF(M35&lt;=300,ROUND(M35/60,2),5)*I35*H35*O35/100*IF(P35="SI",1.2,1),"--")</f>
        <v>--</v>
      </c>
      <c r="Y35" s="2413" t="str">
        <f>IF(AND(N35="R",M35&gt;300),IF(P35="SI",1.2,1)*(ROUND(M35/60,2)-5)*I35*H35*O35/100*0.1,"--")</f>
        <v>--</v>
      </c>
      <c r="Z35" s="2414" t="str">
        <f>IF(N35="RF",IF(P35="SI",1.2,1)*ROUND(M35/60,2)*I35*H35*0.1,"--")</f>
        <v>--</v>
      </c>
      <c r="AA35" s="2415" t="str">
        <f>IF(N35="RR",IF(P35="SI",1.2,1)*ROUND(M35/60,2)*I35*H35*O35/100*0.1,"--")</f>
        <v>--</v>
      </c>
      <c r="AB35" s="2416">
        <f>IF(D35="","","SI")</f>
      </c>
      <c r="AC35" s="2417">
        <f>IF(D35="","",SUM(R35:AA35)*IF(AB35="SI",1,2))</f>
      </c>
      <c r="AD35" s="2418"/>
    </row>
    <row r="36" spans="1:30" ht="16.5" customHeight="1" thickBot="1">
      <c r="A36" s="2327"/>
      <c r="B36" s="2302"/>
      <c r="C36" s="2419"/>
      <c r="D36" s="2420"/>
      <c r="E36" s="2421"/>
      <c r="F36" s="2422"/>
      <c r="G36" s="2423"/>
      <c r="H36" s="2424"/>
      <c r="I36" s="2425"/>
      <c r="J36" s="2426"/>
      <c r="K36" s="2426"/>
      <c r="L36" s="2427"/>
      <c r="M36" s="2427"/>
      <c r="N36" s="2427"/>
      <c r="O36" s="2428"/>
      <c r="P36" s="2427"/>
      <c r="Q36" s="2427"/>
      <c r="R36" s="2429"/>
      <c r="S36" s="2430"/>
      <c r="T36" s="2431"/>
      <c r="U36" s="2432"/>
      <c r="V36" s="2433"/>
      <c r="W36" s="2434"/>
      <c r="X36" s="2435"/>
      <c r="Y36" s="2436"/>
      <c r="Z36" s="2437"/>
      <c r="AA36" s="2438"/>
      <c r="AB36" s="2439"/>
      <c r="AC36" s="2440"/>
      <c r="AD36" s="2418"/>
    </row>
    <row r="37" spans="1:30" ht="16.5" customHeight="1" thickBot="1" thickTop="1">
      <c r="A37" s="2327"/>
      <c r="B37" s="2302"/>
      <c r="C37" s="2332"/>
      <c r="D37" s="2332"/>
      <c r="E37" s="2441"/>
      <c r="F37" s="2343"/>
      <c r="G37" s="2442"/>
      <c r="H37" s="2442"/>
      <c r="I37" s="2443"/>
      <c r="J37" s="2443"/>
      <c r="K37" s="2443"/>
      <c r="L37" s="2443"/>
      <c r="M37" s="2443"/>
      <c r="N37" s="2443"/>
      <c r="O37" s="2444"/>
      <c r="P37" s="2443"/>
      <c r="Q37" s="2443"/>
      <c r="R37" s="2445">
        <f aca="true" t="shared" si="0" ref="R37:AA37">SUM(R32:R36)</f>
        <v>0</v>
      </c>
      <c r="S37" s="2446">
        <f t="shared" si="0"/>
        <v>0</v>
      </c>
      <c r="T37" s="2447">
        <f t="shared" si="0"/>
        <v>0</v>
      </c>
      <c r="U37" s="2447">
        <f t="shared" si="0"/>
        <v>0</v>
      </c>
      <c r="V37" s="2447">
        <f t="shared" si="0"/>
        <v>0</v>
      </c>
      <c r="W37" s="2448">
        <f t="shared" si="0"/>
        <v>0</v>
      </c>
      <c r="X37" s="2448">
        <f t="shared" si="0"/>
        <v>0</v>
      </c>
      <c r="Y37" s="2448">
        <f t="shared" si="0"/>
        <v>0</v>
      </c>
      <c r="Z37" s="2449">
        <f t="shared" si="0"/>
        <v>0</v>
      </c>
      <c r="AA37" s="2450">
        <f t="shared" si="0"/>
        <v>0</v>
      </c>
      <c r="AB37" s="2451"/>
      <c r="AC37" s="2452">
        <f>SUM(AC32:AC36)</f>
        <v>0</v>
      </c>
      <c r="AD37" s="2418"/>
    </row>
    <row r="38" spans="1:30" ht="13.5" customHeight="1" thickBot="1" thickTop="1">
      <c r="A38" s="2327"/>
      <c r="B38" s="2302"/>
      <c r="C38" s="2332"/>
      <c r="D38" s="2332"/>
      <c r="E38" s="2441"/>
      <c r="F38" s="2343"/>
      <c r="G38" s="2442"/>
      <c r="H38" s="2442"/>
      <c r="I38" s="2443"/>
      <c r="J38" s="2443"/>
      <c r="K38" s="2443"/>
      <c r="L38" s="2443"/>
      <c r="M38" s="2443"/>
      <c r="N38" s="2443"/>
      <c r="O38" s="2444"/>
      <c r="P38" s="2443"/>
      <c r="Q38" s="2443"/>
      <c r="R38" s="2453"/>
      <c r="S38" s="2454"/>
      <c r="T38" s="2455"/>
      <c r="U38" s="2455"/>
      <c r="V38" s="2455"/>
      <c r="W38" s="2453"/>
      <c r="X38" s="2453"/>
      <c r="Y38" s="2453"/>
      <c r="Z38" s="2453"/>
      <c r="AA38" s="2453"/>
      <c r="AB38" s="2456"/>
      <c r="AC38" s="2457"/>
      <c r="AD38" s="2418"/>
    </row>
    <row r="39" spans="1:33" s="2287" customFormat="1" ht="33.75" customHeight="1" thickBot="1" thickTop="1">
      <c r="A39" s="2286"/>
      <c r="B39" s="2458"/>
      <c r="C39" s="2459" t="s">
        <v>32</v>
      </c>
      <c r="D39" s="2460" t="s">
        <v>60</v>
      </c>
      <c r="E39" s="2461" t="s">
        <v>61</v>
      </c>
      <c r="F39" s="2462" t="s">
        <v>62</v>
      </c>
      <c r="G39" s="2369" t="s">
        <v>35</v>
      </c>
      <c r="H39" s="2463" t="s">
        <v>39</v>
      </c>
      <c r="I39" s="2464"/>
      <c r="J39" s="2461" t="s">
        <v>40</v>
      </c>
      <c r="K39" s="2461" t="s">
        <v>41</v>
      </c>
      <c r="L39" s="2460" t="s">
        <v>63</v>
      </c>
      <c r="M39" s="2460" t="s">
        <v>43</v>
      </c>
      <c r="N39" s="2356" t="s">
        <v>398</v>
      </c>
      <c r="O39" s="2461" t="s">
        <v>46</v>
      </c>
      <c r="P39" s="2465" t="s">
        <v>64</v>
      </c>
      <c r="Q39" s="2466"/>
      <c r="R39" s="2463" t="s">
        <v>399</v>
      </c>
      <c r="S39" s="2467" t="s">
        <v>47</v>
      </c>
      <c r="T39" s="2468" t="s">
        <v>400</v>
      </c>
      <c r="U39" s="2469"/>
      <c r="V39" s="2470" t="s">
        <v>51</v>
      </c>
      <c r="W39" s="2471"/>
      <c r="X39" s="2472"/>
      <c r="Y39" s="2472"/>
      <c r="Z39" s="2472"/>
      <c r="AA39" s="2473"/>
      <c r="AB39" s="2474" t="s">
        <v>53</v>
      </c>
      <c r="AC39" s="2369" t="s">
        <v>54</v>
      </c>
      <c r="AD39" s="2306"/>
      <c r="AF39" s="2288"/>
      <c r="AG39" s="2288"/>
    </row>
    <row r="40" spans="1:30" ht="16.5" customHeight="1" thickTop="1">
      <c r="A40" s="2287"/>
      <c r="B40" s="2302"/>
      <c r="C40" s="2371"/>
      <c r="D40" s="2475"/>
      <c r="E40" s="2475"/>
      <c r="F40" s="2475"/>
      <c r="G40" s="2476"/>
      <c r="H40" s="2477"/>
      <c r="I40" s="2478"/>
      <c r="J40" s="2475"/>
      <c r="K40" s="2475"/>
      <c r="L40" s="2475"/>
      <c r="M40" s="2475"/>
      <c r="N40" s="2475"/>
      <c r="O40" s="2479"/>
      <c r="P40" s="2789"/>
      <c r="Q40" s="2798"/>
      <c r="R40" s="2481"/>
      <c r="S40" s="2482"/>
      <c r="T40" s="2483"/>
      <c r="U40" s="2484"/>
      <c r="V40" s="2485"/>
      <c r="W40" s="2486"/>
      <c r="X40" s="2487"/>
      <c r="Y40" s="2487"/>
      <c r="Z40" s="2487"/>
      <c r="AA40" s="2488"/>
      <c r="AB40" s="2479"/>
      <c r="AC40" s="2489"/>
      <c r="AD40" s="2306"/>
    </row>
    <row r="41" spans="1:30" ht="16.5" customHeight="1">
      <c r="A41" s="2287"/>
      <c r="B41" s="2302"/>
      <c r="C41" s="1021" t="s">
        <v>396</v>
      </c>
      <c r="D41" s="2490"/>
      <c r="E41" s="2491"/>
      <c r="F41" s="2492"/>
      <c r="G41" s="2493"/>
      <c r="H41" s="2494">
        <f>F41*$F$21</f>
        <v>0</v>
      </c>
      <c r="I41" s="2495"/>
      <c r="J41" s="2496"/>
      <c r="K41" s="2496"/>
      <c r="L41" s="2497">
        <f>IF(D41="","",(K41-J41)*24)</f>
      </c>
      <c r="M41" s="2498">
        <f>IF(D41="","",(K41-J41)*24*60)</f>
      </c>
      <c r="N41" s="2499"/>
      <c r="O41" s="2500">
        <f>IF(D41="","",IF(OR(N41="P",N41="RP"),"--","NO"))</f>
      </c>
      <c r="P41" s="2793">
        <f>IF(D41="","","NO")</f>
      </c>
      <c r="Q41" s="2794"/>
      <c r="R41" s="2502">
        <f>200*IF(P41="SI",1,0.1)*IF(N41="P",0.1,1)</f>
        <v>20</v>
      </c>
      <c r="S41" s="2503" t="str">
        <f>IF(N41="P",H41*R41*ROUND(M41/60,2),"--")</f>
        <v>--</v>
      </c>
      <c r="T41" s="2504" t="str">
        <f>IF(AND(N41="F",O41="NO"),H41*R41,"--")</f>
        <v>--</v>
      </c>
      <c r="U41" s="2505" t="str">
        <f>IF(N41="F",H41*R41*ROUND(M41/60,2),"--")</f>
        <v>--</v>
      </c>
      <c r="V41" s="2506" t="str">
        <f>IF(N41="RF",H41*R41*ROUND(M41/60,2),"--")</f>
        <v>--</v>
      </c>
      <c r="W41" s="2507"/>
      <c r="X41" s="2508"/>
      <c r="Y41" s="2508"/>
      <c r="Z41" s="2508"/>
      <c r="AA41" s="2509"/>
      <c r="AB41" s="2510">
        <f>IF(D41="","","SI")</f>
      </c>
      <c r="AC41" s="2511">
        <f>IF(D41="","",SUM(S41:V41)*IF(AB41="SI",1,2))</f>
      </c>
      <c r="AD41" s="2306"/>
    </row>
    <row r="42" spans="1:30" ht="16.5" customHeight="1">
      <c r="A42" s="2287"/>
      <c r="B42" s="2302"/>
      <c r="C42" s="1021" t="s">
        <v>397</v>
      </c>
      <c r="D42" s="2490"/>
      <c r="E42" s="2491"/>
      <c r="F42" s="2492"/>
      <c r="G42" s="2512"/>
      <c r="H42" s="2494">
        <f>F42*$F$20</f>
        <v>0</v>
      </c>
      <c r="I42" s="2495"/>
      <c r="J42" s="2496"/>
      <c r="K42" s="2496"/>
      <c r="L42" s="2497">
        <f>IF(D42="","",(K42-J42)*24)</f>
      </c>
      <c r="M42" s="2498">
        <f>IF(D42="","",(K42-J42)*24*60)</f>
      </c>
      <c r="N42" s="2499"/>
      <c r="O42" s="2500">
        <f>IF(D42="","",IF(OR(N42="P",N42="RP"),"--","NO"))</f>
      </c>
      <c r="P42" s="2793">
        <f>IF(D42="","","NO")</f>
      </c>
      <c r="Q42" s="2794"/>
      <c r="R42" s="2502">
        <f>200*IF(P42="SI",1,0.1)*IF(N42="P",0.1,1)</f>
        <v>20</v>
      </c>
      <c r="S42" s="2503" t="str">
        <f>IF(N42="P",H42*R42*ROUND(M42/60,2),"--")</f>
        <v>--</v>
      </c>
      <c r="T42" s="2504" t="str">
        <f>IF(AND(N42="F",O42="NO"),H42*R42,"--")</f>
        <v>--</v>
      </c>
      <c r="U42" s="2505" t="str">
        <f>IF(N42="F",H42*R42*ROUND(M42/60,2),"--")</f>
        <v>--</v>
      </c>
      <c r="V42" s="2506" t="str">
        <f>IF(N42="RF",H42*R42*ROUND(M42/60,2),"--")</f>
        <v>--</v>
      </c>
      <c r="W42" s="2507"/>
      <c r="X42" s="2508"/>
      <c r="Y42" s="2508"/>
      <c r="Z42" s="2508"/>
      <c r="AA42" s="2509"/>
      <c r="AB42" s="2510">
        <f>IF(D42="","","SI")</f>
      </c>
      <c r="AC42" s="2511">
        <f>IF(D42="","",SUM(S42:V42)*IF(AB42="SI",1,2))</f>
      </c>
      <c r="AD42" s="2306"/>
    </row>
    <row r="43" spans="1:30" ht="16.5" customHeight="1">
      <c r="A43" s="2287"/>
      <c r="B43" s="2302"/>
      <c r="C43" s="1021"/>
      <c r="D43" s="2490"/>
      <c r="E43" s="2491"/>
      <c r="F43" s="2492"/>
      <c r="G43" s="2512"/>
      <c r="H43" s="2494">
        <f>F43*$F$20</f>
        <v>0</v>
      </c>
      <c r="I43" s="2495"/>
      <c r="J43" s="2496"/>
      <c r="K43" s="2496"/>
      <c r="L43" s="2497">
        <f>IF(D43="","",(K43-J43)*24)</f>
      </c>
      <c r="M43" s="2498">
        <f>IF(D43="","",(K43-J43)*24*60)</f>
      </c>
      <c r="N43" s="2499"/>
      <c r="O43" s="2500">
        <f>IF(D43="","",IF(OR(N43="P",N43="RP"),"--","NO"))</f>
      </c>
      <c r="P43" s="2793">
        <f>IF(D43="","","NO")</f>
      </c>
      <c r="Q43" s="2794"/>
      <c r="R43" s="2502">
        <f>200*IF(P43="SI",1,0.1)*IF(N43="P",0.1,1)</f>
        <v>20</v>
      </c>
      <c r="S43" s="2503" t="str">
        <f>IF(N43="P",H43*R43*ROUND(M43/60,2),"--")</f>
        <v>--</v>
      </c>
      <c r="T43" s="2504" t="str">
        <f>IF(AND(N43="F",O43="NO"),H43*R43,"--")</f>
        <v>--</v>
      </c>
      <c r="U43" s="2505" t="str">
        <f>IF(N43="F",H43*R43*ROUND(M43/60,2),"--")</f>
        <v>--</v>
      </c>
      <c r="V43" s="2506" t="str">
        <f>IF(N43="RF",H43*R43*ROUND(M43/60,2),"--")</f>
        <v>--</v>
      </c>
      <c r="W43" s="2507"/>
      <c r="X43" s="2508"/>
      <c r="Y43" s="2508"/>
      <c r="Z43" s="2508"/>
      <c r="AA43" s="2509"/>
      <c r="AB43" s="2510">
        <f>IF(D43="","","SI")</f>
      </c>
      <c r="AC43" s="2511">
        <f>IF(D43="","",SUM(S43:V43)*IF(AB43="SI",1,2))</f>
      </c>
      <c r="AD43" s="2306"/>
    </row>
    <row r="44" spans="1:30" ht="16.5" customHeight="1" thickBot="1">
      <c r="A44" s="2327"/>
      <c r="B44" s="2302"/>
      <c r="C44" s="2419"/>
      <c r="D44" s="2513"/>
      <c r="E44" s="2514"/>
      <c r="F44" s="2515"/>
      <c r="G44" s="2516"/>
      <c r="H44" s="2517"/>
      <c r="I44" s="2518"/>
      <c r="J44" s="2519"/>
      <c r="K44" s="2520"/>
      <c r="L44" s="2521"/>
      <c r="M44" s="2522"/>
      <c r="N44" s="2523"/>
      <c r="O44" s="2427"/>
      <c r="P44" s="2795"/>
      <c r="Q44" s="2797"/>
      <c r="R44" s="2524"/>
      <c r="S44" s="2525"/>
      <c r="T44" s="2526"/>
      <c r="U44" s="2527"/>
      <c r="V44" s="2528"/>
      <c r="W44" s="2529"/>
      <c r="X44" s="2530"/>
      <c r="Y44" s="2530"/>
      <c r="Z44" s="2530"/>
      <c r="AA44" s="2531"/>
      <c r="AB44" s="2532"/>
      <c r="AC44" s="2533"/>
      <c r="AD44" s="2418"/>
    </row>
    <row r="45" spans="1:30" ht="16.5" customHeight="1" thickBot="1" thickTop="1">
      <c r="A45" s="2327"/>
      <c r="B45" s="2302"/>
      <c r="C45" s="2534"/>
      <c r="D45" s="2347"/>
      <c r="E45" s="2347"/>
      <c r="F45" s="2535"/>
      <c r="G45" s="2536"/>
      <c r="H45" s="2537"/>
      <c r="I45" s="2538"/>
      <c r="J45" s="2539"/>
      <c r="K45" s="2540"/>
      <c r="L45" s="2541"/>
      <c r="M45" s="2537"/>
      <c r="N45" s="2542"/>
      <c r="O45" s="2543"/>
      <c r="P45" s="2544"/>
      <c r="Q45" s="2545"/>
      <c r="R45" s="2546"/>
      <c r="S45" s="2546"/>
      <c r="T45" s="2546"/>
      <c r="U45" s="2547"/>
      <c r="V45" s="2547"/>
      <c r="W45" s="2547"/>
      <c r="X45" s="2547"/>
      <c r="Y45" s="2547"/>
      <c r="Z45" s="2547"/>
      <c r="AA45" s="2547"/>
      <c r="AB45" s="2547"/>
      <c r="AC45" s="2548">
        <f>SUM(AC40:AC44)</f>
        <v>0</v>
      </c>
      <c r="AD45" s="2418"/>
    </row>
    <row r="46" spans="1:30" ht="13.5" customHeight="1" thickBot="1" thickTop="1">
      <c r="A46" s="2327"/>
      <c r="B46" s="2302"/>
      <c r="C46" s="2332"/>
      <c r="D46" s="2332"/>
      <c r="E46" s="2332"/>
      <c r="F46" s="2332"/>
      <c r="G46" s="2332"/>
      <c r="H46" s="2332"/>
      <c r="I46" s="2332"/>
      <c r="J46" s="2332"/>
      <c r="K46" s="2332"/>
      <c r="L46" s="2332"/>
      <c r="M46" s="2332"/>
      <c r="N46" s="2332"/>
      <c r="O46" s="2332"/>
      <c r="P46" s="2332"/>
      <c r="Q46" s="2332"/>
      <c r="R46" s="2332"/>
      <c r="S46" s="2332"/>
      <c r="T46" s="2332"/>
      <c r="U46" s="2332"/>
      <c r="V46" s="2332"/>
      <c r="W46" s="2332"/>
      <c r="X46" s="2332"/>
      <c r="Y46" s="2332"/>
      <c r="Z46" s="2332"/>
      <c r="AA46" s="2332"/>
      <c r="AB46" s="2332"/>
      <c r="AC46" s="2332"/>
      <c r="AD46" s="2418"/>
    </row>
    <row r="47" spans="1:33" s="2287" customFormat="1" ht="33.75" customHeight="1" thickBot="1" thickTop="1">
      <c r="A47" s="2286"/>
      <c r="B47" s="2458"/>
      <c r="C47" s="2459" t="s">
        <v>32</v>
      </c>
      <c r="D47" s="2460" t="s">
        <v>60</v>
      </c>
      <c r="E47" s="2787" t="s">
        <v>61</v>
      </c>
      <c r="F47" s="2788"/>
      <c r="G47" s="2549" t="s">
        <v>35</v>
      </c>
      <c r="H47" s="2463" t="s">
        <v>39</v>
      </c>
      <c r="I47" s="2464"/>
      <c r="J47" s="2461" t="s">
        <v>40</v>
      </c>
      <c r="K47" s="2461" t="s">
        <v>41</v>
      </c>
      <c r="L47" s="2460" t="s">
        <v>63</v>
      </c>
      <c r="M47" s="2460" t="s">
        <v>43</v>
      </c>
      <c r="N47" s="2356" t="s">
        <v>398</v>
      </c>
      <c r="O47" s="2787" t="s">
        <v>46</v>
      </c>
      <c r="P47" s="2802"/>
      <c r="Q47" s="2803"/>
      <c r="R47" s="2353" t="s">
        <v>38</v>
      </c>
      <c r="S47" s="2550" t="s">
        <v>73</v>
      </c>
      <c r="T47" s="2551" t="s">
        <v>74</v>
      </c>
      <c r="U47" s="2552"/>
      <c r="V47" s="2553" t="s">
        <v>51</v>
      </c>
      <c r="W47" s="2472"/>
      <c r="X47" s="2472"/>
      <c r="Y47" s="2472"/>
      <c r="Z47" s="2472"/>
      <c r="AA47" s="2473"/>
      <c r="AB47" s="2474" t="s">
        <v>53</v>
      </c>
      <c r="AC47" s="2369" t="s">
        <v>54</v>
      </c>
      <c r="AD47" s="2306"/>
      <c r="AF47" s="2288"/>
      <c r="AG47" s="2288"/>
    </row>
    <row r="48" spans="1:30" ht="16.5" customHeight="1" thickTop="1">
      <c r="A48" s="2287"/>
      <c r="B48" s="2302"/>
      <c r="C48" s="2371"/>
      <c r="D48" s="2475"/>
      <c r="E48" s="2789"/>
      <c r="F48" s="2790"/>
      <c r="G48" s="2480"/>
      <c r="H48" s="2477"/>
      <c r="I48" s="2478"/>
      <c r="J48" s="2475"/>
      <c r="K48" s="2475"/>
      <c r="L48" s="2475"/>
      <c r="M48" s="2475"/>
      <c r="N48" s="2475"/>
      <c r="O48" s="2789"/>
      <c r="P48" s="2804"/>
      <c r="Q48" s="2798"/>
      <c r="R48" s="2554"/>
      <c r="S48" s="2555"/>
      <c r="T48" s="2556"/>
      <c r="U48" s="2557"/>
      <c r="V48" s="2558"/>
      <c r="W48" s="2487"/>
      <c r="X48" s="2487"/>
      <c r="Y48" s="2487"/>
      <c r="Z48" s="2487"/>
      <c r="AA48" s="2488"/>
      <c r="AB48" s="2479"/>
      <c r="AC48" s="2489"/>
      <c r="AD48" s="2306"/>
    </row>
    <row r="49" spans="1:30" ht="15">
      <c r="A49" s="2287"/>
      <c r="B49" s="2302"/>
      <c r="C49" s="1210" t="s">
        <v>396</v>
      </c>
      <c r="D49" s="2490" t="s">
        <v>321</v>
      </c>
      <c r="E49" s="2791" t="s">
        <v>504</v>
      </c>
      <c r="F49" s="2792"/>
      <c r="G49" s="2559">
        <v>132</v>
      </c>
      <c r="H49" s="2494">
        <f>IF(G49=132,$F$22,IF(G49=500,$F$23,0))</f>
        <v>103.083</v>
      </c>
      <c r="I49" s="2495"/>
      <c r="J49" s="2560">
        <v>40979.291666666664</v>
      </c>
      <c r="K49" s="2561">
        <v>40979.402083333334</v>
      </c>
      <c r="L49" s="2497">
        <f>IF(D49="","",(K49-J49)*24)</f>
        <v>2.6500000000814907</v>
      </c>
      <c r="M49" s="2498">
        <f>IF(D49="","",(K49-J49)*24*60)</f>
        <v>159.00000000488944</v>
      </c>
      <c r="N49" s="2499" t="s">
        <v>253</v>
      </c>
      <c r="O49" s="2799" t="str">
        <f>IF(D49="","",IF(N49="P","--","NO"))</f>
        <v>--</v>
      </c>
      <c r="P49" s="2800"/>
      <c r="Q49" s="2801"/>
      <c r="R49" s="2554">
        <f>IF(G49=500,200,IF(G49=132,40,0))</f>
        <v>40</v>
      </c>
      <c r="S49" s="2562">
        <f>IF(N49="P",H49*R49*ROUND(M49/60,2)*0.1,"--")</f>
        <v>1092.6798</v>
      </c>
      <c r="T49" s="2563" t="str">
        <f>IF(AND(N49="F",O49="NO"),H49*R49,"--")</f>
        <v>--</v>
      </c>
      <c r="U49" s="2564" t="str">
        <f>IF(N49="F",H49*R49*ROUND(M49/60,2),"--")</f>
        <v>--</v>
      </c>
      <c r="V49" s="2506" t="str">
        <f>IF(N49="RF",H49*R49*ROUND(M49/60,2),"--")</f>
        <v>--</v>
      </c>
      <c r="W49" s="2508"/>
      <c r="X49" s="2508"/>
      <c r="Y49" s="2508"/>
      <c r="Z49" s="2508"/>
      <c r="AA49" s="2509"/>
      <c r="AB49" s="2510" t="str">
        <f>IF(D49="","","SI")</f>
        <v>SI</v>
      </c>
      <c r="AC49" s="2565">
        <f>IF(D49="","",SUM(S49:V49)*IF(AB49="SI",1,2))</f>
        <v>1092.6798</v>
      </c>
      <c r="AD49" s="2418"/>
    </row>
    <row r="50" spans="1:30" ht="16.5" customHeight="1">
      <c r="A50" s="2287"/>
      <c r="B50" s="2302"/>
      <c r="C50" s="1021" t="s">
        <v>397</v>
      </c>
      <c r="D50" s="2490"/>
      <c r="E50" s="2791"/>
      <c r="F50" s="2792"/>
      <c r="G50" s="2559"/>
      <c r="H50" s="2494">
        <f>IF(G50=132,$F$22,IF(G50=500,$F$23,0))</f>
        <v>0</v>
      </c>
      <c r="I50" s="2495"/>
      <c r="J50" s="2496"/>
      <c r="K50" s="2496"/>
      <c r="L50" s="2497">
        <f>IF(D50="","",(K50-J50)*24)</f>
      </c>
      <c r="M50" s="2498">
        <f>IF(D50="","",(K50-J50)*24*60)</f>
      </c>
      <c r="N50" s="2499"/>
      <c r="O50" s="2799">
        <f>IF(D50="","",IF(N50="P","--","NO"))</f>
      </c>
      <c r="P50" s="2800"/>
      <c r="Q50" s="2801"/>
      <c r="R50" s="2554">
        <f>IF(F50=500,200,IF(F50=132,40,0))</f>
        <v>0</v>
      </c>
      <c r="S50" s="2562" t="str">
        <f>IF(N50="P",H50*R50*ROUND(M50/60,2)*0.1,"--")</f>
        <v>--</v>
      </c>
      <c r="T50" s="2563" t="str">
        <f>IF(AND(N50="F",O50="NO"),H50*R50,"--")</f>
        <v>--</v>
      </c>
      <c r="U50" s="2564" t="str">
        <f>IF(N50="F",H50*R50*ROUND(M50/60,2),"--")</f>
        <v>--</v>
      </c>
      <c r="V50" s="2506" t="str">
        <f>IF(N50="RF",H50*R50*ROUND(M50/60,2),"--")</f>
        <v>--</v>
      </c>
      <c r="W50" s="2508"/>
      <c r="X50" s="2508"/>
      <c r="Y50" s="2508"/>
      <c r="Z50" s="2508"/>
      <c r="AA50" s="2509"/>
      <c r="AB50" s="2510">
        <f>IF(D50="","","SI")</f>
      </c>
      <c r="AC50" s="2565">
        <f>IF(D50="","",SUM(S50:V50)*IF(AB50="SI",1,2))</f>
      </c>
      <c r="AD50" s="2306"/>
    </row>
    <row r="51" spans="1:30" ht="16.5" customHeight="1">
      <c r="A51" s="2287"/>
      <c r="B51" s="2302"/>
      <c r="C51" s="1021"/>
      <c r="D51" s="2490"/>
      <c r="E51" s="2791"/>
      <c r="F51" s="2792"/>
      <c r="G51" s="2559"/>
      <c r="H51" s="2494">
        <f>IF(G51=132,$F$22,IF(G51=500,$F$23,0))</f>
        <v>0</v>
      </c>
      <c r="I51" s="2495"/>
      <c r="J51" s="2496"/>
      <c r="K51" s="2496"/>
      <c r="L51" s="2497">
        <f>IF(D51="","",(K51-J51)*24)</f>
      </c>
      <c r="M51" s="2498">
        <f>IF(D51="","",(K51-J51)*24*60)</f>
      </c>
      <c r="N51" s="2499"/>
      <c r="O51" s="2799">
        <f>IF(D51="","",IF(N51="P","--","NO"))</f>
      </c>
      <c r="P51" s="2800"/>
      <c r="Q51" s="2801"/>
      <c r="R51" s="2554">
        <f>IF(F51=500,200,IF(F51=132,40,0))</f>
        <v>0</v>
      </c>
      <c r="S51" s="2562" t="str">
        <f>IF(N51="P",H51*R51*ROUND(M51/60,2)*0.1,"--")</f>
        <v>--</v>
      </c>
      <c r="T51" s="2563" t="str">
        <f>IF(AND(N51="F",O51="NO"),H51*R51,"--")</f>
        <v>--</v>
      </c>
      <c r="U51" s="2564" t="str">
        <f>IF(N51="F",H51*R51*ROUND(M51/60,2),"--")</f>
        <v>--</v>
      </c>
      <c r="V51" s="2506" t="str">
        <f>IF(N51="RF",H51*R51*ROUND(M51/60,2),"--")</f>
        <v>--</v>
      </c>
      <c r="W51" s="2508"/>
      <c r="X51" s="2508"/>
      <c r="Y51" s="2508"/>
      <c r="Z51" s="2508"/>
      <c r="AA51" s="2509"/>
      <c r="AB51" s="2510">
        <f>IF(D51="","","SI")</f>
      </c>
      <c r="AC51" s="2565">
        <f>IF(D51="","",SUM(S51:V51)*IF(AB51="SI",1,2))</f>
      </c>
      <c r="AD51" s="2306"/>
    </row>
    <row r="52" spans="1:30" ht="16.5" customHeight="1" thickBot="1">
      <c r="A52" s="2327"/>
      <c r="B52" s="2302"/>
      <c r="C52" s="2419"/>
      <c r="D52" s="2513"/>
      <c r="E52" s="2811"/>
      <c r="F52" s="2812"/>
      <c r="G52" s="2566"/>
      <c r="H52" s="2517"/>
      <c r="I52" s="2518"/>
      <c r="J52" s="2519"/>
      <c r="K52" s="2520"/>
      <c r="L52" s="2521"/>
      <c r="M52" s="2522"/>
      <c r="N52" s="2523"/>
      <c r="O52" s="2795"/>
      <c r="P52" s="2796"/>
      <c r="Q52" s="2797"/>
      <c r="R52" s="2554"/>
      <c r="S52" s="2562"/>
      <c r="T52" s="2563"/>
      <c r="U52" s="2564"/>
      <c r="V52" s="2506"/>
      <c r="W52" s="2530"/>
      <c r="X52" s="2530"/>
      <c r="Y52" s="2530"/>
      <c r="Z52" s="2530"/>
      <c r="AA52" s="2531"/>
      <c r="AB52" s="2532"/>
      <c r="AC52" s="2565">
        <f>IF(D52="","",SUM(S52:V52)*IF(AB52="SI",1,2))</f>
      </c>
      <c r="AD52" s="2418"/>
    </row>
    <row r="53" spans="1:30" ht="16.5" customHeight="1" thickBot="1" thickTop="1">
      <c r="A53" s="2327"/>
      <c r="B53" s="2302"/>
      <c r="C53" s="2534"/>
      <c r="D53" s="2347"/>
      <c r="E53" s="2347"/>
      <c r="F53" s="2535"/>
      <c r="G53" s="2536"/>
      <c r="H53" s="2537"/>
      <c r="I53" s="2538"/>
      <c r="J53" s="2539"/>
      <c r="K53" s="2540"/>
      <c r="L53" s="2541"/>
      <c r="M53" s="2537"/>
      <c r="N53" s="2542"/>
      <c r="O53" s="2543"/>
      <c r="P53" s="2567"/>
      <c r="Q53" s="2568"/>
      <c r="R53" s="2569"/>
      <c r="S53" s="2569"/>
      <c r="T53" s="2569"/>
      <c r="U53" s="2570"/>
      <c r="V53" s="2570"/>
      <c r="W53" s="2570"/>
      <c r="X53" s="2570"/>
      <c r="Y53" s="2570"/>
      <c r="Z53" s="2570"/>
      <c r="AA53" s="2570"/>
      <c r="AB53" s="2570"/>
      <c r="AC53" s="2548">
        <f>SUM(AC48:AC52)</f>
        <v>1092.6798</v>
      </c>
      <c r="AD53" s="2418"/>
    </row>
    <row r="54" spans="1:30" ht="16.5" customHeight="1" thickBot="1" thickTop="1">
      <c r="A54" s="2327"/>
      <c r="B54" s="2302"/>
      <c r="C54" s="2534"/>
      <c r="D54" s="2347"/>
      <c r="E54" s="2347"/>
      <c r="F54" s="2535"/>
      <c r="G54" s="2536"/>
      <c r="H54" s="2537"/>
      <c r="I54" s="2538"/>
      <c r="J54" s="2539"/>
      <c r="K54" s="2540"/>
      <c r="L54" s="2541"/>
      <c r="M54" s="2537"/>
      <c r="N54" s="2542"/>
      <c r="O54" s="2543"/>
      <c r="P54" s="2567"/>
      <c r="Q54" s="2568"/>
      <c r="R54" s="2569"/>
      <c r="S54" s="2569"/>
      <c r="T54" s="2569"/>
      <c r="U54" s="2570"/>
      <c r="V54" s="2570"/>
      <c r="W54" s="2570"/>
      <c r="X54" s="2570"/>
      <c r="Y54" s="2570"/>
      <c r="Z54" s="2570"/>
      <c r="AA54" s="2570"/>
      <c r="AB54" s="2570"/>
      <c r="AC54" s="2571"/>
      <c r="AD54" s="2418"/>
    </row>
    <row r="55" spans="1:30" ht="43.5" customHeight="1" thickBot="1" thickTop="1">
      <c r="A55" s="2327"/>
      <c r="B55" s="2328"/>
      <c r="C55" s="2459" t="s">
        <v>32</v>
      </c>
      <c r="D55" s="2460" t="s">
        <v>60</v>
      </c>
      <c r="E55" s="2354" t="s">
        <v>61</v>
      </c>
      <c r="F55" s="2805" t="s">
        <v>344</v>
      </c>
      <c r="G55" s="2806"/>
      <c r="H55" s="2463" t="s">
        <v>39</v>
      </c>
      <c r="I55" s="2572"/>
      <c r="J55" s="2354" t="s">
        <v>40</v>
      </c>
      <c r="K55" s="2354" t="s">
        <v>41</v>
      </c>
      <c r="L55" s="2357" t="s">
        <v>42</v>
      </c>
      <c r="M55" s="2357" t="s">
        <v>43</v>
      </c>
      <c r="N55" s="2356" t="s">
        <v>251</v>
      </c>
      <c r="O55" s="2356" t="s">
        <v>44</v>
      </c>
      <c r="P55" s="2807" t="s">
        <v>46</v>
      </c>
      <c r="Q55" s="2808"/>
      <c r="R55" s="2573" t="s">
        <v>38</v>
      </c>
      <c r="S55" s="2574" t="s">
        <v>73</v>
      </c>
      <c r="T55" s="2575" t="s">
        <v>345</v>
      </c>
      <c r="U55" s="2576"/>
      <c r="V55" s="2577" t="s">
        <v>346</v>
      </c>
      <c r="W55" s="2578"/>
      <c r="X55" s="2579" t="s">
        <v>51</v>
      </c>
      <c r="Y55" s="2580" t="s">
        <v>48</v>
      </c>
      <c r="Z55" s="2572"/>
      <c r="AA55" s="2572"/>
      <c r="AB55" s="2474" t="s">
        <v>53</v>
      </c>
      <c r="AC55" s="2581" t="s">
        <v>54</v>
      </c>
      <c r="AD55" s="2582"/>
    </row>
    <row r="56" spans="1:30" ht="16.5" customHeight="1" thickTop="1">
      <c r="A56" s="2327"/>
      <c r="B56" s="2328"/>
      <c r="C56" s="2583"/>
      <c r="D56" s="2584"/>
      <c r="E56" s="2584"/>
      <c r="F56" s="2809"/>
      <c r="G56" s="2810"/>
      <c r="H56" s="2585"/>
      <c r="I56" s="2572"/>
      <c r="J56" s="2586"/>
      <c r="K56" s="2586"/>
      <c r="L56" s="2587"/>
      <c r="M56" s="2587"/>
      <c r="N56" s="2584"/>
      <c r="O56" s="2588"/>
      <c r="P56" s="2809"/>
      <c r="Q56" s="2810"/>
      <c r="R56" s="2589"/>
      <c r="S56" s="2590"/>
      <c r="T56" s="2591"/>
      <c r="U56" s="2592"/>
      <c r="V56" s="2593"/>
      <c r="W56" s="2594"/>
      <c r="X56" s="2595"/>
      <c r="Y56" s="2595"/>
      <c r="Z56" s="2572"/>
      <c r="AA56" s="2572"/>
      <c r="AB56" s="2596"/>
      <c r="AC56" s="2597"/>
      <c r="AD56" s="2582"/>
    </row>
    <row r="57" spans="1:30" ht="16.5" customHeight="1">
      <c r="A57" s="2327"/>
      <c r="B57" s="2328"/>
      <c r="C57" s="1210" t="s">
        <v>396</v>
      </c>
      <c r="D57" s="2598"/>
      <c r="E57" s="2599"/>
      <c r="F57" s="2813"/>
      <c r="G57" s="2814"/>
      <c r="H57" s="2600"/>
      <c r="I57" s="2572"/>
      <c r="J57" s="2601"/>
      <c r="K57" s="2602"/>
      <c r="L57" s="2603"/>
      <c r="M57" s="2604"/>
      <c r="N57" s="2501"/>
      <c r="O57" s="2605"/>
      <c r="P57" s="2793"/>
      <c r="Q57" s="2794"/>
      <c r="R57" s="2606"/>
      <c r="S57" s="2607"/>
      <c r="T57" s="2608"/>
      <c r="U57" s="2609"/>
      <c r="V57" s="2610"/>
      <c r="W57" s="2611"/>
      <c r="X57" s="2612"/>
      <c r="Y57" s="2612"/>
      <c r="Z57" s="2572"/>
      <c r="AA57" s="2572"/>
      <c r="AB57" s="2613"/>
      <c r="AC57" s="2614"/>
      <c r="AD57" s="2582"/>
    </row>
    <row r="58" spans="2:30" s="2327" customFormat="1" ht="16.5" customHeight="1">
      <c r="B58" s="2328"/>
      <c r="C58" s="1021" t="s">
        <v>397</v>
      </c>
      <c r="D58" s="2615"/>
      <c r="E58" s="2616"/>
      <c r="F58" s="2815"/>
      <c r="G58" s="2816"/>
      <c r="H58" s="2617">
        <f>F58*$F$22</f>
        <v>0</v>
      </c>
      <c r="I58" s="2572"/>
      <c r="J58" s="2560"/>
      <c r="K58" s="2561"/>
      <c r="L58" s="2618">
        <f aca="true" t="shared" si="1" ref="L58:L65">IF(D58="","",(K58-J58)*24)</f>
      </c>
      <c r="M58" s="2402">
        <f aca="true" t="shared" si="2" ref="M58:M65">IF(D58="","",ROUND((K58-J58)*24*60,0))</f>
      </c>
      <c r="N58" s="2619"/>
      <c r="O58" s="2404">
        <f aca="true" t="shared" si="3" ref="O58:O65">IF(D58="","","--")</f>
      </c>
      <c r="P58" s="2793">
        <f aca="true" t="shared" si="4" ref="P58:P64">IF(D58="","",IF(OR(N58="P",N58="RP"),"--","NO"))</f>
      </c>
      <c r="Q58" s="2794"/>
      <c r="R58" s="2620">
        <f aca="true" t="shared" si="5" ref="R58:R64">IF(OR(N58="P",N58="RP"),200/10,200)</f>
        <v>200</v>
      </c>
      <c r="S58" s="2621" t="str">
        <f aca="true" t="shared" si="6" ref="S58:S64">IF(N58="P",H58*R58*ROUND(M58/60,2),"--")</f>
        <v>--</v>
      </c>
      <c r="T58" s="2608" t="str">
        <f aca="true" t="shared" si="7" ref="T58:T64">IF(AND(N58="F",P58="NO"),H58*R58,"--")</f>
        <v>--</v>
      </c>
      <c r="U58" s="2609" t="str">
        <f aca="true" t="shared" si="8" ref="U58:U64">IF(N58="F",H58*R58*ROUND(M58/60,2),"--")</f>
        <v>--</v>
      </c>
      <c r="V58" s="2622" t="str">
        <f aca="true" t="shared" si="9" ref="V58:V64">IF(AND(N58="R",P58="NO"),H58*R58*O58/100,"--")</f>
        <v>--</v>
      </c>
      <c r="W58" s="2623" t="str">
        <f aca="true" t="shared" si="10" ref="W58:W64">IF(N58="R",H58*R58*O58/100*ROUND(M58/60,2),"--")</f>
        <v>--</v>
      </c>
      <c r="X58" s="2612" t="str">
        <f aca="true" t="shared" si="11" ref="X58:X64">IF(N58="RF",H58*R58*ROUND(M58/60,2),"--")</f>
        <v>--</v>
      </c>
      <c r="Y58" s="2624" t="str">
        <f aca="true" t="shared" si="12" ref="Y58:Y64">IF(N58="RP",H58*R58*O58/100*ROUND(M58/60,2),"--")</f>
        <v>--</v>
      </c>
      <c r="Z58" s="2572"/>
      <c r="AA58" s="2572"/>
      <c r="AB58" s="2405">
        <f aca="true" t="shared" si="13" ref="AB58:AB64">IF(D58="","","SI")</f>
      </c>
      <c r="AC58" s="2565">
        <f aca="true" t="shared" si="14" ref="AC58:AC64">IF(D58="","",SUM(S58:Y58)*IF(AB58="SI",1,2)*IF(AND(O58&lt;&gt;"--",N58="RF"),O58/100,1))</f>
      </c>
      <c r="AD58" s="2582"/>
    </row>
    <row r="59" spans="2:30" s="2327" customFormat="1" ht="16.5" customHeight="1">
      <c r="B59" s="2328"/>
      <c r="C59" s="1021" t="s">
        <v>401</v>
      </c>
      <c r="D59" s="2615"/>
      <c r="E59" s="2616"/>
      <c r="F59" s="2815"/>
      <c r="G59" s="2816"/>
      <c r="H59" s="2617">
        <f>F59*$F$22</f>
        <v>0</v>
      </c>
      <c r="I59" s="2572"/>
      <c r="J59" s="2560"/>
      <c r="K59" s="2561"/>
      <c r="L59" s="2618">
        <f t="shared" si="1"/>
      </c>
      <c r="M59" s="2402">
        <f t="shared" si="2"/>
      </c>
      <c r="N59" s="2619"/>
      <c r="O59" s="2404">
        <f t="shared" si="3"/>
      </c>
      <c r="P59" s="2793">
        <f t="shared" si="4"/>
      </c>
      <c r="Q59" s="2794"/>
      <c r="R59" s="2620">
        <f t="shared" si="5"/>
        <v>200</v>
      </c>
      <c r="S59" s="2621" t="str">
        <f t="shared" si="6"/>
        <v>--</v>
      </c>
      <c r="T59" s="2608" t="str">
        <f t="shared" si="7"/>
        <v>--</v>
      </c>
      <c r="U59" s="2609" t="str">
        <f t="shared" si="8"/>
        <v>--</v>
      </c>
      <c r="V59" s="2622" t="str">
        <f t="shared" si="9"/>
        <v>--</v>
      </c>
      <c r="W59" s="2623" t="str">
        <f t="shared" si="10"/>
        <v>--</v>
      </c>
      <c r="X59" s="2612" t="str">
        <f t="shared" si="11"/>
        <v>--</v>
      </c>
      <c r="Y59" s="2624" t="str">
        <f t="shared" si="12"/>
        <v>--</v>
      </c>
      <c r="Z59" s="2572"/>
      <c r="AA59" s="2572"/>
      <c r="AB59" s="2405">
        <f t="shared" si="13"/>
      </c>
      <c r="AC59" s="2565">
        <f t="shared" si="14"/>
      </c>
      <c r="AD59" s="2582"/>
    </row>
    <row r="60" spans="2:30" s="2327" customFormat="1" ht="16.5" customHeight="1">
      <c r="B60" s="2328"/>
      <c r="C60" s="1021" t="s">
        <v>431</v>
      </c>
      <c r="D60" s="2615"/>
      <c r="E60" s="2616"/>
      <c r="F60" s="2815"/>
      <c r="G60" s="2816"/>
      <c r="H60" s="2617">
        <f>F60*$F$20</f>
        <v>0</v>
      </c>
      <c r="I60" s="2572"/>
      <c r="J60" s="2560"/>
      <c r="K60" s="2561"/>
      <c r="L60" s="2618">
        <f t="shared" si="1"/>
      </c>
      <c r="M60" s="2402">
        <f t="shared" si="2"/>
      </c>
      <c r="N60" s="2619"/>
      <c r="O60" s="2404">
        <f t="shared" si="3"/>
      </c>
      <c r="P60" s="2793">
        <f t="shared" si="4"/>
      </c>
      <c r="Q60" s="2794"/>
      <c r="R60" s="2620">
        <f t="shared" si="5"/>
        <v>200</v>
      </c>
      <c r="S60" s="2621" t="str">
        <f t="shared" si="6"/>
        <v>--</v>
      </c>
      <c r="T60" s="2608" t="str">
        <f t="shared" si="7"/>
        <v>--</v>
      </c>
      <c r="U60" s="2609" t="str">
        <f t="shared" si="8"/>
        <v>--</v>
      </c>
      <c r="V60" s="2622" t="str">
        <f t="shared" si="9"/>
        <v>--</v>
      </c>
      <c r="W60" s="2623" t="str">
        <f t="shared" si="10"/>
        <v>--</v>
      </c>
      <c r="X60" s="2612" t="str">
        <f t="shared" si="11"/>
        <v>--</v>
      </c>
      <c r="Y60" s="2624" t="str">
        <f t="shared" si="12"/>
        <v>--</v>
      </c>
      <c r="Z60" s="2572"/>
      <c r="AA60" s="2572"/>
      <c r="AB60" s="2405">
        <f t="shared" si="13"/>
      </c>
      <c r="AC60" s="2565">
        <f t="shared" si="14"/>
      </c>
      <c r="AD60" s="2582"/>
    </row>
    <row r="61" spans="2:30" s="2327" customFormat="1" ht="16.5" customHeight="1">
      <c r="B61" s="2328"/>
      <c r="C61" s="1021" t="s">
        <v>432</v>
      </c>
      <c r="D61" s="2615"/>
      <c r="E61" s="2616"/>
      <c r="F61" s="2815"/>
      <c r="G61" s="2816"/>
      <c r="H61" s="2617">
        <f>F61*$F$22</f>
        <v>0</v>
      </c>
      <c r="I61" s="2572"/>
      <c r="J61" s="2560"/>
      <c r="K61" s="2561"/>
      <c r="L61" s="2618">
        <f t="shared" si="1"/>
      </c>
      <c r="M61" s="2402">
        <f t="shared" si="2"/>
      </c>
      <c r="N61" s="2619"/>
      <c r="O61" s="2404">
        <f t="shared" si="3"/>
      </c>
      <c r="P61" s="2793">
        <f t="shared" si="4"/>
      </c>
      <c r="Q61" s="2794"/>
      <c r="R61" s="2620">
        <f t="shared" si="5"/>
        <v>200</v>
      </c>
      <c r="S61" s="2621" t="str">
        <f t="shared" si="6"/>
        <v>--</v>
      </c>
      <c r="T61" s="2608" t="str">
        <f t="shared" si="7"/>
        <v>--</v>
      </c>
      <c r="U61" s="2609" t="str">
        <f t="shared" si="8"/>
        <v>--</v>
      </c>
      <c r="V61" s="2622" t="str">
        <f t="shared" si="9"/>
        <v>--</v>
      </c>
      <c r="W61" s="2623" t="str">
        <f t="shared" si="10"/>
        <v>--</v>
      </c>
      <c r="X61" s="2612" t="str">
        <f t="shared" si="11"/>
        <v>--</v>
      </c>
      <c r="Y61" s="2624" t="str">
        <f t="shared" si="12"/>
        <v>--</v>
      </c>
      <c r="Z61" s="2572"/>
      <c r="AA61" s="2572"/>
      <c r="AB61" s="2405">
        <f t="shared" si="13"/>
      </c>
      <c r="AC61" s="2565">
        <f t="shared" si="14"/>
      </c>
      <c r="AD61" s="2582"/>
    </row>
    <row r="62" spans="1:30" ht="16.5" customHeight="1">
      <c r="A62" s="2327"/>
      <c r="B62" s="2328"/>
      <c r="C62" s="1021" t="s">
        <v>450</v>
      </c>
      <c r="D62" s="2615"/>
      <c r="E62" s="2616"/>
      <c r="F62" s="2815"/>
      <c r="G62" s="2816"/>
      <c r="H62" s="2617">
        <f>F62*$F$22</f>
        <v>0</v>
      </c>
      <c r="I62" s="2572"/>
      <c r="J62" s="2560"/>
      <c r="K62" s="2561"/>
      <c r="L62" s="2618">
        <f t="shared" si="1"/>
      </c>
      <c r="M62" s="2402">
        <f t="shared" si="2"/>
      </c>
      <c r="N62" s="2619"/>
      <c r="O62" s="2404">
        <f t="shared" si="3"/>
      </c>
      <c r="P62" s="2793">
        <f t="shared" si="4"/>
      </c>
      <c r="Q62" s="2794"/>
      <c r="R62" s="2620">
        <f t="shared" si="5"/>
        <v>200</v>
      </c>
      <c r="S62" s="2621" t="str">
        <f t="shared" si="6"/>
        <v>--</v>
      </c>
      <c r="T62" s="2608" t="str">
        <f t="shared" si="7"/>
        <v>--</v>
      </c>
      <c r="U62" s="2609" t="str">
        <f t="shared" si="8"/>
        <v>--</v>
      </c>
      <c r="V62" s="2622" t="str">
        <f t="shared" si="9"/>
        <v>--</v>
      </c>
      <c r="W62" s="2623" t="str">
        <f t="shared" si="10"/>
        <v>--</v>
      </c>
      <c r="X62" s="2612" t="str">
        <f t="shared" si="11"/>
        <v>--</v>
      </c>
      <c r="Y62" s="2624" t="str">
        <f t="shared" si="12"/>
        <v>--</v>
      </c>
      <c r="Z62" s="2572"/>
      <c r="AA62" s="2572"/>
      <c r="AB62" s="2405">
        <f t="shared" si="13"/>
      </c>
      <c r="AC62" s="2565">
        <f t="shared" si="14"/>
      </c>
      <c r="AD62" s="2582"/>
    </row>
    <row r="63" spans="1:30" ht="16.5" customHeight="1">
      <c r="A63" s="2327"/>
      <c r="B63" s="2328"/>
      <c r="C63" s="1021" t="s">
        <v>451</v>
      </c>
      <c r="D63" s="2615"/>
      <c r="E63" s="2616"/>
      <c r="F63" s="2815"/>
      <c r="G63" s="2816"/>
      <c r="H63" s="2617">
        <f>F63*$F$22</f>
        <v>0</v>
      </c>
      <c r="I63" s="2572"/>
      <c r="J63" s="2560"/>
      <c r="K63" s="2561"/>
      <c r="L63" s="2618">
        <f t="shared" si="1"/>
      </c>
      <c r="M63" s="2402">
        <f t="shared" si="2"/>
      </c>
      <c r="N63" s="2619"/>
      <c r="O63" s="2404">
        <f t="shared" si="3"/>
      </c>
      <c r="P63" s="2793">
        <f t="shared" si="4"/>
      </c>
      <c r="Q63" s="2794"/>
      <c r="R63" s="2620">
        <f t="shared" si="5"/>
        <v>200</v>
      </c>
      <c r="S63" s="2621" t="str">
        <f t="shared" si="6"/>
        <v>--</v>
      </c>
      <c r="T63" s="2608" t="str">
        <f t="shared" si="7"/>
        <v>--</v>
      </c>
      <c r="U63" s="2609" t="str">
        <f t="shared" si="8"/>
        <v>--</v>
      </c>
      <c r="V63" s="2622" t="str">
        <f t="shared" si="9"/>
        <v>--</v>
      </c>
      <c r="W63" s="2623" t="str">
        <f t="shared" si="10"/>
        <v>--</v>
      </c>
      <c r="X63" s="2612" t="str">
        <f t="shared" si="11"/>
        <v>--</v>
      </c>
      <c r="Y63" s="2624" t="str">
        <f t="shared" si="12"/>
        <v>--</v>
      </c>
      <c r="Z63" s="2572"/>
      <c r="AA63" s="2572"/>
      <c r="AB63" s="2405">
        <f t="shared" si="13"/>
      </c>
      <c r="AC63" s="2565">
        <f t="shared" si="14"/>
      </c>
      <c r="AD63" s="2582"/>
    </row>
    <row r="64" spans="1:30" ht="16.5" customHeight="1">
      <c r="A64" s="2327"/>
      <c r="B64" s="2328"/>
      <c r="C64" s="1021" t="s">
        <v>452</v>
      </c>
      <c r="D64" s="2615"/>
      <c r="E64" s="2616"/>
      <c r="F64" s="2815"/>
      <c r="G64" s="2816"/>
      <c r="H64" s="2617">
        <f>F64*$F$22</f>
        <v>0</v>
      </c>
      <c r="I64" s="2572"/>
      <c r="J64" s="2560"/>
      <c r="K64" s="2561"/>
      <c r="L64" s="2618">
        <f t="shared" si="1"/>
      </c>
      <c r="M64" s="2402">
        <f t="shared" si="2"/>
      </c>
      <c r="N64" s="2619"/>
      <c r="O64" s="2404">
        <f t="shared" si="3"/>
      </c>
      <c r="P64" s="2793">
        <f t="shared" si="4"/>
      </c>
      <c r="Q64" s="2794"/>
      <c r="R64" s="2620">
        <f t="shared" si="5"/>
        <v>200</v>
      </c>
      <c r="S64" s="2621" t="str">
        <f t="shared" si="6"/>
        <v>--</v>
      </c>
      <c r="T64" s="2608" t="str">
        <f t="shared" si="7"/>
        <v>--</v>
      </c>
      <c r="U64" s="2609" t="str">
        <f t="shared" si="8"/>
        <v>--</v>
      </c>
      <c r="V64" s="2622" t="str">
        <f t="shared" si="9"/>
        <v>--</v>
      </c>
      <c r="W64" s="2623" t="str">
        <f t="shared" si="10"/>
        <v>--</v>
      </c>
      <c r="X64" s="2612" t="str">
        <f t="shared" si="11"/>
        <v>--</v>
      </c>
      <c r="Y64" s="2624" t="str">
        <f t="shared" si="12"/>
        <v>--</v>
      </c>
      <c r="Z64" s="2572"/>
      <c r="AA64" s="2572"/>
      <c r="AB64" s="2405">
        <f t="shared" si="13"/>
      </c>
      <c r="AC64" s="2565">
        <f t="shared" si="14"/>
      </c>
      <c r="AD64" s="2582"/>
    </row>
    <row r="65" spans="1:30" ht="16.5" customHeight="1" thickBot="1">
      <c r="A65" s="2327"/>
      <c r="B65" s="2328"/>
      <c r="C65" s="2625"/>
      <c r="D65" s="2626"/>
      <c r="E65" s="2627"/>
      <c r="F65" s="2817"/>
      <c r="G65" s="2818"/>
      <c r="H65" s="2617">
        <f>F65*$F$22</f>
        <v>0</v>
      </c>
      <c r="I65" s="2572"/>
      <c r="J65" s="2628"/>
      <c r="K65" s="2629"/>
      <c r="L65" s="2630">
        <f t="shared" si="1"/>
      </c>
      <c r="M65" s="2631">
        <f t="shared" si="2"/>
      </c>
      <c r="N65" s="2632"/>
      <c r="O65" s="2633">
        <f t="shared" si="3"/>
      </c>
      <c r="P65" s="2795"/>
      <c r="Q65" s="2797"/>
      <c r="R65" s="2634"/>
      <c r="S65" s="2635"/>
      <c r="T65" s="2636"/>
      <c r="U65" s="2637"/>
      <c r="V65" s="2638"/>
      <c r="W65" s="2639"/>
      <c r="X65" s="2640"/>
      <c r="Y65" s="2641"/>
      <c r="Z65" s="2530"/>
      <c r="AA65" s="2530"/>
      <c r="AB65" s="2427"/>
      <c r="AC65" s="2642"/>
      <c r="AD65" s="2582"/>
    </row>
    <row r="66" spans="1:30" ht="16.5" customHeight="1" thickBot="1" thickTop="1">
      <c r="A66" s="2327"/>
      <c r="B66" s="2328"/>
      <c r="C66" s="2534"/>
      <c r="D66" s="2347"/>
      <c r="E66" s="2570"/>
      <c r="F66" s="2570"/>
      <c r="G66" s="2570"/>
      <c r="H66" s="2570"/>
      <c r="I66" s="2570"/>
      <c r="J66" s="2570"/>
      <c r="K66" s="2570"/>
      <c r="L66" s="2570"/>
      <c r="M66" s="2570"/>
      <c r="N66" s="2570"/>
      <c r="O66" s="2570"/>
      <c r="P66" s="2570"/>
      <c r="Q66" s="2570"/>
      <c r="R66" s="2570"/>
      <c r="S66" s="2570"/>
      <c r="T66" s="2570"/>
      <c r="U66" s="2570"/>
      <c r="V66" s="2570"/>
      <c r="W66" s="2570"/>
      <c r="X66" s="2570"/>
      <c r="Y66" s="2570"/>
      <c r="Z66" s="2570"/>
      <c r="AA66" s="2570"/>
      <c r="AB66" s="2570"/>
      <c r="AC66" s="2548">
        <f>SUM(AC56:AC65)</f>
        <v>0</v>
      </c>
      <c r="AD66" s="2582"/>
    </row>
    <row r="67" spans="1:30" ht="16.5" customHeight="1" thickBot="1" thickTop="1">
      <c r="A67" s="2327"/>
      <c r="B67" s="2328"/>
      <c r="C67" s="2534"/>
      <c r="D67" s="2347"/>
      <c r="E67" s="2570"/>
      <c r="F67" s="2570"/>
      <c r="G67" s="2570"/>
      <c r="H67" s="2570"/>
      <c r="I67" s="2570"/>
      <c r="J67" s="2570"/>
      <c r="K67" s="2570"/>
      <c r="L67" s="2570"/>
      <c r="M67" s="2570"/>
      <c r="N67" s="2570"/>
      <c r="O67" s="2570"/>
      <c r="P67" s="2570"/>
      <c r="Q67" s="2570"/>
      <c r="R67" s="2570"/>
      <c r="S67" s="2570"/>
      <c r="T67" s="2570"/>
      <c r="U67" s="2570"/>
      <c r="V67" s="2570"/>
      <c r="W67" s="2570"/>
      <c r="X67" s="2570"/>
      <c r="Y67" s="2570"/>
      <c r="Z67" s="2570"/>
      <c r="AA67" s="2570"/>
      <c r="AB67" s="2570"/>
      <c r="AC67" s="2643"/>
      <c r="AD67" s="2582"/>
    </row>
    <row r="68" spans="1:30" ht="16.5" customHeight="1" thickBot="1" thickTop="1">
      <c r="A68" s="2327"/>
      <c r="B68" s="2302"/>
      <c r="C68" s="2534"/>
      <c r="D68" s="2347"/>
      <c r="E68" s="2347"/>
      <c r="F68" s="2535"/>
      <c r="G68" s="2536"/>
      <c r="H68" s="2537"/>
      <c r="I68" s="2538"/>
      <c r="J68" s="2345" t="s">
        <v>402</v>
      </c>
      <c r="K68" s="2346">
        <f>+AC45+AC37+AC53+AC66</f>
        <v>1092.6798</v>
      </c>
      <c r="L68" s="2541"/>
      <c r="M68" s="2537"/>
      <c r="N68" s="2644"/>
      <c r="O68" s="2645"/>
      <c r="P68" s="2567"/>
      <c r="Q68" s="2568"/>
      <c r="R68" s="2569"/>
      <c r="S68" s="2569"/>
      <c r="T68" s="2569"/>
      <c r="U68" s="2570"/>
      <c r="V68" s="2570"/>
      <c r="W68" s="2570"/>
      <c r="X68" s="2570"/>
      <c r="Y68" s="2570"/>
      <c r="Z68" s="2570"/>
      <c r="AA68" s="2570"/>
      <c r="AB68" s="2570"/>
      <c r="AC68" s="2646"/>
      <c r="AD68" s="2418"/>
    </row>
    <row r="69" spans="1:30" ht="13.5" customHeight="1" thickTop="1">
      <c r="A69" s="2327"/>
      <c r="B69" s="2328"/>
      <c r="C69" s="2332"/>
      <c r="D69" s="2647"/>
      <c r="E69" s="2648"/>
      <c r="F69" s="2649"/>
      <c r="G69" s="2650"/>
      <c r="H69" s="2650"/>
      <c r="I69" s="2648"/>
      <c r="J69" s="2651"/>
      <c r="K69" s="2651"/>
      <c r="L69" s="2648"/>
      <c r="M69" s="2648"/>
      <c r="N69" s="2648"/>
      <c r="O69" s="2652"/>
      <c r="P69" s="2648"/>
      <c r="Q69" s="2648"/>
      <c r="R69" s="2653"/>
      <c r="S69" s="2654"/>
      <c r="T69" s="2654"/>
      <c r="U69" s="2655"/>
      <c r="AC69" s="2655"/>
      <c r="AD69" s="2582"/>
    </row>
    <row r="70" spans="1:30" ht="16.5" customHeight="1">
      <c r="A70" s="2327"/>
      <c r="B70" s="2328"/>
      <c r="C70" s="2656" t="s">
        <v>403</v>
      </c>
      <c r="D70" s="2657" t="s">
        <v>422</v>
      </c>
      <c r="E70" s="2648"/>
      <c r="F70" s="2649"/>
      <c r="G70" s="2650"/>
      <c r="H70" s="2650"/>
      <c r="I70" s="2648"/>
      <c r="J70" s="2651"/>
      <c r="K70" s="2651"/>
      <c r="L70" s="2648"/>
      <c r="M70" s="2648"/>
      <c r="N70" s="2648"/>
      <c r="O70" s="2652"/>
      <c r="P70" s="2648"/>
      <c r="Q70" s="2648"/>
      <c r="R70" s="2653"/>
      <c r="S70" s="2654"/>
      <c r="T70" s="2654"/>
      <c r="U70" s="2655"/>
      <c r="AC70" s="2655"/>
      <c r="AD70" s="2582"/>
    </row>
    <row r="71" spans="1:30" ht="16.5" customHeight="1">
      <c r="A71" s="2327"/>
      <c r="B71" s="2328"/>
      <c r="C71" s="2656"/>
      <c r="D71" s="2647"/>
      <c r="E71" s="2648"/>
      <c r="F71" s="2649"/>
      <c r="G71" s="2650"/>
      <c r="H71" s="2650"/>
      <c r="I71" s="2648"/>
      <c r="J71" s="2651"/>
      <c r="K71" s="2651"/>
      <c r="L71" s="2648"/>
      <c r="M71" s="2648"/>
      <c r="N71" s="2648"/>
      <c r="O71" s="2652"/>
      <c r="P71" s="2648"/>
      <c r="Q71" s="2648"/>
      <c r="R71" s="2648"/>
      <c r="S71" s="2653"/>
      <c r="T71" s="2654"/>
      <c r="AD71" s="2582"/>
    </row>
    <row r="72" spans="2:30" s="2327" customFormat="1" ht="16.5" customHeight="1">
      <c r="B72" s="2328"/>
      <c r="C72" s="2332"/>
      <c r="D72" s="2658" t="s">
        <v>5</v>
      </c>
      <c r="E72" s="2443" t="s">
        <v>404</v>
      </c>
      <c r="F72" s="2443" t="s">
        <v>405</v>
      </c>
      <c r="G72" s="2659" t="s">
        <v>423</v>
      </c>
      <c r="H72" s="2444"/>
      <c r="I72" s="2443"/>
      <c r="J72" s="2288"/>
      <c r="K72" s="2288"/>
      <c r="L72" s="2660" t="s">
        <v>424</v>
      </c>
      <c r="M72" s="2288"/>
      <c r="N72" s="2288"/>
      <c r="O72" s="2288"/>
      <c r="P72" s="2288"/>
      <c r="Q72" s="2661"/>
      <c r="R72" s="2661"/>
      <c r="S72" s="2329"/>
      <c r="T72" s="2288"/>
      <c r="U72" s="2288"/>
      <c r="V72" s="2288"/>
      <c r="W72" s="2288"/>
      <c r="X72" s="2329"/>
      <c r="Y72" s="2329"/>
      <c r="Z72" s="2329"/>
      <c r="AA72" s="2329"/>
      <c r="AB72" s="2329"/>
      <c r="AC72" s="2662" t="s">
        <v>425</v>
      </c>
      <c r="AD72" s="2582"/>
    </row>
    <row r="73" spans="2:30" s="2327" customFormat="1" ht="16.5" customHeight="1">
      <c r="B73" s="2328"/>
      <c r="C73" s="2332"/>
      <c r="D73" s="2443" t="s">
        <v>505</v>
      </c>
      <c r="E73" s="2663">
        <v>506</v>
      </c>
      <c r="F73" s="2663">
        <v>500</v>
      </c>
      <c r="G73" s="2664">
        <f>E73*$F$19*$L$20/100</f>
        <v>889422.55248</v>
      </c>
      <c r="H73" s="2664"/>
      <c r="I73" s="2664"/>
      <c r="J73" s="2317"/>
      <c r="K73" s="2288"/>
      <c r="L73" s="2665">
        <v>916165</v>
      </c>
      <c r="M73" s="2317"/>
      <c r="N73" s="2666" t="str">
        <f>"(DTE "&amp;DATO!$G$14&amp;DATO!$H$14&amp;")"</f>
        <v>(DTE 0312)</v>
      </c>
      <c r="O73" s="2288"/>
      <c r="P73" s="2288"/>
      <c r="Q73" s="2661"/>
      <c r="R73" s="2661"/>
      <c r="S73" s="2329"/>
      <c r="T73" s="2288"/>
      <c r="U73" s="2288"/>
      <c r="V73" s="2288"/>
      <c r="W73" s="2288"/>
      <c r="X73" s="2329"/>
      <c r="Y73" s="2329"/>
      <c r="Z73" s="2329"/>
      <c r="AA73" s="2329"/>
      <c r="AB73" s="2667"/>
      <c r="AC73" s="2668">
        <f>L73+G73</f>
        <v>1805587.55248</v>
      </c>
      <c r="AD73" s="2582"/>
    </row>
    <row r="74" spans="2:30" s="2327" customFormat="1" ht="16.5" customHeight="1">
      <c r="B74" s="2328"/>
      <c r="C74" s="2332"/>
      <c r="D74" s="2669" t="s">
        <v>506</v>
      </c>
      <c r="E74" s="2663">
        <v>85</v>
      </c>
      <c r="F74" s="2663">
        <v>500</v>
      </c>
      <c r="G74" s="2664">
        <f>E74*$F$19*$L$20/100</f>
        <v>149408.92680000002</v>
      </c>
      <c r="H74" s="2669"/>
      <c r="I74" s="2670"/>
      <c r="J74" s="2317"/>
      <c r="K74" s="2288"/>
      <c r="L74" s="2664">
        <v>18325</v>
      </c>
      <c r="M74" s="2317"/>
      <c r="N74" s="2666" t="str">
        <f>"(DTE "&amp;DATO!$G$14&amp;DATO!$H$14&amp;")"</f>
        <v>(DTE 0312)</v>
      </c>
      <c r="O74" s="2671"/>
      <c r="P74" s="2288"/>
      <c r="Q74" s="2661"/>
      <c r="R74" s="2661"/>
      <c r="S74" s="2329"/>
      <c r="T74" s="2288"/>
      <c r="U74" s="2288"/>
      <c r="V74" s="2288"/>
      <c r="W74" s="2288"/>
      <c r="X74" s="2329"/>
      <c r="Y74" s="2329"/>
      <c r="Z74" s="2329"/>
      <c r="AA74" s="2329"/>
      <c r="AB74" s="2329"/>
      <c r="AC74" s="2668">
        <f>L74+G74</f>
        <v>167733.92680000002</v>
      </c>
      <c r="AD74" s="2582"/>
    </row>
    <row r="75" spans="2:30" s="2327" customFormat="1" ht="16.5" customHeight="1">
      <c r="B75" s="2328"/>
      <c r="C75" s="2332"/>
      <c r="E75" s="2337"/>
      <c r="F75" s="2443"/>
      <c r="G75" s="2444"/>
      <c r="H75" s="2288"/>
      <c r="I75" s="2443"/>
      <c r="J75" s="2443"/>
      <c r="K75" s="2288"/>
      <c r="L75" s="2668"/>
      <c r="M75" s="2672"/>
      <c r="N75" s="2672"/>
      <c r="O75" s="2661"/>
      <c r="P75" s="2661"/>
      <c r="Q75" s="2661"/>
      <c r="R75" s="2661"/>
      <c r="S75" s="2329"/>
      <c r="T75" s="2288"/>
      <c r="U75" s="2288"/>
      <c r="V75" s="2288"/>
      <c r="W75" s="2288"/>
      <c r="X75" s="2329"/>
      <c r="Y75" s="2329"/>
      <c r="Z75" s="2329"/>
      <c r="AA75" s="2329"/>
      <c r="AB75" s="2329"/>
      <c r="AC75" s="2668"/>
      <c r="AD75" s="2582"/>
    </row>
    <row r="76" spans="1:30" ht="16.5" customHeight="1">
      <c r="A76" s="2327"/>
      <c r="B76" s="2328"/>
      <c r="C76" s="2332"/>
      <c r="D76" s="2658" t="s">
        <v>456</v>
      </c>
      <c r="E76" s="2443" t="s">
        <v>409</v>
      </c>
      <c r="F76" s="2443" t="s">
        <v>405</v>
      </c>
      <c r="G76" s="2659" t="s">
        <v>426</v>
      </c>
      <c r="I76" s="2673"/>
      <c r="J76" s="2443"/>
      <c r="L76" s="2660" t="s">
        <v>444</v>
      </c>
      <c r="M76" s="2673"/>
      <c r="N76" s="2672"/>
      <c r="O76" s="2661"/>
      <c r="P76" s="2661"/>
      <c r="Q76" s="2661"/>
      <c r="R76" s="2661"/>
      <c r="S76" s="2661"/>
      <c r="AC76" s="2668"/>
      <c r="AD76" s="2582"/>
    </row>
    <row r="77" spans="1:30" ht="16.5" customHeight="1">
      <c r="A77" s="2327"/>
      <c r="B77" s="2328"/>
      <c r="C77" s="2332"/>
      <c r="D77" s="2443" t="s">
        <v>507</v>
      </c>
      <c r="E77" s="2663">
        <v>300</v>
      </c>
      <c r="F77" s="2663" t="s">
        <v>508</v>
      </c>
      <c r="G77" s="2664">
        <f>E77*F20*L20</f>
        <v>144856.80000000002</v>
      </c>
      <c r="H77" s="2317"/>
      <c r="I77" s="2317"/>
      <c r="J77" s="2665"/>
      <c r="L77" s="2665">
        <v>0</v>
      </c>
      <c r="M77" s="2317"/>
      <c r="N77" s="2666" t="str">
        <f>"(DTE "&amp;DATO!$G$14&amp;DATO!$H$14&amp;")"</f>
        <v>(DTE 0312)</v>
      </c>
      <c r="O77" s="2674"/>
      <c r="P77" s="2674"/>
      <c r="Q77" s="2674"/>
      <c r="R77" s="2674"/>
      <c r="S77" s="2674"/>
      <c r="AC77" s="2675">
        <f>G77</f>
        <v>144856.80000000002</v>
      </c>
      <c r="AD77" s="2582"/>
    </row>
    <row r="78" spans="1:30" ht="16.5" customHeight="1">
      <c r="A78" s="2327"/>
      <c r="B78" s="2328"/>
      <c r="C78" s="2332"/>
      <c r="D78" s="2443" t="s">
        <v>509</v>
      </c>
      <c r="E78" s="2663">
        <v>150</v>
      </c>
      <c r="F78" s="2663" t="s">
        <v>510</v>
      </c>
      <c r="G78" s="2664">
        <f>E78*F20*L20</f>
        <v>72428.40000000001</v>
      </c>
      <c r="H78" s="2317"/>
      <c r="I78" s="2317"/>
      <c r="J78" s="2665"/>
      <c r="L78" s="2665">
        <v>0</v>
      </c>
      <c r="M78" s="2317"/>
      <c r="N78" s="2666" t="str">
        <f>"(DTE "&amp;DATO!$G$14&amp;DATO!$H$14&amp;")"</f>
        <v>(DTE 0312)</v>
      </c>
      <c r="O78" s="2674"/>
      <c r="P78" s="2674"/>
      <c r="Q78" s="2674"/>
      <c r="R78" s="2674"/>
      <c r="S78" s="2674"/>
      <c r="AC78" s="2675">
        <f>G78</f>
        <v>72428.40000000001</v>
      </c>
      <c r="AD78" s="2582"/>
    </row>
    <row r="79" spans="1:30" ht="16.5" customHeight="1">
      <c r="A79" s="2327"/>
      <c r="B79" s="2328"/>
      <c r="C79" s="2332"/>
      <c r="D79" s="2443" t="s">
        <v>511</v>
      </c>
      <c r="E79" s="2663">
        <v>300</v>
      </c>
      <c r="F79" s="2663" t="s">
        <v>508</v>
      </c>
      <c r="G79" s="2664">
        <f>E79*F21*L20</f>
        <v>144856.80000000002</v>
      </c>
      <c r="H79" s="2317"/>
      <c r="I79" s="2317"/>
      <c r="J79" s="2665"/>
      <c r="L79" s="2665">
        <v>0</v>
      </c>
      <c r="M79" s="2317"/>
      <c r="N79" s="2666" t="str">
        <f>"(DTE "&amp;DATO!$G$14&amp;DATO!$H$14&amp;")"</f>
        <v>(DTE 0312)</v>
      </c>
      <c r="O79" s="2674"/>
      <c r="P79" s="2674"/>
      <c r="Q79" s="2674"/>
      <c r="R79" s="2674"/>
      <c r="S79" s="2674"/>
      <c r="AC79" s="2675">
        <f>G79</f>
        <v>144856.80000000002</v>
      </c>
      <c r="AD79" s="2582"/>
    </row>
    <row r="80" spans="1:30" ht="16.5" customHeight="1">
      <c r="A80" s="2327"/>
      <c r="B80" s="2328"/>
      <c r="C80" s="2332"/>
      <c r="D80" s="2443" t="s">
        <v>512</v>
      </c>
      <c r="E80" s="2663">
        <v>300</v>
      </c>
      <c r="F80" s="2663" t="s">
        <v>508</v>
      </c>
      <c r="G80" s="2664">
        <f>E80*F21*L20</f>
        <v>144856.80000000002</v>
      </c>
      <c r="H80" s="2317"/>
      <c r="I80" s="2317"/>
      <c r="J80" s="2665"/>
      <c r="L80" s="2665">
        <v>0</v>
      </c>
      <c r="M80" s="2317"/>
      <c r="N80" s="2666" t="str">
        <f>"(DTE "&amp;DATO!$G$14&amp;DATO!$H$14&amp;")"</f>
        <v>(DTE 0312)</v>
      </c>
      <c r="O80" s="2674"/>
      <c r="P80" s="2674"/>
      <c r="Q80" s="2674"/>
      <c r="R80" s="2674"/>
      <c r="S80" s="2674"/>
      <c r="AC80" s="2675">
        <f>G80</f>
        <v>144856.80000000002</v>
      </c>
      <c r="AD80" s="2582"/>
    </row>
    <row r="81" spans="1:30" ht="16.5" customHeight="1">
      <c r="A81" s="2327"/>
      <c r="B81" s="2328"/>
      <c r="C81" s="2332"/>
      <c r="D81" s="2443"/>
      <c r="E81" s="2663"/>
      <c r="F81" s="2663"/>
      <c r="G81" s="2664"/>
      <c r="H81" s="2317"/>
      <c r="I81" s="2317"/>
      <c r="J81" s="2665"/>
      <c r="L81" s="2665"/>
      <c r="M81" s="2317"/>
      <c r="N81" s="2666"/>
      <c r="O81" s="2674"/>
      <c r="P81" s="2674"/>
      <c r="Q81" s="2674"/>
      <c r="R81" s="2674"/>
      <c r="S81" s="2674"/>
      <c r="AC81" s="2675"/>
      <c r="AD81" s="2582"/>
    </row>
    <row r="82" spans="1:30" ht="16.5" customHeight="1">
      <c r="A82" s="2327"/>
      <c r="B82" s="2328"/>
      <c r="C82" s="2332"/>
      <c r="D82" s="2658" t="s">
        <v>410</v>
      </c>
      <c r="E82" s="2670" t="s">
        <v>411</v>
      </c>
      <c r="F82" s="2670"/>
      <c r="G82" s="2443" t="s">
        <v>405</v>
      </c>
      <c r="I82" s="2673"/>
      <c r="J82" s="2659" t="s">
        <v>427</v>
      </c>
      <c r="L82" s="2660"/>
      <c r="M82" s="2673"/>
      <c r="N82" s="2672"/>
      <c r="O82" s="2661"/>
      <c r="P82" s="2661"/>
      <c r="Q82" s="2661"/>
      <c r="R82" s="2661"/>
      <c r="S82" s="2661"/>
      <c r="AC82" s="2668"/>
      <c r="AD82" s="2582"/>
    </row>
    <row r="83" spans="1:30" ht="16.5" customHeight="1">
      <c r="A83" s="2327"/>
      <c r="B83" s="2328"/>
      <c r="C83" s="2332"/>
      <c r="D83" s="2443" t="s">
        <v>513</v>
      </c>
      <c r="E83" s="2676" t="s">
        <v>514</v>
      </c>
      <c r="F83" s="2677"/>
      <c r="G83" s="2663">
        <v>132</v>
      </c>
      <c r="H83" s="2317"/>
      <c r="I83" s="2317"/>
      <c r="J83" s="2664">
        <f>F22*L20</f>
        <v>76693.752</v>
      </c>
      <c r="L83" s="2665"/>
      <c r="M83" s="2317"/>
      <c r="N83" s="2666"/>
      <c r="O83" s="2674"/>
      <c r="P83" s="2674"/>
      <c r="Q83" s="2674"/>
      <c r="R83" s="2674"/>
      <c r="S83" s="2674"/>
      <c r="AC83" s="2675">
        <f>J83</f>
        <v>76693.752</v>
      </c>
      <c r="AD83" s="2582"/>
    </row>
    <row r="84" spans="1:30" ht="16.5" customHeight="1">
      <c r="A84" s="2327"/>
      <c r="B84" s="2328"/>
      <c r="C84" s="2332"/>
      <c r="D84" s="2443" t="s">
        <v>515</v>
      </c>
      <c r="E84" s="2676" t="s">
        <v>516</v>
      </c>
      <c r="F84" s="2677"/>
      <c r="G84" s="2663">
        <v>500</v>
      </c>
      <c r="H84" s="2317"/>
      <c r="I84" s="2317"/>
      <c r="J84" s="2664">
        <f>F23*L20</f>
        <v>95866.63200000001</v>
      </c>
      <c r="L84" s="2665"/>
      <c r="M84" s="2317"/>
      <c r="N84" s="2666"/>
      <c r="O84" s="2674"/>
      <c r="P84" s="2674"/>
      <c r="Q84" s="2674"/>
      <c r="R84" s="2674"/>
      <c r="S84" s="2674"/>
      <c r="AC84" s="2678">
        <f>J84</f>
        <v>95866.63200000001</v>
      </c>
      <c r="AD84" s="2582"/>
    </row>
    <row r="85" spans="1:30" ht="7.5" customHeight="1" thickBot="1">
      <c r="A85" s="2327"/>
      <c r="B85" s="2328"/>
      <c r="C85" s="2332"/>
      <c r="D85" s="2443"/>
      <c r="E85" s="2676"/>
      <c r="F85" s="2677"/>
      <c r="G85" s="2663"/>
      <c r="H85" s="2317"/>
      <c r="I85" s="2317"/>
      <c r="J85" s="2664"/>
      <c r="L85" s="2665"/>
      <c r="M85" s="2317"/>
      <c r="N85" s="2666"/>
      <c r="O85" s="2674"/>
      <c r="P85" s="2674"/>
      <c r="Q85" s="2674"/>
      <c r="R85" s="2674"/>
      <c r="S85" s="2674"/>
      <c r="AC85" s="2675"/>
      <c r="AD85" s="2582"/>
    </row>
    <row r="86" spans="1:30" ht="16.5" customHeight="1" thickBot="1" thickTop="1">
      <c r="A86" s="2327"/>
      <c r="B86" s="2328"/>
      <c r="C86" s="2332"/>
      <c r="D86" s="2443"/>
      <c r="E86" s="2676"/>
      <c r="F86" s="2677"/>
      <c r="G86" s="2663"/>
      <c r="H86" s="2317"/>
      <c r="I86" s="2317"/>
      <c r="J86" s="2664"/>
      <c r="L86" s="2665"/>
      <c r="M86" s="2317"/>
      <c r="N86" s="2666"/>
      <c r="O86" s="2674"/>
      <c r="P86" s="2674"/>
      <c r="Q86" s="2674"/>
      <c r="R86" s="2674"/>
      <c r="S86" s="2674"/>
      <c r="AB86" s="2345" t="s">
        <v>413</v>
      </c>
      <c r="AC86" s="2346">
        <f>SUM(AC73:AC84)</f>
        <v>2652880.6632799995</v>
      </c>
      <c r="AD86" s="2582"/>
    </row>
    <row r="87" spans="1:30" ht="16.5" customHeight="1" thickBot="1" thickTop="1">
      <c r="A87" s="2327"/>
      <c r="B87" s="2328"/>
      <c r="C87" s="2332"/>
      <c r="D87" s="2443"/>
      <c r="E87" s="2676"/>
      <c r="F87" s="2677"/>
      <c r="G87" s="2663"/>
      <c r="H87" s="2317"/>
      <c r="I87" s="2317"/>
      <c r="J87" s="2664"/>
      <c r="L87" s="2665"/>
      <c r="M87" s="2317"/>
      <c r="N87" s="2666"/>
      <c r="O87" s="2674"/>
      <c r="P87" s="2674"/>
      <c r="Q87" s="2674"/>
      <c r="R87" s="2674"/>
      <c r="S87" s="2674"/>
      <c r="AC87" s="2675"/>
      <c r="AD87" s="2582"/>
    </row>
    <row r="88" spans="1:30" ht="16.5" customHeight="1" thickBot="1" thickTop="1">
      <c r="A88" s="2327"/>
      <c r="B88" s="2328"/>
      <c r="C88" s="2332"/>
      <c r="D88" s="2651"/>
      <c r="E88" s="2337"/>
      <c r="F88" s="2443"/>
      <c r="G88" s="2443"/>
      <c r="H88" s="2444"/>
      <c r="J88" s="2443"/>
      <c r="L88" s="2679"/>
      <c r="M88" s="2672"/>
      <c r="N88" s="2672"/>
      <c r="O88" s="2661"/>
      <c r="P88" s="2661"/>
      <c r="Q88" s="2661"/>
      <c r="R88" s="2661"/>
      <c r="S88" s="2661"/>
      <c r="AA88" s="2324"/>
      <c r="AB88" s="2345" t="s">
        <v>468</v>
      </c>
      <c r="AC88" s="2346">
        <v>1727555.2301599998</v>
      </c>
      <c r="AD88" s="2582"/>
    </row>
    <row r="89" spans="2:30" ht="16.5" customHeight="1" thickTop="1">
      <c r="B89" s="2328"/>
      <c r="C89" s="2656" t="s">
        <v>415</v>
      </c>
      <c r="D89" s="2680" t="s">
        <v>416</v>
      </c>
      <c r="E89" s="2443"/>
      <c r="F89" s="2681"/>
      <c r="G89" s="2442"/>
      <c r="H89" s="2651"/>
      <c r="I89" s="2651"/>
      <c r="J89" s="2651"/>
      <c r="K89" s="2443"/>
      <c r="L89" s="2443"/>
      <c r="M89" s="2651"/>
      <c r="N89" s="2443"/>
      <c r="O89" s="2651"/>
      <c r="P89" s="2651"/>
      <c r="Q89" s="2651"/>
      <c r="R89" s="2651"/>
      <c r="S89" s="2651"/>
      <c r="T89" s="2651"/>
      <c r="U89" s="2651"/>
      <c r="AC89" s="2651"/>
      <c r="AD89" s="2582"/>
    </row>
    <row r="90" spans="2:30" s="2327" customFormat="1" ht="16.5" customHeight="1">
      <c r="B90" s="2328"/>
      <c r="C90" s="2332"/>
      <c r="D90" s="2658" t="s">
        <v>417</v>
      </c>
      <c r="E90" s="2682">
        <f>10*K68*K27/AC86</f>
        <v>177.8882037089344</v>
      </c>
      <c r="G90" s="2442"/>
      <c r="L90" s="2443"/>
      <c r="N90" s="2443"/>
      <c r="O90" s="2444"/>
      <c r="V90" s="2288"/>
      <c r="W90" s="2288"/>
      <c r="AD90" s="2582"/>
    </row>
    <row r="91" spans="2:30" s="2327" customFormat="1" ht="16.5" customHeight="1">
      <c r="B91" s="2328"/>
      <c r="C91" s="2332"/>
      <c r="E91" s="2683"/>
      <c r="F91" s="2343"/>
      <c r="G91" s="2442"/>
      <c r="J91" s="2442"/>
      <c r="K91" s="2457"/>
      <c r="L91" s="2443"/>
      <c r="M91" s="2443"/>
      <c r="N91" s="2443"/>
      <c r="O91" s="2444"/>
      <c r="P91" s="2443"/>
      <c r="Q91" s="2443"/>
      <c r="R91" s="2456"/>
      <c r="S91" s="2456"/>
      <c r="T91" s="2456"/>
      <c r="U91" s="2684"/>
      <c r="V91" s="2288"/>
      <c r="W91" s="2288"/>
      <c r="AC91" s="2684"/>
      <c r="AD91" s="2582"/>
    </row>
    <row r="92" spans="2:30" ht="16.5" customHeight="1">
      <c r="B92" s="2328"/>
      <c r="C92" s="2332"/>
      <c r="D92" s="2685" t="s">
        <v>517</v>
      </c>
      <c r="E92" s="2686"/>
      <c r="F92" s="2343"/>
      <c r="G92" s="2442"/>
      <c r="H92" s="2651"/>
      <c r="I92" s="2651"/>
      <c r="N92" s="2443"/>
      <c r="O92" s="2444"/>
      <c r="P92" s="2443"/>
      <c r="Q92" s="2443"/>
      <c r="R92" s="2673"/>
      <c r="S92" s="2673"/>
      <c r="T92" s="2673"/>
      <c r="U92" s="2672"/>
      <c r="AC92" s="2672"/>
      <c r="AD92" s="2582"/>
    </row>
    <row r="93" spans="2:30" ht="16.5" customHeight="1" thickBot="1">
      <c r="B93" s="2328"/>
      <c r="C93" s="2332"/>
      <c r="D93" s="2685"/>
      <c r="E93" s="2686"/>
      <c r="F93" s="2343"/>
      <c r="G93" s="2442"/>
      <c r="H93" s="2651"/>
      <c r="I93" s="2651"/>
      <c r="N93" s="2443"/>
      <c r="O93" s="2444"/>
      <c r="P93" s="2443"/>
      <c r="Q93" s="2443"/>
      <c r="R93" s="2673"/>
      <c r="S93" s="2673"/>
      <c r="T93" s="2673"/>
      <c r="U93" s="2672"/>
      <c r="AC93" s="2672"/>
      <c r="AD93" s="2582"/>
    </row>
    <row r="94" spans="2:30" s="2687" customFormat="1" ht="21" thickBot="1" thickTop="1">
      <c r="B94" s="2688"/>
      <c r="C94" s="2689"/>
      <c r="D94" s="2690"/>
      <c r="E94" s="2691"/>
      <c r="F94" s="2692"/>
      <c r="G94" s="2693"/>
      <c r="I94" s="2288"/>
      <c r="J94" s="2694" t="s">
        <v>419</v>
      </c>
      <c r="K94" s="2695">
        <f>IF(E90&gt;3*K27,K27*3,E90)</f>
        <v>177.8882037089344</v>
      </c>
      <c r="M94" s="2696"/>
      <c r="N94" s="2697" t="s">
        <v>445</v>
      </c>
      <c r="O94" s="2698"/>
      <c r="P94" s="2696"/>
      <c r="Q94" s="2696"/>
      <c r="R94" s="2699"/>
      <c r="S94" s="2699"/>
      <c r="T94" s="2699"/>
      <c r="U94" s="2700"/>
      <c r="V94" s="2288"/>
      <c r="W94" s="2288"/>
      <c r="AC94" s="2700"/>
      <c r="AD94" s="2701"/>
    </row>
    <row r="95" spans="2:30" ht="16.5" customHeight="1" thickBot="1" thickTop="1">
      <c r="B95" s="2702"/>
      <c r="C95" s="2703"/>
      <c r="D95" s="2703"/>
      <c r="E95" s="2703"/>
      <c r="F95" s="2703"/>
      <c r="G95" s="2703"/>
      <c r="H95" s="2703"/>
      <c r="I95" s="2703"/>
      <c r="J95" s="2703"/>
      <c r="K95" s="2703"/>
      <c r="L95" s="2703"/>
      <c r="M95" s="2703"/>
      <c r="N95" s="2703"/>
      <c r="O95" s="2703"/>
      <c r="P95" s="2703"/>
      <c r="Q95" s="2703"/>
      <c r="R95" s="2703"/>
      <c r="S95" s="2703"/>
      <c r="T95" s="2703"/>
      <c r="U95" s="2703"/>
      <c r="V95" s="2704"/>
      <c r="W95" s="2704"/>
      <c r="X95" s="2704"/>
      <c r="Y95" s="2704"/>
      <c r="Z95" s="2704"/>
      <c r="AA95" s="2704"/>
      <c r="AB95" s="2704"/>
      <c r="AC95" s="2703"/>
      <c r="AD95" s="2705"/>
    </row>
    <row r="96" spans="2:23" ht="16.5" customHeight="1" thickTop="1">
      <c r="B96" s="2324"/>
      <c r="C96" s="2706"/>
      <c r="W96" s="2324"/>
    </row>
  </sheetData>
  <sheetProtection password="CC12"/>
  <mergeCells count="39">
    <mergeCell ref="F65:G65"/>
    <mergeCell ref="P65:Q65"/>
    <mergeCell ref="F63:G63"/>
    <mergeCell ref="P63:Q63"/>
    <mergeCell ref="F64:G64"/>
    <mergeCell ref="P64:Q64"/>
    <mergeCell ref="F60:G60"/>
    <mergeCell ref="P60:Q60"/>
    <mergeCell ref="F61:G61"/>
    <mergeCell ref="P61:Q61"/>
    <mergeCell ref="F62:G62"/>
    <mergeCell ref="P62:Q62"/>
    <mergeCell ref="F57:G57"/>
    <mergeCell ref="P57:Q57"/>
    <mergeCell ref="F58:G58"/>
    <mergeCell ref="P58:Q58"/>
    <mergeCell ref="F59:G59"/>
    <mergeCell ref="P59:Q59"/>
    <mergeCell ref="F55:G55"/>
    <mergeCell ref="P55:Q55"/>
    <mergeCell ref="F56:G56"/>
    <mergeCell ref="P56:Q56"/>
    <mergeCell ref="E51:F51"/>
    <mergeCell ref="E52:F52"/>
    <mergeCell ref="P40:Q40"/>
    <mergeCell ref="P41:Q41"/>
    <mergeCell ref="P42:Q42"/>
    <mergeCell ref="O50:Q50"/>
    <mergeCell ref="O51:Q51"/>
    <mergeCell ref="P44:Q44"/>
    <mergeCell ref="O49:Q49"/>
    <mergeCell ref="O47:Q47"/>
    <mergeCell ref="O48:Q48"/>
    <mergeCell ref="E47:F47"/>
    <mergeCell ref="E48:F48"/>
    <mergeCell ref="E49:F49"/>
    <mergeCell ref="E50:F50"/>
    <mergeCell ref="P43:Q43"/>
    <mergeCell ref="O52:Q52"/>
  </mergeCells>
  <printOptions horizontalCentered="1"/>
  <pageMargins left="0.24" right="0.4" top="0.34" bottom="0.43" header="0.24" footer="0.32"/>
  <pageSetup fitToHeight="1" fitToWidth="1" orientation="landscape" paperSize="9" scale="31" r:id="rId4"/>
  <headerFooter alignWithMargins="0">
    <oddFooter>&amp;L&amp;"Times New Roman,Normal"&amp;8&amp;F-&amp;A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3">
    <pageSetUpPr fitToPage="1"/>
  </sheetPr>
  <dimension ref="A1:AD78"/>
  <sheetViews>
    <sheetView zoomScale="60" zoomScaleNormal="60" zoomScalePageLayoutView="0" workbookViewId="0" topLeftCell="E46">
      <selection activeCell="N47" sqref="N47"/>
    </sheetView>
  </sheetViews>
  <sheetFormatPr defaultColWidth="11.421875" defaultRowHeight="12.75"/>
  <cols>
    <col min="1" max="1" width="23.28125" style="781" customWidth="1"/>
    <col min="2" max="2" width="11.8515625" style="781" customWidth="1"/>
    <col min="3" max="3" width="6.57421875" style="781" bestFit="1" customWidth="1"/>
    <col min="4" max="4" width="32.28125" style="781" customWidth="1"/>
    <col min="5" max="5" width="24.140625" style="781" customWidth="1"/>
    <col min="6" max="6" width="16.57421875" style="781" customWidth="1"/>
    <col min="7" max="7" width="14.421875" style="781" customWidth="1"/>
    <col min="8" max="8" width="9.00390625" style="781" hidden="1" customWidth="1"/>
    <col min="9" max="9" width="22.00390625" style="781" customWidth="1"/>
    <col min="10" max="10" width="21.57421875" style="781" bestFit="1" customWidth="1"/>
    <col min="11" max="11" width="18.7109375" style="781" customWidth="1"/>
    <col min="12" max="13" width="10.7109375" style="781" customWidth="1"/>
    <col min="14" max="14" width="9.7109375" style="781" customWidth="1"/>
    <col min="15" max="15" width="31.28125" style="781" bestFit="1" customWidth="1"/>
    <col min="16" max="16" width="11.57421875" style="781" hidden="1" customWidth="1"/>
    <col min="17" max="17" width="14.8515625" style="781" hidden="1" customWidth="1"/>
    <col min="18" max="19" width="4.00390625" style="781" hidden="1" customWidth="1"/>
    <col min="20" max="20" width="13.7109375" style="781" hidden="1" customWidth="1"/>
    <col min="21" max="21" width="14.8515625" style="781" customWidth="1"/>
    <col min="22" max="22" width="20.7109375" style="781" customWidth="1"/>
    <col min="23" max="23" width="12.140625" style="781" customWidth="1"/>
    <col min="24" max="24" width="17.7109375" style="781" customWidth="1"/>
    <col min="25" max="25" width="12.8515625" style="781" customWidth="1"/>
    <col min="26" max="26" width="14.28125" style="781" customWidth="1"/>
    <col min="27" max="27" width="24.28125" style="781" customWidth="1"/>
    <col min="28" max="28" width="9.7109375" style="781" customWidth="1"/>
    <col min="29" max="29" width="17.28125" style="781" customWidth="1"/>
    <col min="30" max="30" width="25.7109375" style="781" customWidth="1"/>
    <col min="31" max="31" width="4.140625" style="781" customWidth="1"/>
    <col min="32" max="32" width="7.140625" style="781" customWidth="1"/>
    <col min="33" max="33" width="5.28125" style="781" customWidth="1"/>
    <col min="34" max="34" width="5.421875" style="781" customWidth="1"/>
    <col min="35" max="35" width="4.7109375" style="781" customWidth="1"/>
    <col min="36" max="36" width="5.28125" style="781" customWidth="1"/>
    <col min="37" max="38" width="13.28125" style="781" customWidth="1"/>
    <col min="39" max="39" width="6.57421875" style="781" customWidth="1"/>
    <col min="40" max="40" width="6.421875" style="781" customWidth="1"/>
    <col min="41" max="44" width="11.421875" style="781" customWidth="1"/>
    <col min="45" max="45" width="12.7109375" style="781" customWidth="1"/>
    <col min="46" max="48" width="11.421875" style="781" customWidth="1"/>
    <col min="49" max="49" width="21.00390625" style="781" customWidth="1"/>
    <col min="50" max="16384" width="11.421875" style="781" customWidth="1"/>
  </cols>
  <sheetData>
    <row r="1" spans="1:30" ht="13.5">
      <c r="A1" s="759"/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56"/>
      <c r="AD1" s="1659"/>
    </row>
    <row r="2" spans="1:23" ht="27" customHeight="1">
      <c r="A2" s="759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</row>
    <row r="3" spans="1:30" s="1349" customFormat="1" ht="30.75">
      <c r="A3" s="1346"/>
      <c r="B3" s="1347" t="str">
        <f>'TOT-0312'!B2</f>
        <v>ANEXO IV al Memorándum D.T.E.E.  N° 783/ 2013</v>
      </c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AB3" s="1348"/>
      <c r="AC3" s="1348"/>
      <c r="AD3" s="1348"/>
    </row>
    <row r="4" spans="1:2" s="763" customFormat="1" ht="11.25">
      <c r="A4" s="1660" t="s">
        <v>2</v>
      </c>
      <c r="B4" s="1661"/>
    </row>
    <row r="5" spans="1:2" s="763" customFormat="1" ht="12" thickBot="1">
      <c r="A5" s="1660" t="s">
        <v>3</v>
      </c>
      <c r="B5" s="1660"/>
    </row>
    <row r="6" spans="1:23" ht="16.5" customHeight="1" thickTop="1">
      <c r="A6" s="760"/>
      <c r="B6" s="764"/>
      <c r="C6" s="765"/>
      <c r="D6" s="765"/>
      <c r="E6" s="1350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1352"/>
    </row>
    <row r="7" spans="1:23" ht="20.25">
      <c r="A7" s="760"/>
      <c r="B7" s="775"/>
      <c r="C7" s="776"/>
      <c r="D7" s="770" t="s">
        <v>377</v>
      </c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1353"/>
      <c r="Q7" s="1353"/>
      <c r="R7" s="776"/>
      <c r="S7" s="776"/>
      <c r="T7" s="776"/>
      <c r="U7" s="776"/>
      <c r="V7" s="776"/>
      <c r="W7" s="1354"/>
    </row>
    <row r="8" spans="1:23" ht="16.5" customHeight="1">
      <c r="A8" s="760"/>
      <c r="B8" s="775"/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1354"/>
    </row>
    <row r="9" spans="2:23" s="786" customFormat="1" ht="20.25">
      <c r="B9" s="1355"/>
      <c r="C9" s="1356"/>
      <c r="D9" s="770" t="s">
        <v>378</v>
      </c>
      <c r="E9" s="1356"/>
      <c r="F9" s="1356"/>
      <c r="G9" s="1356"/>
      <c r="H9" s="1356"/>
      <c r="N9" s="1356"/>
      <c r="O9" s="1356"/>
      <c r="P9" s="1357"/>
      <c r="Q9" s="1357"/>
      <c r="R9" s="1356"/>
      <c r="S9" s="1356"/>
      <c r="T9" s="1356"/>
      <c r="U9" s="1356"/>
      <c r="V9" s="1356"/>
      <c r="W9" s="1358"/>
    </row>
    <row r="10" spans="1:23" ht="16.5" customHeight="1">
      <c r="A10" s="760"/>
      <c r="B10" s="775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1354"/>
    </row>
    <row r="11" spans="2:23" s="786" customFormat="1" ht="20.25">
      <c r="B11" s="1355"/>
      <c r="C11" s="1356"/>
      <c r="D11" s="770" t="s">
        <v>472</v>
      </c>
      <c r="E11" s="1356"/>
      <c r="F11" s="1356"/>
      <c r="G11" s="1356"/>
      <c r="H11" s="1356"/>
      <c r="N11" s="1356"/>
      <c r="O11" s="1356"/>
      <c r="P11" s="1357"/>
      <c r="Q11" s="1357"/>
      <c r="R11" s="1356"/>
      <c r="S11" s="1356"/>
      <c r="T11" s="1356"/>
      <c r="U11" s="1356"/>
      <c r="V11" s="1356"/>
      <c r="W11" s="1358"/>
    </row>
    <row r="12" spans="1:23" ht="16.5" customHeight="1">
      <c r="A12" s="760"/>
      <c r="B12" s="775"/>
      <c r="C12" s="776"/>
      <c r="D12" s="776"/>
      <c r="E12" s="760"/>
      <c r="F12" s="760"/>
      <c r="G12" s="760"/>
      <c r="H12" s="760"/>
      <c r="I12" s="785"/>
      <c r="J12" s="785"/>
      <c r="K12" s="785"/>
      <c r="L12" s="785"/>
      <c r="M12" s="785"/>
      <c r="N12" s="785"/>
      <c r="O12" s="785"/>
      <c r="P12" s="785"/>
      <c r="Q12" s="785"/>
      <c r="R12" s="776"/>
      <c r="S12" s="776"/>
      <c r="T12" s="776"/>
      <c r="U12" s="776"/>
      <c r="V12" s="776"/>
      <c r="W12" s="1354"/>
    </row>
    <row r="13" spans="2:23" s="786" customFormat="1" ht="19.5">
      <c r="B13" s="787" t="str">
        <f>'TOT-0312'!B14</f>
        <v>Desde el 01 al 31 de Marzo de 2012</v>
      </c>
      <c r="C13" s="1359"/>
      <c r="D13" s="788"/>
      <c r="E13" s="788"/>
      <c r="F13" s="788"/>
      <c r="G13" s="788"/>
      <c r="H13" s="788"/>
      <c r="I13" s="1360"/>
      <c r="J13" s="1361"/>
      <c r="K13" s="1360"/>
      <c r="L13" s="1360"/>
      <c r="M13" s="1360"/>
      <c r="N13" s="1360"/>
      <c r="O13" s="1360"/>
      <c r="P13" s="1360"/>
      <c r="Q13" s="1360"/>
      <c r="R13" s="1360"/>
      <c r="S13" s="1360"/>
      <c r="T13" s="1360"/>
      <c r="U13" s="1362"/>
      <c r="V13" s="1362"/>
      <c r="W13" s="1364"/>
    </row>
    <row r="14" spans="1:23" ht="16.5" customHeight="1">
      <c r="A14" s="760"/>
      <c r="B14" s="775"/>
      <c r="C14" s="776"/>
      <c r="D14" s="776"/>
      <c r="E14" s="1365"/>
      <c r="F14" s="1365"/>
      <c r="G14" s="776"/>
      <c r="H14" s="776"/>
      <c r="I14" s="776"/>
      <c r="J14" s="1366"/>
      <c r="K14" s="776"/>
      <c r="L14" s="776"/>
      <c r="M14" s="776"/>
      <c r="N14" s="760"/>
      <c r="O14" s="760"/>
      <c r="P14" s="776"/>
      <c r="Q14" s="776"/>
      <c r="R14" s="776"/>
      <c r="S14" s="776"/>
      <c r="T14" s="776"/>
      <c r="U14" s="776"/>
      <c r="V14" s="776"/>
      <c r="W14" s="1354"/>
    </row>
    <row r="15" spans="1:23" ht="16.5" customHeight="1">
      <c r="A15" s="760"/>
      <c r="B15" s="775"/>
      <c r="C15" s="776"/>
      <c r="D15" s="776"/>
      <c r="E15" s="1365"/>
      <c r="F15" s="1365"/>
      <c r="G15" s="776"/>
      <c r="H15" s="776"/>
      <c r="I15" s="1367"/>
      <c r="J15" s="776"/>
      <c r="K15" s="1368"/>
      <c r="M15" s="776"/>
      <c r="N15" s="760"/>
      <c r="O15" s="760"/>
      <c r="P15" s="776"/>
      <c r="Q15" s="776"/>
      <c r="R15" s="776"/>
      <c r="S15" s="776"/>
      <c r="T15" s="776"/>
      <c r="U15" s="776"/>
      <c r="V15" s="776"/>
      <c r="W15" s="1354"/>
    </row>
    <row r="16" spans="1:23" ht="16.5" customHeight="1">
      <c r="A16" s="760"/>
      <c r="B16" s="775"/>
      <c r="C16" s="776"/>
      <c r="D16" s="776"/>
      <c r="E16" s="1365"/>
      <c r="F16" s="1365"/>
      <c r="G16" s="776"/>
      <c r="H16" s="776"/>
      <c r="I16" s="1367"/>
      <c r="J16" s="776"/>
      <c r="K16" s="1368"/>
      <c r="M16" s="776"/>
      <c r="N16" s="760"/>
      <c r="O16" s="760"/>
      <c r="P16" s="776"/>
      <c r="Q16" s="776"/>
      <c r="R16" s="776"/>
      <c r="S16" s="776"/>
      <c r="T16" s="776"/>
      <c r="U16" s="776"/>
      <c r="V16" s="776"/>
      <c r="W16" s="1354"/>
    </row>
    <row r="17" spans="1:23" ht="16.5" customHeight="1" thickBot="1">
      <c r="A17" s="760"/>
      <c r="B17" s="775"/>
      <c r="C17" s="1369" t="s">
        <v>379</v>
      </c>
      <c r="D17" s="1370" t="s">
        <v>380</v>
      </c>
      <c r="E17" s="1365"/>
      <c r="F17" s="1365"/>
      <c r="G17" s="776"/>
      <c r="H17" s="776"/>
      <c r="I17" s="776"/>
      <c r="J17" s="1366"/>
      <c r="K17" s="776"/>
      <c r="L17" s="776"/>
      <c r="M17" s="776"/>
      <c r="N17" s="760"/>
      <c r="O17" s="760"/>
      <c r="P17" s="776"/>
      <c r="Q17" s="776"/>
      <c r="R17" s="776"/>
      <c r="S17" s="776"/>
      <c r="T17" s="776"/>
      <c r="U17" s="776"/>
      <c r="V17" s="776"/>
      <c r="W17" s="1354"/>
    </row>
    <row r="18" spans="2:23" s="1371" customFormat="1" ht="16.5" customHeight="1" thickBot="1">
      <c r="B18" s="1372"/>
      <c r="C18" s="1373"/>
      <c r="D18" s="1374"/>
      <c r="E18" s="1382"/>
      <c r="F18" s="1621"/>
      <c r="G18" s="1623"/>
      <c r="H18" s="1373"/>
      <c r="I18" s="1373"/>
      <c r="J18" s="1377"/>
      <c r="K18" s="1373"/>
      <c r="L18" s="1373"/>
      <c r="M18" s="1373"/>
      <c r="N18" s="1662" t="s">
        <v>38</v>
      </c>
      <c r="P18" s="1373"/>
      <c r="Q18" s="1373"/>
      <c r="R18" s="1373"/>
      <c r="S18" s="1373"/>
      <c r="T18" s="1373"/>
      <c r="U18" s="1373"/>
      <c r="V18" s="1373"/>
      <c r="W18" s="1378"/>
    </row>
    <row r="19" spans="2:23" s="1371" customFormat="1" ht="16.5" customHeight="1">
      <c r="B19" s="1372"/>
      <c r="C19" s="1373"/>
      <c r="D19" s="1663"/>
      <c r="E19" s="1382" t="s">
        <v>383</v>
      </c>
      <c r="F19" s="1383">
        <v>0.025</v>
      </c>
      <c r="G19" s="1380"/>
      <c r="H19" s="1373"/>
      <c r="I19" s="806"/>
      <c r="J19" s="1387"/>
      <c r="K19" s="1664" t="s">
        <v>447</v>
      </c>
      <c r="L19" s="1665"/>
      <c r="M19" s="1666">
        <v>128.853</v>
      </c>
      <c r="N19" s="1667">
        <v>200</v>
      </c>
      <c r="R19" s="1373"/>
      <c r="S19" s="1373"/>
      <c r="T19" s="1373"/>
      <c r="U19" s="1373"/>
      <c r="V19" s="1373"/>
      <c r="W19" s="1378"/>
    </row>
    <row r="20" spans="2:23" s="1371" customFormat="1" ht="16.5" customHeight="1">
      <c r="B20" s="1372"/>
      <c r="C20" s="1373"/>
      <c r="D20" s="1663"/>
      <c r="E20" s="1374" t="s">
        <v>386</v>
      </c>
      <c r="F20" s="1373">
        <f>MID(B13,16,2)*24</f>
        <v>744</v>
      </c>
      <c r="G20" s="1373" t="s">
        <v>437</v>
      </c>
      <c r="H20" s="1373"/>
      <c r="I20" s="1373"/>
      <c r="J20" s="1373"/>
      <c r="K20" s="1668" t="s">
        <v>71</v>
      </c>
      <c r="L20" s="1669"/>
      <c r="M20" s="1670" t="s">
        <v>325</v>
      </c>
      <c r="N20" s="1671">
        <v>100</v>
      </c>
      <c r="O20" s="1373"/>
      <c r="P20" s="1672"/>
      <c r="Q20" s="1373"/>
      <c r="R20" s="1373"/>
      <c r="S20" s="1373"/>
      <c r="T20" s="1373"/>
      <c r="U20" s="1373"/>
      <c r="V20" s="1373"/>
      <c r="W20" s="1378"/>
    </row>
    <row r="21" spans="2:23" s="1371" customFormat="1" ht="16.5" customHeight="1" thickBot="1">
      <c r="B21" s="1372"/>
      <c r="C21" s="1373"/>
      <c r="D21" s="1663"/>
      <c r="E21" s="1374" t="s">
        <v>448</v>
      </c>
      <c r="F21" s="1373">
        <v>0.649</v>
      </c>
      <c r="G21" s="1371" t="s">
        <v>385</v>
      </c>
      <c r="H21" s="1373"/>
      <c r="I21" s="1373"/>
      <c r="J21" s="1373"/>
      <c r="K21" s="1673" t="s">
        <v>449</v>
      </c>
      <c r="L21" s="1674"/>
      <c r="M21" s="1675">
        <v>103.083</v>
      </c>
      <c r="N21" s="1676">
        <v>40</v>
      </c>
      <c r="O21" s="1373"/>
      <c r="P21" s="1672"/>
      <c r="Q21" s="1373"/>
      <c r="R21" s="1373"/>
      <c r="S21" s="1373"/>
      <c r="T21" s="1373"/>
      <c r="U21" s="1373"/>
      <c r="V21" s="1373"/>
      <c r="W21" s="1378"/>
    </row>
    <row r="22" spans="2:23" s="1371" customFormat="1" ht="16.5" customHeight="1">
      <c r="B22" s="1372"/>
      <c r="C22" s="1373"/>
      <c r="D22" s="1373"/>
      <c r="E22" s="1389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8"/>
    </row>
    <row r="23" spans="1:23" ht="16.5" customHeight="1">
      <c r="A23" s="760"/>
      <c r="B23" s="775"/>
      <c r="C23" s="1369" t="s">
        <v>389</v>
      </c>
      <c r="D23" s="1390" t="s">
        <v>420</v>
      </c>
      <c r="I23" s="776"/>
      <c r="J23" s="1371"/>
      <c r="O23" s="776"/>
      <c r="P23" s="776"/>
      <c r="Q23" s="776"/>
      <c r="R23" s="776"/>
      <c r="S23" s="776"/>
      <c r="T23" s="776"/>
      <c r="V23" s="776"/>
      <c r="W23" s="1354"/>
    </row>
    <row r="24" spans="1:23" ht="10.5" customHeight="1" thickBot="1">
      <c r="A24" s="760"/>
      <c r="B24" s="775"/>
      <c r="C24" s="1365"/>
      <c r="D24" s="1390"/>
      <c r="I24" s="776"/>
      <c r="J24" s="1371"/>
      <c r="O24" s="776"/>
      <c r="P24" s="776"/>
      <c r="Q24" s="776"/>
      <c r="R24" s="776"/>
      <c r="S24" s="776"/>
      <c r="T24" s="776"/>
      <c r="V24" s="776"/>
      <c r="W24" s="1354"/>
    </row>
    <row r="25" spans="2:23" s="1371" customFormat="1" ht="21" customHeight="1" thickBot="1" thickTop="1">
      <c r="B25" s="1372"/>
      <c r="C25" s="1376"/>
      <c r="D25" s="781"/>
      <c r="E25" s="781"/>
      <c r="F25" s="781"/>
      <c r="G25" s="781"/>
      <c r="H25" s="781"/>
      <c r="I25" s="1391" t="s">
        <v>390</v>
      </c>
      <c r="J25" s="1392">
        <f>+V69*F19</f>
        <v>25470.069650000005</v>
      </c>
      <c r="L25" s="781"/>
      <c r="S25" s="781"/>
      <c r="T25" s="781"/>
      <c r="U25" s="781"/>
      <c r="W25" s="1378"/>
    </row>
    <row r="26" spans="2:23" s="1371" customFormat="1" ht="11.25" customHeight="1" thickTop="1">
      <c r="B26" s="1372"/>
      <c r="C26" s="1376"/>
      <c r="D26" s="1373"/>
      <c r="E26" s="1389"/>
      <c r="F26" s="1373"/>
      <c r="G26" s="1373"/>
      <c r="H26" s="1373"/>
      <c r="I26" s="1373"/>
      <c r="J26" s="1373"/>
      <c r="K26" s="1373"/>
      <c r="L26" s="1373"/>
      <c r="M26" s="1373"/>
      <c r="N26" s="1373"/>
      <c r="O26" s="1373"/>
      <c r="P26" s="1373"/>
      <c r="Q26" s="1373"/>
      <c r="R26" s="1373"/>
      <c r="S26" s="1373"/>
      <c r="T26" s="1373"/>
      <c r="U26" s="781"/>
      <c r="W26" s="1378"/>
    </row>
    <row r="27" spans="1:23" ht="16.5" customHeight="1">
      <c r="A27" s="760"/>
      <c r="B27" s="775"/>
      <c r="C27" s="1369" t="s">
        <v>391</v>
      </c>
      <c r="D27" s="1390" t="s">
        <v>421</v>
      </c>
      <c r="E27" s="1393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1354"/>
    </row>
    <row r="28" spans="1:23" ht="13.5" customHeight="1" thickBot="1">
      <c r="A28" s="1371"/>
      <c r="B28" s="775"/>
      <c r="C28" s="1376"/>
      <c r="D28" s="1376"/>
      <c r="E28" s="1480"/>
      <c r="F28" s="1389"/>
      <c r="G28" s="1481"/>
      <c r="H28" s="1481"/>
      <c r="I28" s="1482"/>
      <c r="J28" s="1482"/>
      <c r="K28" s="1482"/>
      <c r="L28" s="1482"/>
      <c r="M28" s="1482"/>
      <c r="N28" s="1482"/>
      <c r="O28" s="1483"/>
      <c r="P28" s="1482"/>
      <c r="Q28" s="1482"/>
      <c r="R28" s="1677"/>
      <c r="S28" s="1678"/>
      <c r="T28" s="1679"/>
      <c r="U28" s="1679"/>
      <c r="V28" s="1679"/>
      <c r="W28" s="1479"/>
    </row>
    <row r="29" spans="1:26" s="760" customFormat="1" ht="33.75" customHeight="1" thickBot="1" thickTop="1">
      <c r="A29" s="759"/>
      <c r="B29" s="1502"/>
      <c r="C29" s="809" t="s">
        <v>32</v>
      </c>
      <c r="D29" s="1503" t="s">
        <v>60</v>
      </c>
      <c r="E29" s="1504" t="s">
        <v>61</v>
      </c>
      <c r="F29" s="1680" t="s">
        <v>62</v>
      </c>
      <c r="G29" s="1411" t="s">
        <v>35</v>
      </c>
      <c r="H29" s="814" t="s">
        <v>39</v>
      </c>
      <c r="I29" s="1504" t="s">
        <v>40</v>
      </c>
      <c r="J29" s="1504" t="s">
        <v>41</v>
      </c>
      <c r="K29" s="1503" t="s">
        <v>63</v>
      </c>
      <c r="L29" s="1503" t="s">
        <v>43</v>
      </c>
      <c r="M29" s="815" t="s">
        <v>398</v>
      </c>
      <c r="N29" s="1504" t="s">
        <v>46</v>
      </c>
      <c r="O29" s="1681" t="s">
        <v>64</v>
      </c>
      <c r="P29" s="814" t="s">
        <v>399</v>
      </c>
      <c r="Q29" s="1506" t="s">
        <v>47</v>
      </c>
      <c r="R29" s="1507" t="s">
        <v>400</v>
      </c>
      <c r="S29" s="1508"/>
      <c r="T29" s="1509" t="s">
        <v>51</v>
      </c>
      <c r="U29" s="820" t="s">
        <v>53</v>
      </c>
      <c r="V29" s="1411" t="s">
        <v>54</v>
      </c>
      <c r="W29" s="1354"/>
      <c r="Y29" s="781"/>
      <c r="Z29" s="781"/>
    </row>
    <row r="30" spans="1:23" ht="16.5" customHeight="1" thickTop="1">
      <c r="A30" s="760"/>
      <c r="B30" s="775"/>
      <c r="C30" s="1513"/>
      <c r="D30" s="1513"/>
      <c r="E30" s="1513"/>
      <c r="F30" s="1513"/>
      <c r="G30" s="1682"/>
      <c r="H30" s="1683"/>
      <c r="I30" s="1513"/>
      <c r="J30" s="1513"/>
      <c r="K30" s="1513"/>
      <c r="L30" s="1513"/>
      <c r="M30" s="1513"/>
      <c r="N30" s="1515"/>
      <c r="O30" s="1684"/>
      <c r="P30" s="1685"/>
      <c r="Q30" s="1686"/>
      <c r="R30" s="1687"/>
      <c r="S30" s="1688"/>
      <c r="T30" s="1689"/>
      <c r="U30" s="1515"/>
      <c r="V30" s="1518"/>
      <c r="W30" s="1354"/>
    </row>
    <row r="31" spans="1:23" ht="16.5" customHeight="1">
      <c r="A31" s="760"/>
      <c r="B31" s="775"/>
      <c r="C31" s="1021" t="s">
        <v>396</v>
      </c>
      <c r="D31" s="337"/>
      <c r="E31" s="338"/>
      <c r="F31" s="339"/>
      <c r="G31" s="512"/>
      <c r="H31" s="1521">
        <f aca="true" t="shared" si="0" ref="H31:H36">F31*$F$21</f>
        <v>0</v>
      </c>
      <c r="I31" s="1538"/>
      <c r="J31" s="1538"/>
      <c r="K31" s="1523">
        <f aca="true" t="shared" si="1" ref="K31:K36">IF(D31="","",(J31-I31)*24)</f>
      </c>
      <c r="L31" s="1524">
        <f aca="true" t="shared" si="2" ref="L31:L36">IF(D31="","",(J31-I31)*24*60)</f>
      </c>
      <c r="M31" s="1690"/>
      <c r="N31" s="1526">
        <f aca="true" t="shared" si="3" ref="N31:N36">IF(D31="","",IF(OR(M31="P",M31="RP"),"--","NO"))</f>
      </c>
      <c r="O31" s="1691">
        <f aca="true" t="shared" si="4" ref="O31:O36">IF(D31="","","NO")</f>
      </c>
      <c r="P31" s="864">
        <f aca="true" t="shared" si="5" ref="P31:P36">200*IF(O31="SI",1,0.1)*IF(M31="P",0.1,1)</f>
        <v>20</v>
      </c>
      <c r="Q31" s="1528" t="str">
        <f aca="true" t="shared" si="6" ref="Q31:Q36">IF(M31="P",H31*P31*ROUND(L31/60,2),"--")</f>
        <v>--</v>
      </c>
      <c r="R31" s="1529" t="str">
        <f aca="true" t="shared" si="7" ref="R31:R36">IF(AND(M31="F",N31="NO"),H31*P31,"--")</f>
        <v>--</v>
      </c>
      <c r="S31" s="1530" t="str">
        <f aca="true" t="shared" si="8" ref="S31:S36">IF(M31="F",H31*P31*ROUND(L31/60,2),"--")</f>
        <v>--</v>
      </c>
      <c r="T31" s="1531" t="str">
        <f aca="true" t="shared" si="9" ref="T31:T36">IF(M31="RF",H31*P31*ROUND(L31/60,2),"--")</f>
        <v>--</v>
      </c>
      <c r="U31" s="1535">
        <f aca="true" t="shared" si="10" ref="U31:U36">IF(D31="","","SI")</f>
      </c>
      <c r="V31" s="1536">
        <f aca="true" t="shared" si="11" ref="V31:V36">IF(D31="","",SUM(Q31:T31)*IF(U31="SI",1,2))</f>
      </c>
      <c r="W31" s="1479"/>
    </row>
    <row r="32" spans="1:23" ht="16.5" customHeight="1">
      <c r="A32" s="760"/>
      <c r="B32" s="775"/>
      <c r="C32" s="1021" t="s">
        <v>397</v>
      </c>
      <c r="D32" s="337"/>
      <c r="E32" s="338"/>
      <c r="F32" s="339"/>
      <c r="G32" s="512"/>
      <c r="H32" s="1521">
        <f t="shared" si="0"/>
        <v>0</v>
      </c>
      <c r="I32" s="1538"/>
      <c r="J32" s="1538"/>
      <c r="K32" s="1523">
        <f t="shared" si="1"/>
      </c>
      <c r="L32" s="1524">
        <f t="shared" si="2"/>
      </c>
      <c r="M32" s="1690"/>
      <c r="N32" s="1526">
        <f t="shared" si="3"/>
      </c>
      <c r="O32" s="1691">
        <f t="shared" si="4"/>
      </c>
      <c r="P32" s="864">
        <f t="shared" si="5"/>
        <v>20</v>
      </c>
      <c r="Q32" s="1528" t="str">
        <f t="shared" si="6"/>
        <v>--</v>
      </c>
      <c r="R32" s="1529" t="str">
        <f t="shared" si="7"/>
        <v>--</v>
      </c>
      <c r="S32" s="1530" t="str">
        <f t="shared" si="8"/>
        <v>--</v>
      </c>
      <c r="T32" s="1531" t="str">
        <f t="shared" si="9"/>
        <v>--</v>
      </c>
      <c r="U32" s="1535">
        <f t="shared" si="10"/>
      </c>
      <c r="V32" s="1536">
        <f t="shared" si="11"/>
      </c>
      <c r="W32" s="1479"/>
    </row>
    <row r="33" spans="1:23" ht="16.5" customHeight="1">
      <c r="A33" s="760"/>
      <c r="B33" s="775"/>
      <c r="C33" s="1021" t="s">
        <v>401</v>
      </c>
      <c r="D33" s="337"/>
      <c r="E33" s="338"/>
      <c r="F33" s="339"/>
      <c r="G33" s="512"/>
      <c r="H33" s="1521">
        <f t="shared" si="0"/>
        <v>0</v>
      </c>
      <c r="I33" s="1538"/>
      <c r="J33" s="1538"/>
      <c r="K33" s="1523">
        <f t="shared" si="1"/>
      </c>
      <c r="L33" s="1524">
        <f t="shared" si="2"/>
      </c>
      <c r="M33" s="1690"/>
      <c r="N33" s="1526">
        <f t="shared" si="3"/>
      </c>
      <c r="O33" s="1691">
        <f t="shared" si="4"/>
      </c>
      <c r="P33" s="864">
        <f t="shared" si="5"/>
        <v>20</v>
      </c>
      <c r="Q33" s="1528" t="str">
        <f t="shared" si="6"/>
        <v>--</v>
      </c>
      <c r="R33" s="1529" t="str">
        <f t="shared" si="7"/>
        <v>--</v>
      </c>
      <c r="S33" s="1530" t="str">
        <f t="shared" si="8"/>
        <v>--</v>
      </c>
      <c r="T33" s="1531" t="str">
        <f t="shared" si="9"/>
        <v>--</v>
      </c>
      <c r="U33" s="1535">
        <f t="shared" si="10"/>
      </c>
      <c r="V33" s="1536">
        <f t="shared" si="11"/>
      </c>
      <c r="W33" s="1479"/>
    </row>
    <row r="34" spans="1:23" ht="16.5" customHeight="1">
      <c r="A34" s="760"/>
      <c r="B34" s="775"/>
      <c r="C34" s="1021" t="s">
        <v>431</v>
      </c>
      <c r="D34" s="337"/>
      <c r="E34" s="338"/>
      <c r="F34" s="339"/>
      <c r="G34" s="512"/>
      <c r="H34" s="1521">
        <f t="shared" si="0"/>
        <v>0</v>
      </c>
      <c r="I34" s="1538"/>
      <c r="J34" s="1538"/>
      <c r="K34" s="1523">
        <f t="shared" si="1"/>
      </c>
      <c r="L34" s="1524">
        <f t="shared" si="2"/>
      </c>
      <c r="M34" s="1690"/>
      <c r="N34" s="1526">
        <f t="shared" si="3"/>
      </c>
      <c r="O34" s="1691">
        <f t="shared" si="4"/>
      </c>
      <c r="P34" s="864">
        <f t="shared" si="5"/>
        <v>20</v>
      </c>
      <c r="Q34" s="1528" t="str">
        <f t="shared" si="6"/>
        <v>--</v>
      </c>
      <c r="R34" s="1529" t="str">
        <f t="shared" si="7"/>
        <v>--</v>
      </c>
      <c r="S34" s="1530" t="str">
        <f t="shared" si="8"/>
        <v>--</v>
      </c>
      <c r="T34" s="1531" t="str">
        <f t="shared" si="9"/>
        <v>--</v>
      </c>
      <c r="U34" s="1535">
        <f t="shared" si="10"/>
      </c>
      <c r="V34" s="1536">
        <f t="shared" si="11"/>
      </c>
      <c r="W34" s="1479"/>
    </row>
    <row r="35" spans="1:23" ht="16.5" customHeight="1">
      <c r="A35" s="760"/>
      <c r="B35" s="775"/>
      <c r="C35" s="1021" t="s">
        <v>432</v>
      </c>
      <c r="D35" s="337"/>
      <c r="E35" s="338"/>
      <c r="F35" s="339"/>
      <c r="G35" s="512"/>
      <c r="H35" s="1521">
        <f t="shared" si="0"/>
        <v>0</v>
      </c>
      <c r="I35" s="1538"/>
      <c r="J35" s="1538"/>
      <c r="K35" s="1523">
        <f t="shared" si="1"/>
      </c>
      <c r="L35" s="1524">
        <f t="shared" si="2"/>
      </c>
      <c r="M35" s="1690"/>
      <c r="N35" s="1526">
        <f t="shared" si="3"/>
      </c>
      <c r="O35" s="1691">
        <f t="shared" si="4"/>
      </c>
      <c r="P35" s="864">
        <f t="shared" si="5"/>
        <v>20</v>
      </c>
      <c r="Q35" s="1528" t="str">
        <f t="shared" si="6"/>
        <v>--</v>
      </c>
      <c r="R35" s="1529" t="str">
        <f t="shared" si="7"/>
        <v>--</v>
      </c>
      <c r="S35" s="1530" t="str">
        <f t="shared" si="8"/>
        <v>--</v>
      </c>
      <c r="T35" s="1531" t="str">
        <f t="shared" si="9"/>
        <v>--</v>
      </c>
      <c r="U35" s="1535">
        <f t="shared" si="10"/>
      </c>
      <c r="V35" s="1536">
        <f t="shared" si="11"/>
      </c>
      <c r="W35" s="1479"/>
    </row>
    <row r="36" spans="1:23" ht="16.5" customHeight="1">
      <c r="A36" s="760"/>
      <c r="B36" s="775"/>
      <c r="C36" s="1021" t="s">
        <v>450</v>
      </c>
      <c r="D36" s="1519"/>
      <c r="E36" s="1520"/>
      <c r="F36" s="1692"/>
      <c r="G36" s="1693"/>
      <c r="H36" s="1521">
        <f t="shared" si="0"/>
        <v>0</v>
      </c>
      <c r="I36" s="1538"/>
      <c r="J36" s="1538"/>
      <c r="K36" s="1523">
        <f t="shared" si="1"/>
      </c>
      <c r="L36" s="1524">
        <f t="shared" si="2"/>
      </c>
      <c r="M36" s="1690"/>
      <c r="N36" s="1526">
        <f t="shared" si="3"/>
      </c>
      <c r="O36" s="1691">
        <f t="shared" si="4"/>
      </c>
      <c r="P36" s="864">
        <f t="shared" si="5"/>
        <v>20</v>
      </c>
      <c r="Q36" s="1528" t="str">
        <f t="shared" si="6"/>
        <v>--</v>
      </c>
      <c r="R36" s="1529" t="str">
        <f t="shared" si="7"/>
        <v>--</v>
      </c>
      <c r="S36" s="1530" t="str">
        <f t="shared" si="8"/>
        <v>--</v>
      </c>
      <c r="T36" s="1531" t="str">
        <f t="shared" si="9"/>
        <v>--</v>
      </c>
      <c r="U36" s="1535">
        <f t="shared" si="10"/>
      </c>
      <c r="V36" s="1536">
        <f t="shared" si="11"/>
      </c>
      <c r="W36" s="1479"/>
    </row>
    <row r="37" spans="1:23" ht="16.5" customHeight="1" thickBot="1">
      <c r="A37" s="1371"/>
      <c r="B37" s="775"/>
      <c r="C37" s="1539"/>
      <c r="D37" s="1540"/>
      <c r="E37" s="1541"/>
      <c r="F37" s="1694"/>
      <c r="G37" s="1695"/>
      <c r="H37" s="1696"/>
      <c r="I37" s="1543"/>
      <c r="J37" s="1544"/>
      <c r="K37" s="1545"/>
      <c r="L37" s="1546"/>
      <c r="M37" s="1547"/>
      <c r="N37" s="1465"/>
      <c r="O37" s="1697"/>
      <c r="P37" s="1698"/>
      <c r="Q37" s="1699"/>
      <c r="R37" s="1700"/>
      <c r="S37" s="1701"/>
      <c r="T37" s="1702"/>
      <c r="U37" s="1550"/>
      <c r="V37" s="1551"/>
      <c r="W37" s="1479"/>
    </row>
    <row r="38" spans="1:23" ht="16.5" customHeight="1" thickBot="1" thickTop="1">
      <c r="A38" s="1371"/>
      <c r="B38" s="775"/>
      <c r="C38" s="1552"/>
      <c r="D38" s="1393"/>
      <c r="E38" s="1393"/>
      <c r="F38" s="1553"/>
      <c r="G38" s="1554"/>
      <c r="H38" s="1555"/>
      <c r="I38" s="1556"/>
      <c r="J38" s="1557"/>
      <c r="K38" s="1558"/>
      <c r="L38" s="1559"/>
      <c r="M38" s="1555"/>
      <c r="N38" s="1560"/>
      <c r="O38" s="1561"/>
      <c r="P38" s="1562"/>
      <c r="Q38" s="1595"/>
      <c r="R38" s="1599"/>
      <c r="S38" s="1599"/>
      <c r="T38" s="1599"/>
      <c r="U38" s="1596"/>
      <c r="V38" s="1566">
        <f>SUM(V30:V37)</f>
        <v>0</v>
      </c>
      <c r="W38" s="1479"/>
    </row>
    <row r="39" spans="1:23" ht="16.5" customHeight="1" thickBot="1" thickTop="1">
      <c r="A39" s="1371"/>
      <c r="B39" s="775"/>
      <c r="C39" s="1552"/>
      <c r="D39" s="1393"/>
      <c r="E39" s="1393"/>
      <c r="F39" s="1553"/>
      <c r="G39" s="1554"/>
      <c r="H39" s="1555"/>
      <c r="I39" s="1556"/>
      <c r="L39" s="1559"/>
      <c r="M39" s="1555"/>
      <c r="N39" s="1597"/>
      <c r="O39" s="1598"/>
      <c r="P39" s="1562"/>
      <c r="Q39" s="1595"/>
      <c r="R39" s="1599"/>
      <c r="S39" s="1599"/>
      <c r="T39" s="1599"/>
      <c r="U39" s="1596"/>
      <c r="V39" s="1596"/>
      <c r="W39" s="1479"/>
    </row>
    <row r="40" spans="2:23" s="760" customFormat="1" ht="33.75" customHeight="1" thickBot="1" thickTop="1">
      <c r="B40" s="775"/>
      <c r="C40" s="810" t="s">
        <v>32</v>
      </c>
      <c r="D40" s="811" t="s">
        <v>60</v>
      </c>
      <c r="E40" s="2824" t="s">
        <v>61</v>
      </c>
      <c r="F40" s="2826"/>
      <c r="G40" s="820" t="s">
        <v>35</v>
      </c>
      <c r="H40" s="814" t="s">
        <v>39</v>
      </c>
      <c r="I40" s="812" t="s">
        <v>40</v>
      </c>
      <c r="J40" s="1568" t="s">
        <v>41</v>
      </c>
      <c r="K40" s="1703" t="s">
        <v>42</v>
      </c>
      <c r="L40" s="1703" t="s">
        <v>43</v>
      </c>
      <c r="M40" s="815" t="s">
        <v>251</v>
      </c>
      <c r="N40" s="2824" t="s">
        <v>46</v>
      </c>
      <c r="O40" s="2825"/>
      <c r="P40" s="1398" t="s">
        <v>38</v>
      </c>
      <c r="Q40" s="1704" t="s">
        <v>73</v>
      </c>
      <c r="R40" s="1705" t="s">
        <v>74</v>
      </c>
      <c r="S40" s="1706"/>
      <c r="T40" s="1707" t="s">
        <v>51</v>
      </c>
      <c r="U40" s="820" t="s">
        <v>53</v>
      </c>
      <c r="V40" s="1411" t="s">
        <v>54</v>
      </c>
      <c r="W40" s="777"/>
    </row>
    <row r="41" spans="2:23" s="760" customFormat="1" ht="16.5" customHeight="1" thickTop="1">
      <c r="B41" s="775"/>
      <c r="C41" s="1413"/>
      <c r="D41" s="1708"/>
      <c r="E41" s="2827"/>
      <c r="F41" s="2828"/>
      <c r="G41" s="1708"/>
      <c r="H41" s="1709"/>
      <c r="I41" s="1708"/>
      <c r="J41" s="1708"/>
      <c r="K41" s="1708"/>
      <c r="L41" s="1708"/>
      <c r="M41" s="1708"/>
      <c r="N41" s="2831"/>
      <c r="O41" s="2832"/>
      <c r="P41" s="1710"/>
      <c r="Q41" s="1711"/>
      <c r="R41" s="1712"/>
      <c r="S41" s="1713"/>
      <c r="T41" s="1531"/>
      <c r="U41" s="1708"/>
      <c r="V41" s="1714"/>
      <c r="W41" s="777"/>
    </row>
    <row r="42" spans="2:23" s="760" customFormat="1" ht="16.5" customHeight="1">
      <c r="B42" s="775"/>
      <c r="C42" s="1021" t="s">
        <v>396</v>
      </c>
      <c r="D42" s="1715" t="s">
        <v>293</v>
      </c>
      <c r="E42" s="2829" t="s">
        <v>331</v>
      </c>
      <c r="F42" s="2830"/>
      <c r="G42" s="1716">
        <v>132</v>
      </c>
      <c r="H42" s="1717">
        <f aca="true" t="shared" si="12" ref="H42:H52">IF(G42=500,$M$19,IF(G42=220,$M$20,$M$21))</f>
        <v>103.083</v>
      </c>
      <c r="I42" s="1718">
        <v>40969.33819444444</v>
      </c>
      <c r="J42" s="1719">
        <v>40969.575</v>
      </c>
      <c r="K42" s="859">
        <f aca="true" t="shared" si="13" ref="K42:K52">IF(D42="","",(J42-I42)*24)</f>
        <v>5.683333333348855</v>
      </c>
      <c r="L42" s="860">
        <f aca="true" t="shared" si="14" ref="L42:L52">IF(D42="","",ROUND((J42-I42)*24*60,0))</f>
        <v>341</v>
      </c>
      <c r="M42" s="179" t="s">
        <v>253</v>
      </c>
      <c r="N42" s="2819" t="str">
        <f aca="true" t="shared" si="15" ref="N42:N50">IF(D42="","",IF(OR(M42="P",M42="RP"),"--","NO"))</f>
        <v>--</v>
      </c>
      <c r="O42" s="2820"/>
      <c r="P42" s="1720">
        <f aca="true" t="shared" si="16" ref="P42:P52">IF(G42=500,$N$19,IF(G42=220,$N$20,$N$21))</f>
        <v>40</v>
      </c>
      <c r="Q42" s="1721">
        <f aca="true" t="shared" si="17" ref="Q42:Q52">IF(M42="P",H42*P42*ROUND(L42/60,2)*0.1,"--")</f>
        <v>2342.04576</v>
      </c>
      <c r="R42" s="1712" t="str">
        <f aca="true" t="shared" si="18" ref="R42:R52">IF(AND(M42="F",N42="NO"),H42*P42,"--")</f>
        <v>--</v>
      </c>
      <c r="S42" s="1713" t="str">
        <f aca="true" t="shared" si="19" ref="S42:S52">IF(M42="F",H42*P42*ROUND(L42/60,2),"--")</f>
        <v>--</v>
      </c>
      <c r="T42" s="1531" t="str">
        <f aca="true" t="shared" si="20" ref="T42:T52">IF(M42="RF",H42*P42*ROUND(L42/60,2),"--")</f>
        <v>--</v>
      </c>
      <c r="U42" s="1722" t="str">
        <f aca="true" t="shared" si="21" ref="U42:U52">IF(D42="","","SI")</f>
        <v>SI</v>
      </c>
      <c r="V42" s="868">
        <f aca="true" t="shared" si="22" ref="V42:V52">IF(D42="","",SUM(Q42:T42)*IF(U42="SI",1,2))</f>
        <v>2342.04576</v>
      </c>
      <c r="W42" s="777"/>
    </row>
    <row r="43" spans="2:23" s="760" customFormat="1" ht="16.5" customHeight="1">
      <c r="B43" s="775"/>
      <c r="C43" s="1021" t="s">
        <v>397</v>
      </c>
      <c r="D43" s="1715" t="s">
        <v>293</v>
      </c>
      <c r="E43" s="2829" t="s">
        <v>290</v>
      </c>
      <c r="F43" s="2830"/>
      <c r="G43" s="1716">
        <v>132</v>
      </c>
      <c r="H43" s="1717">
        <f t="shared" si="12"/>
        <v>103.083</v>
      </c>
      <c r="I43" s="1718">
        <v>40969.353472222225</v>
      </c>
      <c r="J43" s="1719">
        <v>40969.71666666667</v>
      </c>
      <c r="K43" s="859">
        <f t="shared" si="13"/>
        <v>8.71666666661622</v>
      </c>
      <c r="L43" s="860">
        <f t="shared" si="14"/>
        <v>523</v>
      </c>
      <c r="M43" s="179" t="s">
        <v>253</v>
      </c>
      <c r="N43" s="2819" t="str">
        <f t="shared" si="15"/>
        <v>--</v>
      </c>
      <c r="O43" s="2820"/>
      <c r="P43" s="1720">
        <f t="shared" si="16"/>
        <v>40</v>
      </c>
      <c r="Q43" s="1721">
        <f t="shared" si="17"/>
        <v>3595.5350400000007</v>
      </c>
      <c r="R43" s="1712" t="str">
        <f t="shared" si="18"/>
        <v>--</v>
      </c>
      <c r="S43" s="1713" t="str">
        <f t="shared" si="19"/>
        <v>--</v>
      </c>
      <c r="T43" s="1531" t="str">
        <f t="shared" si="20"/>
        <v>--</v>
      </c>
      <c r="U43" s="1722" t="str">
        <f t="shared" si="21"/>
        <v>SI</v>
      </c>
      <c r="V43" s="868">
        <f t="shared" si="22"/>
        <v>3595.5350400000007</v>
      </c>
      <c r="W43" s="777"/>
    </row>
    <row r="44" spans="2:23" s="760" customFormat="1" ht="16.5" customHeight="1">
      <c r="B44" s="775"/>
      <c r="C44" s="1021" t="s">
        <v>401</v>
      </c>
      <c r="D44" s="1715" t="s">
        <v>518</v>
      </c>
      <c r="E44" s="2829" t="s">
        <v>519</v>
      </c>
      <c r="F44" s="2830"/>
      <c r="G44" s="1716">
        <v>132</v>
      </c>
      <c r="H44" s="1717">
        <f t="shared" si="12"/>
        <v>103.083</v>
      </c>
      <c r="I44" s="1718">
        <v>40969.43819444445</v>
      </c>
      <c r="J44" s="1719">
        <v>40969.58125</v>
      </c>
      <c r="K44" s="859">
        <f t="shared" si="13"/>
        <v>3.4333333333488554</v>
      </c>
      <c r="L44" s="860">
        <f t="shared" si="14"/>
        <v>206</v>
      </c>
      <c r="M44" s="179" t="s">
        <v>253</v>
      </c>
      <c r="N44" s="2819" t="str">
        <f t="shared" si="15"/>
        <v>--</v>
      </c>
      <c r="O44" s="2820"/>
      <c r="P44" s="1720">
        <f t="shared" si="16"/>
        <v>40</v>
      </c>
      <c r="Q44" s="1721">
        <f t="shared" si="17"/>
        <v>1414.2987600000001</v>
      </c>
      <c r="R44" s="1712" t="str">
        <f t="shared" si="18"/>
        <v>--</v>
      </c>
      <c r="S44" s="1713" t="str">
        <f t="shared" si="19"/>
        <v>--</v>
      </c>
      <c r="T44" s="1531" t="str">
        <f t="shared" si="20"/>
        <v>--</v>
      </c>
      <c r="U44" s="1722" t="str">
        <f t="shared" si="21"/>
        <v>SI</v>
      </c>
      <c r="V44" s="868">
        <f t="shared" si="22"/>
        <v>1414.2987600000001</v>
      </c>
      <c r="W44" s="777"/>
    </row>
    <row r="45" spans="2:23" s="760" customFormat="1" ht="16.5" customHeight="1">
      <c r="B45" s="775"/>
      <c r="C45" s="1021" t="s">
        <v>431</v>
      </c>
      <c r="D45" s="1715" t="s">
        <v>293</v>
      </c>
      <c r="E45" s="2829" t="s">
        <v>294</v>
      </c>
      <c r="F45" s="2830"/>
      <c r="G45" s="1716">
        <v>132</v>
      </c>
      <c r="H45" s="1717">
        <f t="shared" si="12"/>
        <v>103.083</v>
      </c>
      <c r="I45" s="1718">
        <v>40969.57638888889</v>
      </c>
      <c r="J45" s="1719">
        <v>40969.77916666667</v>
      </c>
      <c r="K45" s="859">
        <f t="shared" si="13"/>
        <v>4.866666666639503</v>
      </c>
      <c r="L45" s="860">
        <f t="shared" si="14"/>
        <v>292</v>
      </c>
      <c r="M45" s="179" t="s">
        <v>253</v>
      </c>
      <c r="N45" s="2819" t="str">
        <f t="shared" si="15"/>
        <v>--</v>
      </c>
      <c r="O45" s="2820"/>
      <c r="P45" s="1720">
        <f t="shared" si="16"/>
        <v>40</v>
      </c>
      <c r="Q45" s="1721">
        <f t="shared" si="17"/>
        <v>2008.0568400000002</v>
      </c>
      <c r="R45" s="1712" t="str">
        <f t="shared" si="18"/>
        <v>--</v>
      </c>
      <c r="S45" s="1713" t="str">
        <f t="shared" si="19"/>
        <v>--</v>
      </c>
      <c r="T45" s="1531" t="str">
        <f t="shared" si="20"/>
        <v>--</v>
      </c>
      <c r="U45" s="1722" t="str">
        <f t="shared" si="21"/>
        <v>SI</v>
      </c>
      <c r="V45" s="868">
        <f t="shared" si="22"/>
        <v>2008.0568400000002</v>
      </c>
      <c r="W45" s="777"/>
    </row>
    <row r="46" spans="2:23" s="760" customFormat="1" ht="16.5" customHeight="1">
      <c r="B46" s="775"/>
      <c r="C46" s="1021" t="s">
        <v>432</v>
      </c>
      <c r="D46" s="1715" t="s">
        <v>293</v>
      </c>
      <c r="E46" s="2829" t="s">
        <v>520</v>
      </c>
      <c r="F46" s="2830"/>
      <c r="G46" s="1716">
        <v>500</v>
      </c>
      <c r="H46" s="1717">
        <f t="shared" si="12"/>
        <v>128.853</v>
      </c>
      <c r="I46" s="1718">
        <v>40976.396527777775</v>
      </c>
      <c r="J46" s="1719">
        <v>40976.81319444445</v>
      </c>
      <c r="K46" s="859">
        <f t="shared" si="13"/>
        <v>10.000000000116415</v>
      </c>
      <c r="L46" s="860">
        <f t="shared" si="14"/>
        <v>600</v>
      </c>
      <c r="M46" s="179" t="s">
        <v>253</v>
      </c>
      <c r="N46" s="2819" t="str">
        <f t="shared" si="15"/>
        <v>--</v>
      </c>
      <c r="O46" s="2820"/>
      <c r="P46" s="1720">
        <f t="shared" si="16"/>
        <v>200</v>
      </c>
      <c r="Q46" s="1721">
        <f t="shared" si="17"/>
        <v>25770.600000000006</v>
      </c>
      <c r="R46" s="1712" t="str">
        <f t="shared" si="18"/>
        <v>--</v>
      </c>
      <c r="S46" s="1713" t="str">
        <f t="shared" si="19"/>
        <v>--</v>
      </c>
      <c r="T46" s="1531" t="str">
        <f t="shared" si="20"/>
        <v>--</v>
      </c>
      <c r="U46" s="1722" t="str">
        <f t="shared" si="21"/>
        <v>SI</v>
      </c>
      <c r="V46" s="868">
        <f t="shared" si="22"/>
        <v>25770.600000000006</v>
      </c>
      <c r="W46" s="777"/>
    </row>
    <row r="47" spans="2:23" s="760" customFormat="1" ht="16.5" customHeight="1">
      <c r="B47" s="775"/>
      <c r="C47" s="1021" t="s">
        <v>450</v>
      </c>
      <c r="D47" s="1715" t="s">
        <v>521</v>
      </c>
      <c r="E47" s="2829" t="s">
        <v>522</v>
      </c>
      <c r="F47" s="2830"/>
      <c r="G47" s="1716">
        <v>132</v>
      </c>
      <c r="H47" s="1717">
        <f t="shared" si="12"/>
        <v>103.083</v>
      </c>
      <c r="I47" s="1718">
        <v>40982.381944444445</v>
      </c>
      <c r="J47" s="1719">
        <v>40982.71666666667</v>
      </c>
      <c r="K47" s="859">
        <f t="shared" si="13"/>
        <v>8.033333333325572</v>
      </c>
      <c r="L47" s="860">
        <f t="shared" si="14"/>
        <v>482</v>
      </c>
      <c r="M47" s="179" t="s">
        <v>253</v>
      </c>
      <c r="N47" s="2819" t="str">
        <f t="shared" si="15"/>
        <v>--</v>
      </c>
      <c r="O47" s="2820"/>
      <c r="P47" s="1720">
        <f t="shared" si="16"/>
        <v>40</v>
      </c>
      <c r="Q47" s="1721">
        <f t="shared" si="17"/>
        <v>3311.02596</v>
      </c>
      <c r="R47" s="1712" t="str">
        <f t="shared" si="18"/>
        <v>--</v>
      </c>
      <c r="S47" s="1713" t="str">
        <f t="shared" si="19"/>
        <v>--</v>
      </c>
      <c r="T47" s="1531" t="str">
        <f t="shared" si="20"/>
        <v>--</v>
      </c>
      <c r="U47" s="1722" t="str">
        <f t="shared" si="21"/>
        <v>SI</v>
      </c>
      <c r="V47" s="868">
        <f t="shared" si="22"/>
        <v>3311.02596</v>
      </c>
      <c r="W47" s="777"/>
    </row>
    <row r="48" spans="2:23" s="760" customFormat="1" ht="16.5" customHeight="1">
      <c r="B48" s="775"/>
      <c r="C48" s="1021" t="s">
        <v>451</v>
      </c>
      <c r="D48" s="1715" t="s">
        <v>293</v>
      </c>
      <c r="E48" s="2829" t="s">
        <v>294</v>
      </c>
      <c r="F48" s="2830"/>
      <c r="G48" s="1716">
        <v>132</v>
      </c>
      <c r="H48" s="1717">
        <f t="shared" si="12"/>
        <v>103.083</v>
      </c>
      <c r="I48" s="1718">
        <v>40983.43541666667</v>
      </c>
      <c r="J48" s="1719">
        <v>40983.586805555555</v>
      </c>
      <c r="K48" s="859">
        <f t="shared" si="13"/>
        <v>3.6333333333022892</v>
      </c>
      <c r="L48" s="860">
        <f t="shared" si="14"/>
        <v>218</v>
      </c>
      <c r="M48" s="179" t="s">
        <v>253</v>
      </c>
      <c r="N48" s="2819" t="str">
        <f t="shared" si="15"/>
        <v>--</v>
      </c>
      <c r="O48" s="2820"/>
      <c r="P48" s="1720">
        <f t="shared" si="16"/>
        <v>40</v>
      </c>
      <c r="Q48" s="1721">
        <f t="shared" si="17"/>
        <v>1496.76516</v>
      </c>
      <c r="R48" s="1712" t="str">
        <f t="shared" si="18"/>
        <v>--</v>
      </c>
      <c r="S48" s="1713" t="str">
        <f t="shared" si="19"/>
        <v>--</v>
      </c>
      <c r="T48" s="1531" t="str">
        <f t="shared" si="20"/>
        <v>--</v>
      </c>
      <c r="U48" s="1722" t="str">
        <f t="shared" si="21"/>
        <v>SI</v>
      </c>
      <c r="V48" s="868">
        <f t="shared" si="22"/>
        <v>1496.76516</v>
      </c>
      <c r="W48" s="777"/>
    </row>
    <row r="49" spans="2:23" s="760" customFormat="1" ht="16.5" customHeight="1">
      <c r="B49" s="775"/>
      <c r="C49" s="1021" t="s">
        <v>452</v>
      </c>
      <c r="D49" s="1715"/>
      <c r="E49" s="2829"/>
      <c r="F49" s="2766"/>
      <c r="G49" s="1716"/>
      <c r="H49" s="1717">
        <f t="shared" si="12"/>
        <v>103.083</v>
      </c>
      <c r="I49" s="1718"/>
      <c r="J49" s="1719"/>
      <c r="K49" s="859">
        <f t="shared" si="13"/>
      </c>
      <c r="L49" s="860">
        <f t="shared" si="14"/>
      </c>
      <c r="M49" s="1443"/>
      <c r="N49" s="2819">
        <f t="shared" si="15"/>
      </c>
      <c r="O49" s="2820"/>
      <c r="P49" s="1720">
        <f t="shared" si="16"/>
        <v>40</v>
      </c>
      <c r="Q49" s="1721" t="str">
        <f t="shared" si="17"/>
        <v>--</v>
      </c>
      <c r="R49" s="1712" t="str">
        <f t="shared" si="18"/>
        <v>--</v>
      </c>
      <c r="S49" s="1713" t="str">
        <f t="shared" si="19"/>
        <v>--</v>
      </c>
      <c r="T49" s="1531" t="str">
        <f t="shared" si="20"/>
        <v>--</v>
      </c>
      <c r="U49" s="1722">
        <f t="shared" si="21"/>
      </c>
      <c r="V49" s="868">
        <f t="shared" si="22"/>
      </c>
      <c r="W49" s="777"/>
    </row>
    <row r="50" spans="2:23" s="760" customFormat="1" ht="16.5" customHeight="1">
      <c r="B50" s="775"/>
      <c r="C50" s="1021" t="s">
        <v>453</v>
      </c>
      <c r="D50" s="1715"/>
      <c r="E50" s="2829"/>
      <c r="F50" s="2766"/>
      <c r="G50" s="1716"/>
      <c r="H50" s="1717">
        <f t="shared" si="12"/>
        <v>103.083</v>
      </c>
      <c r="I50" s="1718"/>
      <c r="J50" s="1719"/>
      <c r="K50" s="859">
        <f t="shared" si="13"/>
      </c>
      <c r="L50" s="860">
        <f t="shared" si="14"/>
      </c>
      <c r="M50" s="1443"/>
      <c r="N50" s="2819">
        <f t="shared" si="15"/>
      </c>
      <c r="O50" s="2820"/>
      <c r="P50" s="1720">
        <f t="shared" si="16"/>
        <v>40</v>
      </c>
      <c r="Q50" s="1721" t="str">
        <f t="shared" si="17"/>
        <v>--</v>
      </c>
      <c r="R50" s="1712" t="str">
        <f t="shared" si="18"/>
        <v>--</v>
      </c>
      <c r="S50" s="1713" t="str">
        <f t="shared" si="19"/>
        <v>--</v>
      </c>
      <c r="T50" s="1531" t="str">
        <f t="shared" si="20"/>
        <v>--</v>
      </c>
      <c r="U50" s="1722">
        <f t="shared" si="21"/>
      </c>
      <c r="V50" s="868">
        <f t="shared" si="22"/>
      </c>
      <c r="W50" s="777"/>
    </row>
    <row r="51" spans="2:23" s="760" customFormat="1" ht="16.5" customHeight="1">
      <c r="B51" s="775"/>
      <c r="C51" s="1021" t="s">
        <v>454</v>
      </c>
      <c r="D51" s="1715"/>
      <c r="E51" s="2829"/>
      <c r="F51" s="2766"/>
      <c r="G51" s="1716"/>
      <c r="H51" s="1717">
        <f t="shared" si="12"/>
        <v>103.083</v>
      </c>
      <c r="I51" s="1718"/>
      <c r="J51" s="1719"/>
      <c r="K51" s="859">
        <f t="shared" si="13"/>
      </c>
      <c r="L51" s="860">
        <f t="shared" si="14"/>
      </c>
      <c r="M51" s="1443"/>
      <c r="N51" s="2819">
        <f>IF(D51="","",IF(OR(M51="P",M51="RP"),"--","NO"))</f>
      </c>
      <c r="O51" s="2820"/>
      <c r="P51" s="1720">
        <f t="shared" si="16"/>
        <v>40</v>
      </c>
      <c r="Q51" s="1721" t="str">
        <f t="shared" si="17"/>
        <v>--</v>
      </c>
      <c r="R51" s="1712" t="str">
        <f t="shared" si="18"/>
        <v>--</v>
      </c>
      <c r="S51" s="1713" t="str">
        <f t="shared" si="19"/>
        <v>--</v>
      </c>
      <c r="T51" s="1531" t="str">
        <f t="shared" si="20"/>
        <v>--</v>
      </c>
      <c r="U51" s="1722">
        <f t="shared" si="21"/>
      </c>
      <c r="V51" s="868">
        <f t="shared" si="22"/>
      </c>
      <c r="W51" s="777"/>
    </row>
    <row r="52" spans="2:23" s="760" customFormat="1" ht="16.5" customHeight="1">
      <c r="B52" s="775"/>
      <c r="C52" s="1021" t="s">
        <v>455</v>
      </c>
      <c r="D52" s="1715"/>
      <c r="E52" s="1576"/>
      <c r="F52" s="1723"/>
      <c r="G52" s="1716"/>
      <c r="H52" s="1717">
        <f t="shared" si="12"/>
        <v>103.083</v>
      </c>
      <c r="I52" s="1718"/>
      <c r="J52" s="1719"/>
      <c r="K52" s="859">
        <f t="shared" si="13"/>
      </c>
      <c r="L52" s="860">
        <f t="shared" si="14"/>
      </c>
      <c r="M52" s="1443"/>
      <c r="N52" s="2819">
        <f>IF(D52="","",IF(OR(M52="P",M52="RP"),"--","NO"))</f>
      </c>
      <c r="O52" s="2820"/>
      <c r="P52" s="1720">
        <f t="shared" si="16"/>
        <v>40</v>
      </c>
      <c r="Q52" s="1721" t="str">
        <f t="shared" si="17"/>
        <v>--</v>
      </c>
      <c r="R52" s="1712" t="str">
        <f t="shared" si="18"/>
        <v>--</v>
      </c>
      <c r="S52" s="1713" t="str">
        <f t="shared" si="19"/>
        <v>--</v>
      </c>
      <c r="T52" s="1531" t="str">
        <f t="shared" si="20"/>
        <v>--</v>
      </c>
      <c r="U52" s="1722">
        <f t="shared" si="21"/>
      </c>
      <c r="V52" s="868">
        <f t="shared" si="22"/>
      </c>
      <c r="W52" s="777"/>
    </row>
    <row r="53" spans="2:28" s="760" customFormat="1" ht="16.5" customHeight="1" thickBot="1">
      <c r="B53" s="775"/>
      <c r="C53" s="1539"/>
      <c r="D53" s="1724"/>
      <c r="E53" s="2835"/>
      <c r="F53" s="2836"/>
      <c r="G53" s="1725"/>
      <c r="H53" s="1726"/>
      <c r="I53" s="1727"/>
      <c r="J53" s="1728"/>
      <c r="K53" s="1729"/>
      <c r="L53" s="1730"/>
      <c r="M53" s="1246"/>
      <c r="N53" s="2833"/>
      <c r="O53" s="2834"/>
      <c r="P53" s="1731"/>
      <c r="Q53" s="1732"/>
      <c r="R53" s="1733"/>
      <c r="S53" s="1734"/>
      <c r="T53" s="1735"/>
      <c r="U53" s="1736"/>
      <c r="V53" s="1737"/>
      <c r="W53" s="777"/>
      <c r="X53" s="781"/>
      <c r="Y53" s="781"/>
      <c r="Z53" s="781"/>
      <c r="AA53" s="781"/>
      <c r="AB53" s="781"/>
    </row>
    <row r="54" spans="1:23" ht="17.25" thickBot="1" thickTop="1">
      <c r="A54" s="1371"/>
      <c r="B54" s="1372"/>
      <c r="C54" s="1376"/>
      <c r="D54" s="1601"/>
      <c r="E54" s="1602"/>
      <c r="F54" s="1603"/>
      <c r="G54" s="1604"/>
      <c r="H54" s="1604"/>
      <c r="I54" s="1602"/>
      <c r="J54" s="1605"/>
      <c r="K54" s="1605"/>
      <c r="L54" s="1602"/>
      <c r="M54" s="1602"/>
      <c r="N54" s="1602"/>
      <c r="O54" s="1606"/>
      <c r="P54" s="1602"/>
      <c r="Q54" s="1602"/>
      <c r="R54" s="1607"/>
      <c r="S54" s="1608"/>
      <c r="T54" s="1608"/>
      <c r="U54" s="1609"/>
      <c r="V54" s="1566">
        <f>SUM(V42:V53)</f>
        <v>39938.32752000001</v>
      </c>
      <c r="W54" s="1591"/>
    </row>
    <row r="55" spans="1:23" ht="21" customHeight="1" thickBot="1" thickTop="1">
      <c r="A55" s="1371"/>
      <c r="B55" s="1372"/>
      <c r="C55" s="1376"/>
      <c r="D55" s="1601"/>
      <c r="E55" s="1602"/>
      <c r="F55" s="1603"/>
      <c r="G55" s="1604"/>
      <c r="H55" s="1604"/>
      <c r="I55" s="1391" t="s">
        <v>402</v>
      </c>
      <c r="J55" s="1392">
        <f>+V54+V38</f>
        <v>39938.32752000001</v>
      </c>
      <c r="L55" s="1602"/>
      <c r="M55" s="1602"/>
      <c r="N55" s="1602"/>
      <c r="O55" s="1606"/>
      <c r="P55" s="1602"/>
      <c r="Q55" s="1602"/>
      <c r="R55" s="1607"/>
      <c r="S55" s="1608"/>
      <c r="T55" s="1608"/>
      <c r="U55" s="1609"/>
      <c r="W55" s="1591"/>
    </row>
    <row r="56" spans="1:23" ht="13.5" customHeight="1" thickTop="1">
      <c r="A56" s="1371"/>
      <c r="B56" s="1372"/>
      <c r="C56" s="1376"/>
      <c r="D56" s="1601"/>
      <c r="E56" s="1602"/>
      <c r="F56" s="1603"/>
      <c r="G56" s="1604"/>
      <c r="H56" s="1604"/>
      <c r="I56" s="1602"/>
      <c r="J56" s="1605"/>
      <c r="K56" s="1605"/>
      <c r="L56" s="1602"/>
      <c r="M56" s="1602"/>
      <c r="N56" s="1602"/>
      <c r="O56" s="1606"/>
      <c r="P56" s="1602"/>
      <c r="Q56" s="1602"/>
      <c r="R56" s="1607"/>
      <c r="S56" s="1608"/>
      <c r="T56" s="1608"/>
      <c r="U56" s="1609"/>
      <c r="W56" s="1591"/>
    </row>
    <row r="57" spans="1:23" ht="16.5" customHeight="1">
      <c r="A57" s="1371"/>
      <c r="B57" s="1372"/>
      <c r="C57" s="1610" t="s">
        <v>403</v>
      </c>
      <c r="D57" s="1611" t="s">
        <v>422</v>
      </c>
      <c r="E57" s="1602"/>
      <c r="F57" s="1603"/>
      <c r="G57" s="1604"/>
      <c r="H57" s="1604"/>
      <c r="I57" s="1602"/>
      <c r="J57" s="1605"/>
      <c r="K57" s="1605"/>
      <c r="L57" s="1602"/>
      <c r="M57" s="1602"/>
      <c r="N57" s="1602"/>
      <c r="O57" s="1606"/>
      <c r="P57" s="1602"/>
      <c r="Q57" s="1602"/>
      <c r="R57" s="1607"/>
      <c r="S57" s="1608"/>
      <c r="T57" s="1608"/>
      <c r="U57" s="1609"/>
      <c r="W57" s="1591"/>
    </row>
    <row r="58" spans="1:23" ht="16.5" customHeight="1">
      <c r="A58" s="1371"/>
      <c r="B58" s="1372"/>
      <c r="C58" s="1610"/>
      <c r="D58" s="1601"/>
      <c r="E58" s="1602"/>
      <c r="F58" s="1603"/>
      <c r="G58" s="1604"/>
      <c r="H58" s="1604"/>
      <c r="I58" s="1602"/>
      <c r="J58" s="1605"/>
      <c r="K58" s="1605"/>
      <c r="L58" s="1602"/>
      <c r="M58" s="1602"/>
      <c r="N58" s="1602"/>
      <c r="O58" s="1606"/>
      <c r="P58" s="1602"/>
      <c r="Q58" s="1602"/>
      <c r="R58" s="1602"/>
      <c r="S58" s="1607"/>
      <c r="T58" s="1608"/>
      <c r="W58" s="1591"/>
    </row>
    <row r="59" spans="2:23" s="1371" customFormat="1" ht="16.5" customHeight="1">
      <c r="B59" s="1372"/>
      <c r="C59" s="1376"/>
      <c r="D59" s="1612" t="s">
        <v>456</v>
      </c>
      <c r="E59" s="1482" t="s">
        <v>409</v>
      </c>
      <c r="F59" s="1482" t="s">
        <v>405</v>
      </c>
      <c r="G59" s="1613" t="s">
        <v>426</v>
      </c>
      <c r="H59" s="781"/>
      <c r="I59" s="1738"/>
      <c r="J59" s="1625" t="s">
        <v>410</v>
      </c>
      <c r="K59" s="1625"/>
      <c r="L59" s="1482" t="s">
        <v>405</v>
      </c>
      <c r="M59" s="781" t="s">
        <v>457</v>
      </c>
      <c r="O59" s="1613" t="s">
        <v>470</v>
      </c>
      <c r="P59" s="781"/>
      <c r="Q59" s="1617"/>
      <c r="R59" s="1617"/>
      <c r="S59" s="1373"/>
      <c r="T59" s="781"/>
      <c r="U59" s="781"/>
      <c r="V59" s="781"/>
      <c r="W59" s="1591"/>
    </row>
    <row r="60" spans="2:23" s="1371" customFormat="1" ht="16.5" customHeight="1">
      <c r="B60" s="1372"/>
      <c r="C60" s="1376"/>
      <c r="D60" s="1739" t="s">
        <v>458</v>
      </c>
      <c r="E60" s="1739">
        <v>300</v>
      </c>
      <c r="F60" s="1740">
        <v>500</v>
      </c>
      <c r="G60" s="2823">
        <f>+E60*$F$20*$F$21</f>
        <v>144856.80000000002</v>
      </c>
      <c r="H60" s="2823"/>
      <c r="I60" s="2823"/>
      <c r="J60" s="1742" t="s">
        <v>459</v>
      </c>
      <c r="K60" s="1742"/>
      <c r="L60" s="1739">
        <v>500</v>
      </c>
      <c r="M60" s="1739">
        <v>2</v>
      </c>
      <c r="O60" s="2823">
        <f>+M60*$F$20*$M$19</f>
        <v>191733.26400000002</v>
      </c>
      <c r="P60" s="2823"/>
      <c r="Q60" s="2823"/>
      <c r="R60" s="2823"/>
      <c r="S60" s="2823"/>
      <c r="T60" s="2823"/>
      <c r="U60" s="2823"/>
      <c r="V60" s="781"/>
      <c r="W60" s="1591"/>
    </row>
    <row r="61" spans="2:23" s="1371" customFormat="1" ht="16.5" customHeight="1">
      <c r="B61" s="1372"/>
      <c r="C61" s="1376"/>
      <c r="D61" s="1739" t="s">
        <v>460</v>
      </c>
      <c r="E61" s="1493">
        <v>300</v>
      </c>
      <c r="F61" s="1740">
        <v>500</v>
      </c>
      <c r="G61" s="2823">
        <f>+E61*$F$20*$F$21</f>
        <v>144856.80000000002</v>
      </c>
      <c r="H61" s="2823"/>
      <c r="I61" s="2823"/>
      <c r="J61" s="1742" t="s">
        <v>459</v>
      </c>
      <c r="K61" s="1742"/>
      <c r="L61" s="1739">
        <v>132</v>
      </c>
      <c r="M61" s="1739">
        <v>9</v>
      </c>
      <c r="O61" s="2823">
        <f>+M61*$F$20*$M$21</f>
        <v>690243.768</v>
      </c>
      <c r="P61" s="2823"/>
      <c r="Q61" s="2823"/>
      <c r="R61" s="2823"/>
      <c r="S61" s="2823"/>
      <c r="T61" s="2823"/>
      <c r="U61" s="2823"/>
      <c r="V61" s="781"/>
      <c r="W61" s="1591"/>
    </row>
    <row r="62" spans="2:23" s="1371" customFormat="1" ht="16.5" customHeight="1">
      <c r="B62" s="1372"/>
      <c r="C62" s="1376"/>
      <c r="D62" s="1743" t="s">
        <v>461</v>
      </c>
      <c r="E62" s="1493">
        <v>300</v>
      </c>
      <c r="F62" s="1740">
        <v>500</v>
      </c>
      <c r="G62" s="2823">
        <f>+E62*$F$20*$F$21</f>
        <v>144856.80000000002</v>
      </c>
      <c r="H62" s="2823"/>
      <c r="I62" s="2823"/>
      <c r="J62" s="1742" t="s">
        <v>462</v>
      </c>
      <c r="K62" s="1742"/>
      <c r="L62" s="1739">
        <v>132</v>
      </c>
      <c r="M62" s="1739">
        <v>8</v>
      </c>
      <c r="O62" s="2823">
        <f>+M62*$F$20*$M$21</f>
        <v>613550.016</v>
      </c>
      <c r="P62" s="2823"/>
      <c r="Q62" s="2823"/>
      <c r="R62" s="2823"/>
      <c r="S62" s="2823"/>
      <c r="T62" s="2823"/>
      <c r="U62" s="2823"/>
      <c r="V62" s="781"/>
      <c r="W62" s="1591"/>
    </row>
    <row r="63" spans="1:23" ht="16.5" customHeight="1">
      <c r="A63" s="1371"/>
      <c r="B63" s="1372"/>
      <c r="C63" s="1376"/>
      <c r="D63" s="1743" t="s">
        <v>463</v>
      </c>
      <c r="E63" s="1493">
        <v>300</v>
      </c>
      <c r="F63" s="1740">
        <v>500</v>
      </c>
      <c r="G63" s="2823">
        <f>+E63*$F$20*$F$21</f>
        <v>144856.80000000002</v>
      </c>
      <c r="H63" s="2823"/>
      <c r="I63" s="2823"/>
      <c r="J63" s="1742" t="s">
        <v>464</v>
      </c>
      <c r="K63" s="1742"/>
      <c r="L63" s="1739">
        <v>132</v>
      </c>
      <c r="M63" s="1739">
        <v>5</v>
      </c>
      <c r="O63" s="2822">
        <f>+M63*$F$20*$M$21</f>
        <v>383468.76</v>
      </c>
      <c r="P63" s="2822"/>
      <c r="Q63" s="2822"/>
      <c r="R63" s="2822"/>
      <c r="S63" s="2822"/>
      <c r="T63" s="2822"/>
      <c r="U63" s="2822"/>
      <c r="W63" s="1591"/>
    </row>
    <row r="64" spans="1:23" ht="16.5" customHeight="1">
      <c r="A64" s="1371"/>
      <c r="B64" s="1372"/>
      <c r="C64" s="1376"/>
      <c r="D64" s="1743" t="s">
        <v>465</v>
      </c>
      <c r="E64" s="1493">
        <v>600</v>
      </c>
      <c r="F64" s="1740">
        <v>500</v>
      </c>
      <c r="G64" s="2822">
        <f>+E64*$F$20*$F$21</f>
        <v>289713.60000000003</v>
      </c>
      <c r="H64" s="2822"/>
      <c r="I64" s="2822"/>
      <c r="M64" s="1739"/>
      <c r="O64" s="2823">
        <f>SUM(O60:P63)</f>
        <v>1878995.808</v>
      </c>
      <c r="P64" s="2823"/>
      <c r="Q64" s="2823"/>
      <c r="R64" s="2823"/>
      <c r="S64" s="2823"/>
      <c r="T64" s="2823"/>
      <c r="U64" s="2823"/>
      <c r="W64" s="1591"/>
    </row>
    <row r="65" spans="1:23" ht="16.5" customHeight="1">
      <c r="A65" s="1371"/>
      <c r="B65" s="1372"/>
      <c r="C65" s="1376"/>
      <c r="D65" s="1743"/>
      <c r="E65" s="1493"/>
      <c r="F65" s="1740"/>
      <c r="G65" s="2823">
        <f>SUM(G60:G64)</f>
        <v>869140.8</v>
      </c>
      <c r="H65" s="2823"/>
      <c r="I65" s="2823"/>
      <c r="M65" s="1739"/>
      <c r="N65" s="1738"/>
      <c r="O65" s="1738"/>
      <c r="P65" s="1744"/>
      <c r="Q65" s="1744"/>
      <c r="R65" s="1744"/>
      <c r="S65" s="1744"/>
      <c r="W65" s="1591"/>
    </row>
    <row r="66" spans="1:23" ht="16.5" customHeight="1">
      <c r="A66" s="1371"/>
      <c r="B66" s="1372"/>
      <c r="C66" s="1376"/>
      <c r="D66" s="1743"/>
      <c r="E66" s="1493"/>
      <c r="F66" s="1740"/>
      <c r="G66" s="1741"/>
      <c r="H66" s="1741"/>
      <c r="I66" s="1741"/>
      <c r="M66" s="1739"/>
      <c r="N66" s="1738"/>
      <c r="O66" s="1738"/>
      <c r="P66" s="1744"/>
      <c r="Q66" s="1744"/>
      <c r="R66" s="1744"/>
      <c r="S66" s="1744"/>
      <c r="W66" s="1591"/>
    </row>
    <row r="67" spans="1:23" ht="16.5" customHeight="1">
      <c r="A67" s="1371"/>
      <c r="B67" s="1372"/>
      <c r="C67" s="2821" t="s">
        <v>466</v>
      </c>
      <c r="D67" s="2821"/>
      <c r="E67" s="1493" t="s">
        <v>467</v>
      </c>
      <c r="F67" s="1745">
        <v>11550.29</v>
      </c>
      <c r="G67" s="1741"/>
      <c r="H67" s="1741"/>
      <c r="I67" s="1741"/>
      <c r="M67" s="1739"/>
      <c r="N67" s="1738"/>
      <c r="O67" s="1738"/>
      <c r="P67" s="1744"/>
      <c r="Q67" s="1744"/>
      <c r="R67" s="1744"/>
      <c r="S67" s="1744"/>
      <c r="W67" s="1591"/>
    </row>
    <row r="68" spans="1:23" ht="16.5" customHeight="1" thickBot="1">
      <c r="A68" s="1371"/>
      <c r="B68" s="1372"/>
      <c r="C68" s="1376"/>
      <c r="D68" s="1612"/>
      <c r="E68" s="1626"/>
      <c r="F68" s="1626"/>
      <c r="G68" s="1482"/>
      <c r="I68" s="1615"/>
      <c r="J68" s="1613"/>
      <c r="L68" s="1614"/>
      <c r="M68" s="1615"/>
      <c r="N68" s="1616"/>
      <c r="O68" s="1617"/>
      <c r="P68" s="1617"/>
      <c r="Q68" s="1617"/>
      <c r="R68" s="1617"/>
      <c r="S68" s="1617"/>
      <c r="W68" s="1591"/>
    </row>
    <row r="69" spans="1:23" ht="21" customHeight="1" thickBot="1" thickTop="1">
      <c r="A69" s="1371"/>
      <c r="B69" s="1372"/>
      <c r="C69" s="1376"/>
      <c r="D69" s="1482"/>
      <c r="E69" s="1746"/>
      <c r="F69" s="1746"/>
      <c r="G69" s="1620"/>
      <c r="H69" s="1361"/>
      <c r="I69" s="1391" t="s">
        <v>413</v>
      </c>
      <c r="J69" s="1392">
        <f>+G65+O64+F67</f>
        <v>2759686.898</v>
      </c>
      <c r="L69" s="1622"/>
      <c r="M69" s="1361"/>
      <c r="N69" s="1623"/>
      <c r="O69" s="1744"/>
      <c r="P69" s="1744"/>
      <c r="Q69" s="1744"/>
      <c r="R69" s="1744"/>
      <c r="S69" s="1744"/>
      <c r="U69" s="1391" t="s">
        <v>468</v>
      </c>
      <c r="V69" s="1392">
        <v>1018802.7860000002</v>
      </c>
      <c r="W69" s="1591"/>
    </row>
    <row r="70" spans="1:23" ht="16.5" customHeight="1" thickTop="1">
      <c r="A70" s="1371"/>
      <c r="B70" s="1372"/>
      <c r="C70" s="1376"/>
      <c r="D70" s="1605"/>
      <c r="E70" s="1381"/>
      <c r="F70" s="1482"/>
      <c r="G70" s="1482"/>
      <c r="H70" s="1483"/>
      <c r="J70" s="1482"/>
      <c r="L70" s="1629"/>
      <c r="M70" s="1616"/>
      <c r="N70" s="1616"/>
      <c r="O70" s="1617"/>
      <c r="P70" s="1617"/>
      <c r="Q70" s="1617"/>
      <c r="R70" s="1617"/>
      <c r="S70" s="1617"/>
      <c r="W70" s="1591"/>
    </row>
    <row r="71" spans="2:23" ht="16.5" customHeight="1">
      <c r="B71" s="1372"/>
      <c r="C71" s="1610" t="s">
        <v>415</v>
      </c>
      <c r="D71" s="1632" t="s">
        <v>416</v>
      </c>
      <c r="E71" s="1482"/>
      <c r="F71" s="1633"/>
      <c r="G71" s="1481"/>
      <c r="H71" s="1605"/>
      <c r="I71" s="1605"/>
      <c r="J71" s="1605"/>
      <c r="K71" s="1482"/>
      <c r="L71" s="1482"/>
      <c r="M71" s="1605"/>
      <c r="N71" s="1482"/>
      <c r="O71" s="1605"/>
      <c r="P71" s="1605"/>
      <c r="Q71" s="1605"/>
      <c r="R71" s="1605"/>
      <c r="S71" s="1605"/>
      <c r="T71" s="1605"/>
      <c r="U71" s="1605"/>
      <c r="W71" s="1591"/>
    </row>
    <row r="72" spans="2:23" s="1371" customFormat="1" ht="16.5" customHeight="1">
      <c r="B72" s="1372"/>
      <c r="C72" s="1376"/>
      <c r="D72" s="1612" t="s">
        <v>417</v>
      </c>
      <c r="E72" s="1634">
        <f>10*J55*J25/J69</f>
        <v>3686.041283799697</v>
      </c>
      <c r="G72" s="1481"/>
      <c r="L72" s="1482"/>
      <c r="N72" s="1482"/>
      <c r="O72" s="1483"/>
      <c r="V72" s="781"/>
      <c r="W72" s="1591"/>
    </row>
    <row r="73" spans="2:23" s="1371" customFormat="1" ht="12.75" customHeight="1">
      <c r="B73" s="1372"/>
      <c r="C73" s="1376"/>
      <c r="E73" s="1635"/>
      <c r="F73" s="1389"/>
      <c r="G73" s="1481"/>
      <c r="J73" s="1481"/>
      <c r="K73" s="1501"/>
      <c r="L73" s="1482"/>
      <c r="M73" s="1482"/>
      <c r="N73" s="1482"/>
      <c r="O73" s="1483"/>
      <c r="P73" s="1482"/>
      <c r="Q73" s="1482"/>
      <c r="R73" s="1500"/>
      <c r="S73" s="1500"/>
      <c r="T73" s="1500"/>
      <c r="U73" s="1636"/>
      <c r="V73" s="781"/>
      <c r="W73" s="1591"/>
    </row>
    <row r="74" spans="2:23" ht="16.5" customHeight="1">
      <c r="B74" s="1372"/>
      <c r="C74" s="1376"/>
      <c r="D74" s="1637" t="s">
        <v>469</v>
      </c>
      <c r="E74" s="1638"/>
      <c r="F74" s="1389"/>
      <c r="G74" s="1481"/>
      <c r="H74" s="1605"/>
      <c r="I74" s="1605"/>
      <c r="N74" s="1482"/>
      <c r="O74" s="1483"/>
      <c r="P74" s="1482"/>
      <c r="Q74" s="1482"/>
      <c r="R74" s="1615"/>
      <c r="S74" s="1615"/>
      <c r="T74" s="1615"/>
      <c r="U74" s="1616"/>
      <c r="W74" s="1591"/>
    </row>
    <row r="75" spans="2:23" ht="13.5" customHeight="1" thickBot="1">
      <c r="B75" s="1372"/>
      <c r="C75" s="1376"/>
      <c r="D75" s="1637"/>
      <c r="E75" s="1638"/>
      <c r="F75" s="1389"/>
      <c r="G75" s="1481"/>
      <c r="H75" s="1605"/>
      <c r="I75" s="1605"/>
      <c r="N75" s="1482"/>
      <c r="O75" s="1483"/>
      <c r="P75" s="1482"/>
      <c r="Q75" s="1482"/>
      <c r="R75" s="1615"/>
      <c r="S75" s="1615"/>
      <c r="T75" s="1615"/>
      <c r="U75" s="1616"/>
      <c r="W75" s="1591"/>
    </row>
    <row r="76" spans="2:23" s="1639" customFormat="1" ht="21" thickBot="1" thickTop="1">
      <c r="B76" s="1640"/>
      <c r="C76" s="1641"/>
      <c r="D76" s="1642"/>
      <c r="E76" s="1643"/>
      <c r="F76" s="1644"/>
      <c r="G76" s="1645"/>
      <c r="I76" s="1646" t="s">
        <v>419</v>
      </c>
      <c r="J76" s="1647">
        <f>IF(E72&gt;3*J25,J25*3,E72)</f>
        <v>3686.041283799697</v>
      </c>
      <c r="M76" s="1649" t="s">
        <v>471</v>
      </c>
      <c r="N76" s="1649"/>
      <c r="O76" s="1650"/>
      <c r="P76" s="1648"/>
      <c r="Q76" s="1648"/>
      <c r="R76" s="1651"/>
      <c r="S76" s="1651"/>
      <c r="T76" s="1651"/>
      <c r="U76" s="1652"/>
      <c r="V76" s="781"/>
      <c r="W76" s="1653"/>
    </row>
    <row r="77" spans="2:23" ht="16.5" customHeight="1" thickBot="1" thickTop="1">
      <c r="B77" s="1654"/>
      <c r="C77" s="1655"/>
      <c r="D77" s="1655"/>
      <c r="E77" s="1655"/>
      <c r="F77" s="1655"/>
      <c r="G77" s="1655"/>
      <c r="H77" s="1655"/>
      <c r="I77" s="1655"/>
      <c r="J77" s="1655"/>
      <c r="K77" s="1655"/>
      <c r="L77" s="1655"/>
      <c r="M77" s="1655"/>
      <c r="N77" s="1655"/>
      <c r="O77" s="1655"/>
      <c r="P77" s="1655"/>
      <c r="Q77" s="1655"/>
      <c r="R77" s="1655"/>
      <c r="S77" s="1655"/>
      <c r="T77" s="1655"/>
      <c r="U77" s="1655"/>
      <c r="V77" s="1656"/>
      <c r="W77" s="1657"/>
    </row>
    <row r="78" spans="2:23" ht="16.5" customHeight="1" thickTop="1">
      <c r="B78" s="1368"/>
      <c r="C78" s="1658"/>
      <c r="W78" s="1368"/>
    </row>
  </sheetData>
  <sheetProtection password="CC12"/>
  <mergeCells count="39">
    <mergeCell ref="E45:F45"/>
    <mergeCell ref="E46:F46"/>
    <mergeCell ref="E47:F47"/>
    <mergeCell ref="E53:F53"/>
    <mergeCell ref="N45:O45"/>
    <mergeCell ref="E48:F48"/>
    <mergeCell ref="E49:F49"/>
    <mergeCell ref="E51:F51"/>
    <mergeCell ref="E50:F50"/>
    <mergeCell ref="E40:F40"/>
    <mergeCell ref="E41:F41"/>
    <mergeCell ref="E42:F42"/>
    <mergeCell ref="N41:O41"/>
    <mergeCell ref="N42:O42"/>
    <mergeCell ref="N53:O53"/>
    <mergeCell ref="E43:F43"/>
    <mergeCell ref="E44:F44"/>
    <mergeCell ref="N43:O43"/>
    <mergeCell ref="N44:O44"/>
    <mergeCell ref="O64:U64"/>
    <mergeCell ref="O61:U61"/>
    <mergeCell ref="O62:U62"/>
    <mergeCell ref="O60:U60"/>
    <mergeCell ref="O63:U63"/>
    <mergeCell ref="N40:O40"/>
    <mergeCell ref="C67:D67"/>
    <mergeCell ref="G64:I64"/>
    <mergeCell ref="G65:I65"/>
    <mergeCell ref="G60:I60"/>
    <mergeCell ref="G61:I61"/>
    <mergeCell ref="G62:I62"/>
    <mergeCell ref="G63:I63"/>
    <mergeCell ref="N46:O46"/>
    <mergeCell ref="N47:O47"/>
    <mergeCell ref="N52:O52"/>
    <mergeCell ref="N48:O48"/>
    <mergeCell ref="N49:O49"/>
    <mergeCell ref="N50:O50"/>
    <mergeCell ref="N51:O51"/>
  </mergeCells>
  <printOptions horizontalCentered="1"/>
  <pageMargins left="0.24" right="0.4" top="0.52" bottom="0.7874015748031497" header="0.34" footer="0.5118110236220472"/>
  <pageSetup fitToHeight="1" fitToWidth="1" orientation="landscape" paperSize="9" scale="37" r:id="rId2"/>
  <headerFooter alignWithMargins="0">
    <oddFooter>&amp;L&amp;"Times New Roman,Normal"&amp;8&amp;F-&amp;A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AG74"/>
  <sheetViews>
    <sheetView zoomScale="50" zoomScaleNormal="50" zoomScalePageLayoutView="0" workbookViewId="0" topLeftCell="A1">
      <selection activeCell="N47" sqref="N47"/>
    </sheetView>
  </sheetViews>
  <sheetFormatPr defaultColWidth="11.421875" defaultRowHeight="12.75"/>
  <cols>
    <col min="1" max="1" width="15.7109375" style="781" customWidth="1"/>
    <col min="2" max="2" width="16.28125" style="781" customWidth="1"/>
    <col min="3" max="3" width="4.7109375" style="781" customWidth="1"/>
    <col min="4" max="4" width="36.140625" style="781" customWidth="1"/>
    <col min="5" max="5" width="20.7109375" style="781" customWidth="1"/>
    <col min="6" max="6" width="15.00390625" style="781" customWidth="1"/>
    <col min="7" max="7" width="14.421875" style="781" customWidth="1"/>
    <col min="8" max="8" width="8.7109375" style="781" hidden="1" customWidth="1"/>
    <col min="9" max="9" width="13.00390625" style="781" hidden="1" customWidth="1"/>
    <col min="10" max="11" width="18.7109375" style="781" customWidth="1"/>
    <col min="12" max="13" width="10.7109375" style="781" customWidth="1"/>
    <col min="14" max="14" width="9.7109375" style="781" customWidth="1"/>
    <col min="15" max="15" width="10.57421875" style="781" customWidth="1"/>
    <col min="16" max="16" width="8.421875" style="781" customWidth="1"/>
    <col min="17" max="17" width="13.28125" style="781" customWidth="1"/>
    <col min="18" max="18" width="12.140625" style="781" hidden="1" customWidth="1"/>
    <col min="19" max="19" width="13.00390625" style="781" hidden="1" customWidth="1"/>
    <col min="20" max="22" width="8.421875" style="781" hidden="1" customWidth="1"/>
    <col min="23" max="23" width="15.7109375" style="781" hidden="1" customWidth="1"/>
    <col min="24" max="24" width="11.7109375" style="781" hidden="1" customWidth="1"/>
    <col min="25" max="25" width="12.140625" style="781" hidden="1" customWidth="1"/>
    <col min="26" max="27" width="8.421875" style="781" hidden="1" customWidth="1"/>
    <col min="28" max="28" width="10.8515625" style="781" customWidth="1"/>
    <col min="29" max="29" width="24.421875" style="781" customWidth="1"/>
    <col min="30" max="30" width="14.00390625" style="781" customWidth="1"/>
    <col min="31" max="31" width="4.140625" style="781" customWidth="1"/>
    <col min="32" max="32" width="7.140625" style="781" customWidth="1"/>
    <col min="33" max="33" width="5.28125" style="781" customWidth="1"/>
    <col min="34" max="34" width="5.421875" style="781" customWidth="1"/>
    <col min="35" max="35" width="4.7109375" style="781" customWidth="1"/>
    <col min="36" max="36" width="5.28125" style="781" customWidth="1"/>
    <col min="37" max="38" width="13.28125" style="781" customWidth="1"/>
    <col min="39" max="39" width="6.57421875" style="781" customWidth="1"/>
    <col min="40" max="40" width="6.421875" style="781" customWidth="1"/>
    <col min="41" max="44" width="11.421875" style="781" customWidth="1"/>
    <col min="45" max="45" width="12.7109375" style="781" customWidth="1"/>
    <col min="46" max="48" width="11.421875" style="781" customWidth="1"/>
    <col min="49" max="49" width="21.00390625" style="781" customWidth="1"/>
    <col min="50" max="16384" width="11.421875" style="781" customWidth="1"/>
  </cols>
  <sheetData>
    <row r="1" spans="1:30" ht="13.5">
      <c r="A1" s="759"/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AD1" s="756"/>
    </row>
    <row r="2" spans="1:23" ht="27" customHeight="1">
      <c r="A2" s="759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  <c r="W2" s="760"/>
    </row>
    <row r="3" spans="1:30" s="1349" customFormat="1" ht="30.75">
      <c r="A3" s="1346"/>
      <c r="B3" s="1347" t="str">
        <f>'TOT-0312'!B2</f>
        <v>ANEXO IV al Memorándum D.T.E.E.  N° 783/ 2013</v>
      </c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AB3" s="1348"/>
      <c r="AC3" s="1348"/>
      <c r="AD3" s="1348"/>
    </row>
    <row r="4" spans="1:2" s="763" customFormat="1" ht="11.25">
      <c r="A4" s="761" t="s">
        <v>2</v>
      </c>
      <c r="B4" s="761"/>
    </row>
    <row r="5" spans="1:2" s="763" customFormat="1" ht="11.25">
      <c r="A5" s="761" t="s">
        <v>3</v>
      </c>
      <c r="B5" s="761"/>
    </row>
    <row r="6" s="763" customFormat="1" ht="12" thickBot="1">
      <c r="A6" s="761"/>
    </row>
    <row r="7" spans="1:30" ht="16.5" customHeight="1" thickTop="1">
      <c r="A7" s="760"/>
      <c r="B7" s="764"/>
      <c r="C7" s="765"/>
      <c r="D7" s="765"/>
      <c r="E7" s="1350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1351"/>
      <c r="X7" s="1351"/>
      <c r="Y7" s="1351"/>
      <c r="Z7" s="1351"/>
      <c r="AA7" s="1351"/>
      <c r="AB7" s="1351"/>
      <c r="AC7" s="1351"/>
      <c r="AD7" s="1352"/>
    </row>
    <row r="8" spans="1:30" ht="20.25">
      <c r="A8" s="760"/>
      <c r="B8" s="775"/>
      <c r="C8" s="776"/>
      <c r="D8" s="770" t="s">
        <v>377</v>
      </c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1353"/>
      <c r="Q8" s="1353"/>
      <c r="R8" s="776"/>
      <c r="S8" s="776"/>
      <c r="T8" s="776"/>
      <c r="U8" s="776"/>
      <c r="V8" s="776"/>
      <c r="AD8" s="1354"/>
    </row>
    <row r="9" spans="1:30" ht="16.5" customHeight="1">
      <c r="A9" s="760"/>
      <c r="B9" s="775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AD9" s="1354"/>
    </row>
    <row r="10" spans="2:30" s="786" customFormat="1" ht="20.25">
      <c r="B10" s="1355"/>
      <c r="C10" s="1356"/>
      <c r="D10" s="770" t="s">
        <v>378</v>
      </c>
      <c r="E10" s="1356"/>
      <c r="F10" s="1356"/>
      <c r="G10" s="1356"/>
      <c r="H10" s="1356"/>
      <c r="N10" s="1356"/>
      <c r="O10" s="1356"/>
      <c r="P10" s="1357"/>
      <c r="Q10" s="1357"/>
      <c r="R10" s="1356"/>
      <c r="S10" s="1356"/>
      <c r="T10" s="1356"/>
      <c r="U10" s="1356"/>
      <c r="V10" s="1356"/>
      <c r="W10" s="781"/>
      <c r="X10" s="1356"/>
      <c r="Y10" s="1356"/>
      <c r="Z10" s="1356"/>
      <c r="AA10" s="1356"/>
      <c r="AB10" s="1356"/>
      <c r="AC10" s="781"/>
      <c r="AD10" s="1358"/>
    </row>
    <row r="11" spans="1:30" ht="16.5" customHeight="1">
      <c r="A11" s="760"/>
      <c r="B11" s="775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AD11" s="1354"/>
    </row>
    <row r="12" spans="2:30" s="786" customFormat="1" ht="20.25">
      <c r="B12" s="1355"/>
      <c r="C12" s="1356"/>
      <c r="D12" s="770" t="s">
        <v>446</v>
      </c>
      <c r="E12" s="1356"/>
      <c r="F12" s="1356"/>
      <c r="G12" s="1356"/>
      <c r="H12" s="1356"/>
      <c r="N12" s="1356"/>
      <c r="O12" s="1356"/>
      <c r="P12" s="1357"/>
      <c r="Q12" s="1357"/>
      <c r="R12" s="1356"/>
      <c r="S12" s="1356"/>
      <c r="T12" s="1356"/>
      <c r="U12" s="1356"/>
      <c r="V12" s="1356"/>
      <c r="W12" s="781"/>
      <c r="X12" s="1356"/>
      <c r="Y12" s="1356"/>
      <c r="Z12" s="1356"/>
      <c r="AA12" s="1356"/>
      <c r="AB12" s="1356"/>
      <c r="AC12" s="781"/>
      <c r="AD12" s="1358"/>
    </row>
    <row r="13" spans="1:30" ht="16.5" customHeight="1">
      <c r="A13" s="760"/>
      <c r="B13" s="775"/>
      <c r="C13" s="776"/>
      <c r="D13" s="776"/>
      <c r="E13" s="760"/>
      <c r="F13" s="760"/>
      <c r="G13" s="760"/>
      <c r="H13" s="760"/>
      <c r="I13" s="785"/>
      <c r="J13" s="785"/>
      <c r="K13" s="785"/>
      <c r="L13" s="785"/>
      <c r="M13" s="785"/>
      <c r="N13" s="785"/>
      <c r="O13" s="785"/>
      <c r="P13" s="785"/>
      <c r="Q13" s="785"/>
      <c r="R13" s="776"/>
      <c r="S13" s="776"/>
      <c r="T13" s="776"/>
      <c r="U13" s="776"/>
      <c r="V13" s="776"/>
      <c r="AD13" s="1354"/>
    </row>
    <row r="14" spans="2:30" s="786" customFormat="1" ht="19.5">
      <c r="B14" s="787" t="str">
        <f>'TOT-0312'!B14</f>
        <v>Desde el 01 al 31 de Marzo de 2012</v>
      </c>
      <c r="C14" s="1359"/>
      <c r="D14" s="788"/>
      <c r="E14" s="788"/>
      <c r="F14" s="788"/>
      <c r="G14" s="788"/>
      <c r="H14" s="788"/>
      <c r="I14" s="1360"/>
      <c r="J14" s="1361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2"/>
      <c r="V14" s="1362"/>
      <c r="W14" s="781"/>
      <c r="X14" s="1363"/>
      <c r="Y14" s="1363"/>
      <c r="Z14" s="1363"/>
      <c r="AA14" s="1363"/>
      <c r="AB14" s="1362"/>
      <c r="AC14" s="1361"/>
      <c r="AD14" s="1364"/>
    </row>
    <row r="15" spans="1:30" ht="16.5" customHeight="1">
      <c r="A15" s="760"/>
      <c r="B15" s="775"/>
      <c r="C15" s="776"/>
      <c r="D15" s="776"/>
      <c r="E15" s="1365"/>
      <c r="F15" s="1365"/>
      <c r="G15" s="776"/>
      <c r="H15" s="776"/>
      <c r="I15" s="776"/>
      <c r="J15" s="1366"/>
      <c r="K15" s="776"/>
      <c r="L15" s="776"/>
      <c r="M15" s="776"/>
      <c r="N15" s="760"/>
      <c r="O15" s="760"/>
      <c r="P15" s="776"/>
      <c r="Q15" s="776"/>
      <c r="R15" s="776"/>
      <c r="S15" s="776"/>
      <c r="T15" s="776"/>
      <c r="U15" s="776"/>
      <c r="V15" s="776"/>
      <c r="AD15" s="1354"/>
    </row>
    <row r="16" spans="1:30" ht="16.5" customHeight="1">
      <c r="A16" s="760"/>
      <c r="B16" s="775"/>
      <c r="C16" s="776"/>
      <c r="D16" s="776"/>
      <c r="E16" s="1365"/>
      <c r="F16" s="1365"/>
      <c r="G16" s="776"/>
      <c r="H16" s="776"/>
      <c r="I16" s="1367"/>
      <c r="J16" s="776"/>
      <c r="K16" s="1368"/>
      <c r="M16" s="776"/>
      <c r="N16" s="760"/>
      <c r="O16" s="760"/>
      <c r="P16" s="776"/>
      <c r="Q16" s="776"/>
      <c r="R16" s="776"/>
      <c r="S16" s="776"/>
      <c r="T16" s="776"/>
      <c r="U16" s="776"/>
      <c r="V16" s="776"/>
      <c r="AD16" s="1354"/>
    </row>
    <row r="17" spans="1:30" ht="16.5" customHeight="1">
      <c r="A17" s="760"/>
      <c r="B17" s="775"/>
      <c r="C17" s="776"/>
      <c r="D17" s="776"/>
      <c r="E17" s="1365"/>
      <c r="F17" s="1365"/>
      <c r="G17" s="776"/>
      <c r="H17" s="776"/>
      <c r="I17" s="1367"/>
      <c r="J17" s="776"/>
      <c r="K17" s="1368"/>
      <c r="M17" s="776"/>
      <c r="N17" s="760"/>
      <c r="O17" s="760"/>
      <c r="P17" s="776"/>
      <c r="Q17" s="776"/>
      <c r="R17" s="776"/>
      <c r="S17" s="776"/>
      <c r="T17" s="776"/>
      <c r="U17" s="776"/>
      <c r="V17" s="776"/>
      <c r="AD17" s="1354"/>
    </row>
    <row r="18" spans="1:30" ht="16.5" customHeight="1">
      <c r="A18" s="760"/>
      <c r="B18" s="775"/>
      <c r="C18" s="1369" t="s">
        <v>379</v>
      </c>
      <c r="D18" s="1370" t="s">
        <v>380</v>
      </c>
      <c r="E18" s="1365"/>
      <c r="F18" s="1365"/>
      <c r="G18" s="776"/>
      <c r="H18" s="776"/>
      <c r="I18" s="776"/>
      <c r="J18" s="1366"/>
      <c r="K18" s="776"/>
      <c r="L18" s="776"/>
      <c r="M18" s="776"/>
      <c r="N18" s="760"/>
      <c r="O18" s="760"/>
      <c r="P18" s="776"/>
      <c r="Q18" s="776"/>
      <c r="R18" s="776"/>
      <c r="S18" s="776"/>
      <c r="T18" s="776"/>
      <c r="U18" s="776"/>
      <c r="V18" s="776"/>
      <c r="AD18" s="1354"/>
    </row>
    <row r="19" spans="2:30" s="1371" customFormat="1" ht="16.5" customHeight="1">
      <c r="B19" s="1372"/>
      <c r="C19" s="1373"/>
      <c r="D19" s="1374"/>
      <c r="E19" s="1375"/>
      <c r="F19" s="1376"/>
      <c r="G19" s="1373"/>
      <c r="H19" s="1373"/>
      <c r="I19" s="1373"/>
      <c r="J19" s="1377"/>
      <c r="K19" s="1373"/>
      <c r="L19" s="1373"/>
      <c r="M19" s="1373"/>
      <c r="P19" s="1373"/>
      <c r="Q19" s="1373"/>
      <c r="R19" s="1373"/>
      <c r="S19" s="1373"/>
      <c r="T19" s="1373"/>
      <c r="U19" s="1373"/>
      <c r="V19" s="1373"/>
      <c r="W19" s="781"/>
      <c r="AD19" s="1378"/>
    </row>
    <row r="20" spans="2:30" s="1371" customFormat="1" ht="16.5" customHeight="1">
      <c r="B20" s="1372"/>
      <c r="C20" s="1373"/>
      <c r="D20" s="1379" t="s">
        <v>381</v>
      </c>
      <c r="F20" s="1380">
        <v>236.257</v>
      </c>
      <c r="G20" s="1379" t="s">
        <v>382</v>
      </c>
      <c r="H20" s="1373"/>
      <c r="I20" s="1373"/>
      <c r="J20" s="1381"/>
      <c r="K20" s="1382" t="s">
        <v>383</v>
      </c>
      <c r="L20" s="1383">
        <v>0.025</v>
      </c>
      <c r="R20" s="1373"/>
      <c r="S20" s="1373"/>
      <c r="T20" s="1373"/>
      <c r="U20" s="1373"/>
      <c r="V20" s="1373"/>
      <c r="W20" s="781"/>
      <c r="AD20" s="1378"/>
    </row>
    <row r="21" spans="2:30" s="1371" customFormat="1" ht="16.5" customHeight="1">
      <c r="B21" s="1372"/>
      <c r="C21" s="1373"/>
      <c r="D21" s="1379" t="s">
        <v>384</v>
      </c>
      <c r="E21" s="1384"/>
      <c r="F21" s="1385">
        <v>0.649</v>
      </c>
      <c r="G21" s="1386" t="s">
        <v>385</v>
      </c>
      <c r="H21" s="1373"/>
      <c r="I21" s="1373"/>
      <c r="J21" s="1373"/>
      <c r="K21" s="1374" t="s">
        <v>386</v>
      </c>
      <c r="L21" s="1373">
        <f>MID(B14,16,2)*24</f>
        <v>744</v>
      </c>
      <c r="M21" s="1373" t="s">
        <v>437</v>
      </c>
      <c r="N21" s="1373"/>
      <c r="O21" s="806"/>
      <c r="P21" s="1387"/>
      <c r="Q21" s="776"/>
      <c r="R21" s="1373"/>
      <c r="S21" s="1373"/>
      <c r="T21" s="1373"/>
      <c r="U21" s="1373"/>
      <c r="V21" s="1373"/>
      <c r="W21" s="781"/>
      <c r="AD21" s="1378"/>
    </row>
    <row r="22" spans="2:30" s="1371" customFormat="1" ht="16.5" customHeight="1">
      <c r="B22" s="1372"/>
      <c r="C22" s="1373"/>
      <c r="D22" s="1379" t="s">
        <v>438</v>
      </c>
      <c r="E22" s="1384"/>
      <c r="F22" s="1388">
        <v>20</v>
      </c>
      <c r="G22" s="1386"/>
      <c r="H22" s="1373"/>
      <c r="I22" s="1373"/>
      <c r="J22" s="1373"/>
      <c r="K22" s="1374"/>
      <c r="L22" s="1373"/>
      <c r="M22" s="1373"/>
      <c r="N22" s="1373"/>
      <c r="O22" s="806"/>
      <c r="P22" s="1387"/>
      <c r="Q22" s="776"/>
      <c r="R22" s="1373"/>
      <c r="S22" s="1373"/>
      <c r="T22" s="1373"/>
      <c r="U22" s="1373"/>
      <c r="V22" s="1373"/>
      <c r="W22" s="781"/>
      <c r="AD22" s="1378"/>
    </row>
    <row r="23" spans="2:30" s="1371" customFormat="1" ht="16.5" customHeight="1">
      <c r="B23" s="1372"/>
      <c r="C23" s="1373"/>
      <c r="D23" s="1373"/>
      <c r="E23" s="1389"/>
      <c r="F23" s="1373"/>
      <c r="G23" s="1373"/>
      <c r="H23" s="1373"/>
      <c r="I23" s="1373"/>
      <c r="J23" s="1373"/>
      <c r="K23" s="1373"/>
      <c r="L23" s="1373"/>
      <c r="M23" s="1373"/>
      <c r="N23" s="1373"/>
      <c r="O23" s="1373"/>
      <c r="P23" s="1373"/>
      <c r="Q23" s="1373"/>
      <c r="R23" s="1373"/>
      <c r="S23" s="1373"/>
      <c r="T23" s="1373"/>
      <c r="U23" s="1373"/>
      <c r="V23" s="1373"/>
      <c r="W23" s="781"/>
      <c r="AD23" s="1378"/>
    </row>
    <row r="24" spans="1:30" ht="16.5" customHeight="1">
      <c r="A24" s="760"/>
      <c r="B24" s="775"/>
      <c r="C24" s="1369" t="s">
        <v>389</v>
      </c>
      <c r="D24" s="1390" t="s">
        <v>420</v>
      </c>
      <c r="I24" s="776"/>
      <c r="J24" s="1371"/>
      <c r="O24" s="776"/>
      <c r="P24" s="776"/>
      <c r="Q24" s="776"/>
      <c r="R24" s="776"/>
      <c r="S24" s="776"/>
      <c r="T24" s="776"/>
      <c r="V24" s="776"/>
      <c r="X24" s="776"/>
      <c r="Y24" s="776"/>
      <c r="Z24" s="776"/>
      <c r="AA24" s="776"/>
      <c r="AB24" s="776"/>
      <c r="AC24" s="776"/>
      <c r="AD24" s="1354"/>
    </row>
    <row r="25" spans="1:30" ht="10.5" customHeight="1" thickBot="1">
      <c r="A25" s="760"/>
      <c r="B25" s="775"/>
      <c r="C25" s="1365"/>
      <c r="D25" s="1390"/>
      <c r="I25" s="776"/>
      <c r="J25" s="1371"/>
      <c r="O25" s="776"/>
      <c r="P25" s="776"/>
      <c r="Q25" s="776"/>
      <c r="R25" s="776"/>
      <c r="S25" s="776"/>
      <c r="T25" s="776"/>
      <c r="V25" s="776"/>
      <c r="X25" s="776"/>
      <c r="Y25" s="776"/>
      <c r="Z25" s="776"/>
      <c r="AA25" s="776"/>
      <c r="AB25" s="776"/>
      <c r="AC25" s="776"/>
      <c r="AD25" s="1354"/>
    </row>
    <row r="26" spans="2:30" s="1371" customFormat="1" ht="21" customHeight="1" thickBot="1" thickTop="1">
      <c r="B26" s="1372"/>
      <c r="C26" s="1376"/>
      <c r="D26" s="781"/>
      <c r="E26" s="781"/>
      <c r="F26" s="781"/>
      <c r="G26" s="781"/>
      <c r="H26" s="781"/>
      <c r="I26" s="781"/>
      <c r="J26" s="1391" t="s">
        <v>390</v>
      </c>
      <c r="K26" s="1392">
        <f>AC66*L20</f>
        <v>41625.682673200005</v>
      </c>
      <c r="L26" s="781"/>
      <c r="S26" s="781"/>
      <c r="T26" s="781"/>
      <c r="U26" s="781"/>
      <c r="W26" s="781"/>
      <c r="AD26" s="1378"/>
    </row>
    <row r="27" spans="2:30" s="1371" customFormat="1" ht="11.25" customHeight="1" thickTop="1">
      <c r="B27" s="1372"/>
      <c r="C27" s="1376"/>
      <c r="D27" s="1373"/>
      <c r="E27" s="1389"/>
      <c r="F27" s="1373"/>
      <c r="G27" s="1373"/>
      <c r="H27" s="1373"/>
      <c r="I27" s="1373"/>
      <c r="J27" s="1373"/>
      <c r="K27" s="1373"/>
      <c r="L27" s="1373"/>
      <c r="M27" s="1373"/>
      <c r="N27" s="1373"/>
      <c r="O27" s="1373"/>
      <c r="P27" s="1373"/>
      <c r="Q27" s="1373"/>
      <c r="R27" s="1373"/>
      <c r="S27" s="1373"/>
      <c r="T27" s="1373"/>
      <c r="U27" s="781"/>
      <c r="W27" s="781"/>
      <c r="AD27" s="1378"/>
    </row>
    <row r="28" spans="1:30" ht="16.5" customHeight="1">
      <c r="A28" s="760"/>
      <c r="B28" s="775"/>
      <c r="C28" s="1369" t="s">
        <v>391</v>
      </c>
      <c r="D28" s="1390" t="s">
        <v>421</v>
      </c>
      <c r="E28" s="1393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AD28" s="1354"/>
    </row>
    <row r="29" spans="1:30" ht="21.75" customHeight="1" thickBot="1">
      <c r="A29" s="760"/>
      <c r="B29" s="775"/>
      <c r="C29" s="776"/>
      <c r="D29" s="776"/>
      <c r="E29" s="1393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AD29" s="1354"/>
    </row>
    <row r="30" spans="2:31" s="760" customFormat="1" ht="33.75" customHeight="1" thickBot="1" thickTop="1">
      <c r="B30" s="775"/>
      <c r="C30" s="810" t="s">
        <v>32</v>
      </c>
      <c r="D30" s="975" t="s">
        <v>5</v>
      </c>
      <c r="E30" s="1394" t="s">
        <v>35</v>
      </c>
      <c r="F30" s="1395" t="s">
        <v>36</v>
      </c>
      <c r="G30" s="1396" t="s">
        <v>37</v>
      </c>
      <c r="H30" s="1397" t="s">
        <v>38</v>
      </c>
      <c r="I30" s="1398" t="s">
        <v>39</v>
      </c>
      <c r="J30" s="812" t="s">
        <v>40</v>
      </c>
      <c r="K30" s="1399" t="s">
        <v>41</v>
      </c>
      <c r="L30" s="815" t="s">
        <v>42</v>
      </c>
      <c r="M30" s="811" t="s">
        <v>43</v>
      </c>
      <c r="N30" s="815" t="s">
        <v>392</v>
      </c>
      <c r="O30" s="815" t="s">
        <v>44</v>
      </c>
      <c r="P30" s="1399" t="s">
        <v>45</v>
      </c>
      <c r="Q30" s="812" t="s">
        <v>46</v>
      </c>
      <c r="R30" s="1400" t="s">
        <v>47</v>
      </c>
      <c r="S30" s="1401" t="s">
        <v>48</v>
      </c>
      <c r="T30" s="1402" t="s">
        <v>393</v>
      </c>
      <c r="U30" s="1403"/>
      <c r="V30" s="1404"/>
      <c r="W30" s="1405" t="s">
        <v>394</v>
      </c>
      <c r="X30" s="1406"/>
      <c r="Y30" s="1407"/>
      <c r="Z30" s="1408" t="s">
        <v>51</v>
      </c>
      <c r="AA30" s="1409" t="s">
        <v>395</v>
      </c>
      <c r="AB30" s="1410" t="s">
        <v>53</v>
      </c>
      <c r="AC30" s="1411" t="s">
        <v>54</v>
      </c>
      <c r="AD30" s="1412"/>
      <c r="AE30" s="781"/>
    </row>
    <row r="31" spans="1:30" ht="16.5" customHeight="1" thickTop="1">
      <c r="A31" s="760"/>
      <c r="B31" s="775"/>
      <c r="C31" s="1413"/>
      <c r="D31" s="1414"/>
      <c r="E31" s="1415"/>
      <c r="F31" s="1416"/>
      <c r="G31" s="1417"/>
      <c r="H31" s="1418"/>
      <c r="I31" s="1419"/>
      <c r="J31" s="1420"/>
      <c r="K31" s="1421"/>
      <c r="L31" s="1413"/>
      <c r="M31" s="1413"/>
      <c r="N31" s="1422"/>
      <c r="O31" s="1422"/>
      <c r="P31" s="1413"/>
      <c r="Q31" s="1423"/>
      <c r="R31" s="1424"/>
      <c r="S31" s="1425"/>
      <c r="T31" s="1426"/>
      <c r="U31" s="1427"/>
      <c r="V31" s="1428"/>
      <c r="W31" s="1429"/>
      <c r="X31" s="1430"/>
      <c r="Y31" s="1431"/>
      <c r="Z31" s="1432"/>
      <c r="AA31" s="1433"/>
      <c r="AB31" s="1434"/>
      <c r="AC31" s="1435"/>
      <c r="AD31" s="1354"/>
    </row>
    <row r="32" spans="1:30" ht="16.5" customHeight="1">
      <c r="A32" s="760"/>
      <c r="B32" s="775"/>
      <c r="C32" s="1021" t="s">
        <v>396</v>
      </c>
      <c r="D32" s="646"/>
      <c r="E32" s="647"/>
      <c r="F32" s="1436"/>
      <c r="G32" s="1437"/>
      <c r="H32" s="1438">
        <f>IF(G32="A",200,IF(G32="B",60,20))</f>
        <v>20</v>
      </c>
      <c r="I32" s="1439">
        <f>IF(F32&gt;100,F32,100)*$F$20/100</f>
        <v>236.257</v>
      </c>
      <c r="J32" s="1440"/>
      <c r="K32" s="1441"/>
      <c r="L32" s="1442">
        <f>IF(D32="","",(K32-J32)*24)</f>
      </c>
      <c r="M32" s="860">
        <f>IF(D32="","",ROUND((K32-J32)*24*60,0))</f>
      </c>
      <c r="N32" s="1443"/>
      <c r="O32" s="862">
        <f>IF(D32="","","--")</f>
      </c>
      <c r="P32" s="863">
        <f>IF(D32="","","NO")</f>
      </c>
      <c r="Q32" s="863">
        <f>IF(D32="","",IF(OR(N32="P",N32="RP"),"--","NO"))</f>
      </c>
      <c r="R32" s="1444" t="str">
        <f>IF(N32="P",+I32*H32*ROUND(M32/60,2)/100,"--")</f>
        <v>--</v>
      </c>
      <c r="S32" s="1445" t="str">
        <f>IF(N32="RP",I32*H32*ROUND(M32/60,2)*0.01*O32/100,"--")</f>
        <v>--</v>
      </c>
      <c r="T32" s="1446" t="str">
        <f>IF(AND(N32="F",Q32="NO"),IF(P32="SI",1.2,1)*I32*H32,"--")</f>
        <v>--</v>
      </c>
      <c r="U32" s="1447" t="str">
        <f>IF(AND(M32&gt;10,N32="F"),IF(M32&lt;=300,ROUND(M32/60,2),5)*I32*H32*IF(P32="SI",1.2,1),"--")</f>
        <v>--</v>
      </c>
      <c r="V32" s="1448" t="str">
        <f>IF(AND(N32="F",M32&gt;300),IF(P32="SI",1.2,1)*(ROUND(M32/60,2)-5)*I32*H32*0.1,"--")</f>
        <v>--</v>
      </c>
      <c r="W32" s="1449" t="str">
        <f>IF(AND(N32="R",Q32="NO"),IF(P32="SI",1.2,1)*I32*H32*O32/100,"--")</f>
        <v>--</v>
      </c>
      <c r="X32" s="1450" t="str">
        <f>IF(AND(M32&gt;10,N32="R"),IF(M32&lt;=300,ROUND(M32/60,2),5)*I32*H32*O32/100*IF(P32="SI",1.2,1),"--")</f>
        <v>--</v>
      </c>
      <c r="Y32" s="1451" t="str">
        <f>IF(AND(N32="R",M32&gt;300),IF(P32="SI",1.2,1)*(ROUND(M32/60,2)-5)*I32*H32*O32/100*0.1,"--")</f>
        <v>--</v>
      </c>
      <c r="Z32" s="1452" t="str">
        <f>IF(N32="RF",IF(P32="SI",1.2,1)*ROUND(M32/60,2)*I32*H32*0.1,"--")</f>
        <v>--</v>
      </c>
      <c r="AA32" s="1453" t="str">
        <f>IF(N32="RR",IF(P32="SI",1.2,1)*ROUND(M32/60,2)*I32*H32*O32/100*0.1,"--")</f>
        <v>--</v>
      </c>
      <c r="AB32" s="1454">
        <f>IF(D32="","","SI")</f>
      </c>
      <c r="AC32" s="1455">
        <f>IF(D32="","",SUM(R32:AA32)*IF(AB32="SI",1,2))</f>
      </c>
      <c r="AD32" s="1354"/>
    </row>
    <row r="33" spans="1:30" ht="16.5" customHeight="1">
      <c r="A33" s="760"/>
      <c r="B33" s="775"/>
      <c r="C33" s="1021" t="s">
        <v>397</v>
      </c>
      <c r="D33" s="1413"/>
      <c r="E33" s="1456"/>
      <c r="F33" s="1436"/>
      <c r="G33" s="1437"/>
      <c r="H33" s="1438">
        <f>IF(G33="A",200,IF(G33="B",60,20))</f>
        <v>20</v>
      </c>
      <c r="I33" s="1439">
        <f>IF(F33&gt;100,F33,100)*$F$20/100</f>
        <v>236.257</v>
      </c>
      <c r="J33" s="1440"/>
      <c r="K33" s="1441"/>
      <c r="L33" s="1442">
        <f>IF(D33="","",(K33-J33)*24)</f>
      </c>
      <c r="M33" s="860">
        <f>IF(D33="","",ROUND((K33-J33)*24*60,0))</f>
      </c>
      <c r="N33" s="1443"/>
      <c r="O33" s="862">
        <f>IF(D33="","","--")</f>
      </c>
      <c r="P33" s="863">
        <f>IF(D33="","","NO")</f>
      </c>
      <c r="Q33" s="863">
        <f>IF(D33="","",IF(OR(N33="P",N33="RP"),"--","NO"))</f>
      </c>
      <c r="R33" s="1444" t="str">
        <f>IF(N33="P",+I33*H33*ROUND(M33/60,2)/100,"--")</f>
        <v>--</v>
      </c>
      <c r="S33" s="1445" t="str">
        <f>IF(N33="RP",I33*H33*ROUND(M33/60,2)*0.01*O33/100,"--")</f>
        <v>--</v>
      </c>
      <c r="T33" s="1446" t="str">
        <f>IF(AND(N33="F",Q33="NO"),IF(P33="SI",1.2,1)*I33*H33,"--")</f>
        <v>--</v>
      </c>
      <c r="U33" s="1447" t="str">
        <f>IF(AND(M33&gt;10,N33="F"),IF(M33&lt;=300,ROUND(M33/60,2),5)*I33*H33*IF(P33="SI",1.2,1),"--")</f>
        <v>--</v>
      </c>
      <c r="V33" s="1448" t="str">
        <f>IF(AND(N33="F",M33&gt;300),IF(P33="SI",1.2,1)*(ROUND(M33/60,2)-5)*I33*H33*0.1,"--")</f>
        <v>--</v>
      </c>
      <c r="W33" s="1449" t="str">
        <f>IF(AND(N33="R",Q33="NO"),IF(P33="SI",1.2,1)*I33*H33*O33/100,"--")</f>
        <v>--</v>
      </c>
      <c r="X33" s="1450" t="str">
        <f>IF(AND(M33&gt;10,N33="R"),IF(M33&lt;=300,ROUND(M33/60,2),5)*I33*H33*O33/100*IF(P33="SI",1.2,1),"--")</f>
        <v>--</v>
      </c>
      <c r="Y33" s="1451" t="str">
        <f>IF(AND(N33="R",M33&gt;300),IF(P33="SI",1.2,1)*(ROUND(M33/60,2)-5)*I33*H33*O33/100*0.1,"--")</f>
        <v>--</v>
      </c>
      <c r="Z33" s="1452" t="str">
        <f>IF(N33="RF",IF(P33="SI",1.2,1)*ROUND(M33/60,2)*I33*H33*0.1,"--")</f>
        <v>--</v>
      </c>
      <c r="AA33" s="1453" t="str">
        <f>IF(N33="RR",IF(P33="SI",1.2,1)*ROUND(M33/60,2)*I33*H33*O33/100*0.1,"--")</f>
        <v>--</v>
      </c>
      <c r="AB33" s="1454">
        <f>IF(D33="","","SI")</f>
      </c>
      <c r="AC33" s="1455">
        <f>IF(D33="","",SUM(R33:AA33)*IF(AB33="SI",1,2))</f>
      </c>
      <c r="AD33" s="1354"/>
    </row>
    <row r="34" spans="1:30" ht="16.5" customHeight="1" thickBot="1">
      <c r="A34" s="1371"/>
      <c r="B34" s="775"/>
      <c r="C34" s="1457"/>
      <c r="D34" s="1458"/>
      <c r="E34" s="1459"/>
      <c r="F34" s="1460"/>
      <c r="G34" s="1461"/>
      <c r="H34" s="1462"/>
      <c r="I34" s="1463"/>
      <c r="J34" s="1464"/>
      <c r="K34" s="1464"/>
      <c r="L34" s="1465"/>
      <c r="M34" s="1465"/>
      <c r="N34" s="1465"/>
      <c r="O34" s="1466"/>
      <c r="P34" s="1465"/>
      <c r="Q34" s="1465"/>
      <c r="R34" s="1467"/>
      <c r="S34" s="1468"/>
      <c r="T34" s="1469"/>
      <c r="U34" s="1470"/>
      <c r="V34" s="1471"/>
      <c r="W34" s="1472"/>
      <c r="X34" s="1473"/>
      <c r="Y34" s="1474"/>
      <c r="Z34" s="1475"/>
      <c r="AA34" s="1476"/>
      <c r="AB34" s="1477"/>
      <c r="AC34" s="1478"/>
      <c r="AD34" s="1479"/>
    </row>
    <row r="35" spans="1:30" ht="17.25" thickBot="1" thickTop="1">
      <c r="A35" s="1371"/>
      <c r="B35" s="775"/>
      <c r="C35" s="1376"/>
      <c r="D35" s="1376"/>
      <c r="E35" s="1480"/>
      <c r="F35" s="1389"/>
      <c r="G35" s="1481"/>
      <c r="H35" s="1481"/>
      <c r="I35" s="1482"/>
      <c r="J35" s="1482"/>
      <c r="K35" s="1482"/>
      <c r="L35" s="1482"/>
      <c r="M35" s="1482"/>
      <c r="N35" s="1482"/>
      <c r="O35" s="1483"/>
      <c r="P35" s="1482"/>
      <c r="Q35" s="1482"/>
      <c r="R35" s="1484">
        <f aca="true" t="shared" si="0" ref="R35:AA35">SUM(R31:R34)</f>
        <v>0</v>
      </c>
      <c r="S35" s="1485">
        <f t="shared" si="0"/>
        <v>0</v>
      </c>
      <c r="T35" s="1486">
        <f t="shared" si="0"/>
        <v>0</v>
      </c>
      <c r="U35" s="1486">
        <f t="shared" si="0"/>
        <v>0</v>
      </c>
      <c r="V35" s="1486">
        <f t="shared" si="0"/>
        <v>0</v>
      </c>
      <c r="W35" s="1487">
        <f t="shared" si="0"/>
        <v>0</v>
      </c>
      <c r="X35" s="1487">
        <f t="shared" si="0"/>
        <v>0</v>
      </c>
      <c r="Y35" s="1487">
        <f t="shared" si="0"/>
        <v>0</v>
      </c>
      <c r="Z35" s="1488">
        <f t="shared" si="0"/>
        <v>0</v>
      </c>
      <c r="AA35" s="1489">
        <f t="shared" si="0"/>
        <v>0</v>
      </c>
      <c r="AB35" s="1490"/>
      <c r="AC35" s="1491">
        <f>SUM(AC31:AC34)</f>
        <v>0</v>
      </c>
      <c r="AD35" s="1479"/>
    </row>
    <row r="36" spans="1:30" ht="17.25" thickBot="1" thickTop="1">
      <c r="A36" s="1371"/>
      <c r="B36" s="775"/>
      <c r="C36" s="1492"/>
      <c r="D36" s="1493"/>
      <c r="G36" s="1494"/>
      <c r="H36" s="1495"/>
      <c r="I36" s="1496"/>
      <c r="J36" s="1496"/>
      <c r="L36" s="1482"/>
      <c r="M36" s="1482"/>
      <c r="N36" s="1482"/>
      <c r="O36" s="1483"/>
      <c r="P36" s="1482"/>
      <c r="Q36" s="1482"/>
      <c r="R36" s="1497"/>
      <c r="S36" s="1498"/>
      <c r="T36" s="1499"/>
      <c r="U36" s="1499"/>
      <c r="V36" s="1499"/>
      <c r="W36" s="1497"/>
      <c r="X36" s="1497"/>
      <c r="Y36" s="1497"/>
      <c r="Z36" s="1497"/>
      <c r="AA36" s="1497"/>
      <c r="AB36" s="1500"/>
      <c r="AC36" s="1501"/>
      <c r="AD36" s="1479"/>
    </row>
    <row r="37" spans="1:33" s="760" customFormat="1" ht="27" thickBot="1" thickTop="1">
      <c r="A37" s="759"/>
      <c r="B37" s="1502"/>
      <c r="C37" s="809" t="s">
        <v>32</v>
      </c>
      <c r="D37" s="1503" t="s">
        <v>60</v>
      </c>
      <c r="E37" s="1504" t="s">
        <v>61</v>
      </c>
      <c r="F37" s="2839" t="s">
        <v>62</v>
      </c>
      <c r="G37" s="2840"/>
      <c r="H37" s="814" t="s">
        <v>39</v>
      </c>
      <c r="I37" s="1505"/>
      <c r="J37" s="1504" t="s">
        <v>40</v>
      </c>
      <c r="K37" s="1504" t="s">
        <v>41</v>
      </c>
      <c r="L37" s="1503" t="s">
        <v>63</v>
      </c>
      <c r="M37" s="1503" t="s">
        <v>43</v>
      </c>
      <c r="N37" s="815" t="s">
        <v>398</v>
      </c>
      <c r="O37" s="1504" t="s">
        <v>46</v>
      </c>
      <c r="P37" s="2849" t="s">
        <v>439</v>
      </c>
      <c r="Q37" s="2850"/>
      <c r="R37" s="814" t="s">
        <v>399</v>
      </c>
      <c r="S37" s="1506" t="s">
        <v>47</v>
      </c>
      <c r="T37" s="1507" t="s">
        <v>400</v>
      </c>
      <c r="U37" s="1508"/>
      <c r="V37" s="1509" t="s">
        <v>51</v>
      </c>
      <c r="W37" s="1510" t="s">
        <v>440</v>
      </c>
      <c r="X37" s="1511"/>
      <c r="Y37" s="1511"/>
      <c r="Z37" s="1511"/>
      <c r="AA37" s="1512"/>
      <c r="AB37" s="820" t="s">
        <v>53</v>
      </c>
      <c r="AC37" s="1411" t="s">
        <v>54</v>
      </c>
      <c r="AD37" s="1354"/>
      <c r="AF37" s="781"/>
      <c r="AG37" s="781"/>
    </row>
    <row r="38" spans="1:30" ht="15.75" thickTop="1">
      <c r="A38" s="760"/>
      <c r="B38" s="775"/>
      <c r="C38" s="1513"/>
      <c r="D38" s="1513"/>
      <c r="E38" s="1513"/>
      <c r="F38" s="2841"/>
      <c r="G38" s="2842"/>
      <c r="H38" s="1514"/>
      <c r="I38" s="1514"/>
      <c r="J38" s="1513"/>
      <c r="K38" s="1513"/>
      <c r="L38" s="1513"/>
      <c r="M38" s="1513"/>
      <c r="N38" s="1513"/>
      <c r="O38" s="1515"/>
      <c r="P38" s="2841"/>
      <c r="Q38" s="2842"/>
      <c r="R38" s="1516"/>
      <c r="S38" s="1516"/>
      <c r="T38" s="1516"/>
      <c r="U38" s="1516"/>
      <c r="V38" s="1516"/>
      <c r="W38" s="1516"/>
      <c r="X38" s="1516"/>
      <c r="Y38" s="1516"/>
      <c r="Z38" s="1516"/>
      <c r="AA38" s="1517"/>
      <c r="AB38" s="1515"/>
      <c r="AC38" s="1518"/>
      <c r="AD38" s="1354"/>
    </row>
    <row r="39" spans="1:30" ht="15">
      <c r="A39" s="760"/>
      <c r="B39" s="775"/>
      <c r="C39" s="1021" t="s">
        <v>396</v>
      </c>
      <c r="D39" s="1519"/>
      <c r="E39" s="1520"/>
      <c r="F39" s="2843"/>
      <c r="G39" s="2844"/>
      <c r="H39" s="1521">
        <f>F39*$F$22</f>
        <v>0</v>
      </c>
      <c r="I39" s="1522"/>
      <c r="J39" s="857"/>
      <c r="K39" s="858"/>
      <c r="L39" s="1523">
        <f>IF(D39="","",(K39-J39)*24)</f>
      </c>
      <c r="M39" s="1524">
        <f>IF(D39="","",(K39-J39)*24*60)</f>
      </c>
      <c r="N39" s="1525"/>
      <c r="O39" s="1526">
        <f>IF(D39="","",IF(N39="P","--","NO"))</f>
      </c>
      <c r="P39" s="2847">
        <f>IF(D39="","","--")</f>
      </c>
      <c r="Q39" s="2848"/>
      <c r="R39" s="1527">
        <f>IF(OR(N39="P",N39="RP"),20/10,20)</f>
        <v>20</v>
      </c>
      <c r="S39" s="1528" t="str">
        <f>IF(N39="P",H39*R39*ROUND(M39/60,2),"--")</f>
        <v>--</v>
      </c>
      <c r="T39" s="1529" t="str">
        <f>IF(AND(N39="F",O39="NO"),H39*R39,"--")</f>
        <v>--</v>
      </c>
      <c r="U39" s="1530" t="str">
        <f>IF(N39="F",H39*R39*ROUND(M39/60,2),"--")</f>
        <v>--</v>
      </c>
      <c r="V39" s="1531" t="str">
        <f>IF(N39="RF",H39*R39*ROUND(M39/60,2),"--")</f>
        <v>--</v>
      </c>
      <c r="W39" s="1532" t="str">
        <f>IF(N39="RP",H39*R39*P39/100*ROUND(M39/60,2),"--")</f>
        <v>--</v>
      </c>
      <c r="X39" s="1533"/>
      <c r="Y39" s="1533"/>
      <c r="Z39" s="1533"/>
      <c r="AA39" s="1534"/>
      <c r="AB39" s="1535">
        <f>IF(D39="","","SI")</f>
      </c>
      <c r="AC39" s="1536">
        <f>IF(D39="","",SUM(S39:W39)*IF(AB39="SI",1,2)*IF(AND(P39&lt;&gt;"--",N39="RF"),P39/100,1))</f>
      </c>
      <c r="AD39" s="1479"/>
    </row>
    <row r="40" spans="1:30" ht="15">
      <c r="A40" s="760"/>
      <c r="B40" s="775"/>
      <c r="C40" s="1021" t="s">
        <v>397</v>
      </c>
      <c r="D40" s="1519"/>
      <c r="E40" s="1520"/>
      <c r="F40" s="2843"/>
      <c r="G40" s="2844"/>
      <c r="H40" s="1521">
        <f>F40*$F$22</f>
        <v>0</v>
      </c>
      <c r="I40" s="1522"/>
      <c r="J40" s="1537"/>
      <c r="K40" s="1538"/>
      <c r="L40" s="1523">
        <f>IF(D40="","",(K40-J40)*24)</f>
      </c>
      <c r="M40" s="1524">
        <f>IF(D40="","",(K40-J40)*24*60)</f>
      </c>
      <c r="N40" s="1525"/>
      <c r="O40" s="1526">
        <f>IF(D40="","",IF(N40="P","--","NO"))</f>
      </c>
      <c r="P40" s="2847">
        <f>IF(D40="","","--")</f>
      </c>
      <c r="Q40" s="2848"/>
      <c r="R40" s="1527">
        <f>IF(OR(N40="P",N40="RP"),20/10,20)</f>
        <v>20</v>
      </c>
      <c r="S40" s="1528" t="str">
        <f>IF(N40="P",H40*R40*ROUND(M40/60,2),"--")</f>
        <v>--</v>
      </c>
      <c r="T40" s="1529" t="str">
        <f>IF(AND(N40="F",O40="NO"),H40*R40,"--")</f>
        <v>--</v>
      </c>
      <c r="U40" s="1530" t="str">
        <f>IF(N40="F",H40*R40*ROUND(M40/60,2),"--")</f>
        <v>--</v>
      </c>
      <c r="V40" s="1531" t="str">
        <f>IF(N40="RF",H40*R40*ROUND(M40/60,2),"--")</f>
        <v>--</v>
      </c>
      <c r="W40" s="1532" t="str">
        <f>IF(N40="RP",H40*R40*P40/100*ROUND(M40/60,2),"--")</f>
        <v>--</v>
      </c>
      <c r="X40" s="1533"/>
      <c r="Y40" s="1533"/>
      <c r="Z40" s="1533"/>
      <c r="AA40" s="1534"/>
      <c r="AB40" s="1535">
        <f>IF(D40="","","SI")</f>
      </c>
      <c r="AC40" s="1536">
        <f>IF(D40="","",SUM(S40:W40)*IF(AB40="SI",1,2)*IF(AND(P40&lt;&gt;"--",N40="RF"),P40/100,1))</f>
      </c>
      <c r="AD40" s="1479"/>
    </row>
    <row r="41" spans="1:30" ht="15">
      <c r="A41" s="760"/>
      <c r="B41" s="775"/>
      <c r="C41" s="1021" t="s">
        <v>401</v>
      </c>
      <c r="D41" s="1519"/>
      <c r="E41" s="1520"/>
      <c r="F41" s="2843"/>
      <c r="G41" s="2844"/>
      <c r="H41" s="1521">
        <f>F41*$F$22</f>
        <v>0</v>
      </c>
      <c r="I41" s="1522"/>
      <c r="J41" s="1537"/>
      <c r="K41" s="1538"/>
      <c r="L41" s="1523">
        <f>IF(D41="","",(K41-J41)*24)</f>
      </c>
      <c r="M41" s="1524">
        <f>IF(D41="","",(K41-J41)*24*60)</f>
      </c>
      <c r="N41" s="1525"/>
      <c r="O41" s="1526">
        <f>IF(D41="","",IF(N41="P","--","NO"))</f>
      </c>
      <c r="P41" s="2847">
        <f>IF(D41="","","--")</f>
      </c>
      <c r="Q41" s="2848"/>
      <c r="R41" s="1527">
        <f>IF(OR(N41="P",N41="RP"),20/10,20)</f>
        <v>20</v>
      </c>
      <c r="S41" s="1528" t="str">
        <f>IF(N41="P",H41*R41*ROUND(M41/60,2),"--")</f>
        <v>--</v>
      </c>
      <c r="T41" s="1529" t="str">
        <f>IF(AND(N41="F",O41="NO"),H41*R41,"--")</f>
        <v>--</v>
      </c>
      <c r="U41" s="1530" t="str">
        <f>IF(N41="F",H41*R41*ROUND(M41/60,2),"--")</f>
        <v>--</v>
      </c>
      <c r="V41" s="1531" t="str">
        <f>IF(N41="RF",H41*R41*ROUND(M41/60,2),"--")</f>
        <v>--</v>
      </c>
      <c r="W41" s="1532" t="str">
        <f>IF(N41="RP",H41*R41*P41/100*ROUND(M41/60,2),"--")</f>
        <v>--</v>
      </c>
      <c r="X41" s="1533"/>
      <c r="Y41" s="1533"/>
      <c r="Z41" s="1533"/>
      <c r="AA41" s="1534"/>
      <c r="AB41" s="1535">
        <f>IF(D41="","","SI")</f>
      </c>
      <c r="AC41" s="1536">
        <f>IF(D41="","",SUM(S41:W41)*IF(AB41="SI",1,2)*IF(AND(P41&lt;&gt;"--",N41="RF"),P41/100,1))</f>
      </c>
      <c r="AD41" s="1479"/>
    </row>
    <row r="42" spans="1:30" ht="15">
      <c r="A42" s="760"/>
      <c r="B42" s="775"/>
      <c r="C42" s="1021" t="s">
        <v>431</v>
      </c>
      <c r="D42" s="1519"/>
      <c r="E42" s="1520"/>
      <c r="F42" s="2843"/>
      <c r="G42" s="2844"/>
      <c r="H42" s="1521">
        <f>F42*$F$22</f>
        <v>0</v>
      </c>
      <c r="I42" s="1522"/>
      <c r="J42" s="1537"/>
      <c r="K42" s="1538"/>
      <c r="L42" s="1523">
        <f>IF(D42="","",(K42-J42)*24)</f>
      </c>
      <c r="M42" s="1524">
        <f>IF(D42="","",(K42-J42)*24*60)</f>
      </c>
      <c r="N42" s="1525"/>
      <c r="O42" s="1526">
        <f>IF(D42="","",IF(N42="P","--","NO"))</f>
      </c>
      <c r="P42" s="2847">
        <f>IF(D42="","","--")</f>
      </c>
      <c r="Q42" s="2848"/>
      <c r="R42" s="1527">
        <f>IF(OR(N42="P",N42="RP"),20/10,20)</f>
        <v>20</v>
      </c>
      <c r="S42" s="1528" t="str">
        <f>IF(N42="P",H42*R42*ROUND(M42/60,2),"--")</f>
        <v>--</v>
      </c>
      <c r="T42" s="1529" t="str">
        <f>IF(AND(N42="F",O42="NO"),H42*R42,"--")</f>
        <v>--</v>
      </c>
      <c r="U42" s="1530" t="str">
        <f>IF(N42="F",H42*R42*ROUND(M42/60,2),"--")</f>
        <v>--</v>
      </c>
      <c r="V42" s="1531" t="str">
        <f>IF(N42="RF",H42*R42*ROUND(M42/60,2),"--")</f>
        <v>--</v>
      </c>
      <c r="W42" s="1532" t="str">
        <f>IF(N42="RP",H42*R42*P42/100*ROUND(M42/60,2),"--")</f>
        <v>--</v>
      </c>
      <c r="X42" s="1533"/>
      <c r="Y42" s="1533"/>
      <c r="Z42" s="1533"/>
      <c r="AA42" s="1534"/>
      <c r="AB42" s="1535">
        <f>IF(D42="","","SI")</f>
      </c>
      <c r="AC42" s="1536">
        <f>IF(D42="","",SUM(S42:W42)*IF(AB42="SI",1,2)*IF(AND(P42&lt;&gt;"--",N42="RF"),P42/100,1))</f>
      </c>
      <c r="AD42" s="1479"/>
    </row>
    <row r="43" spans="1:30" ht="16.5" thickBot="1">
      <c r="A43" s="1371"/>
      <c r="B43" s="775"/>
      <c r="C43" s="1539"/>
      <c r="D43" s="1540"/>
      <c r="E43" s="1541"/>
      <c r="F43" s="2845"/>
      <c r="G43" s="2846"/>
      <c r="H43" s="1542"/>
      <c r="I43" s="1542"/>
      <c r="J43" s="1543"/>
      <c r="K43" s="1544"/>
      <c r="L43" s="1545"/>
      <c r="M43" s="1546"/>
      <c r="N43" s="1547"/>
      <c r="O43" s="1465"/>
      <c r="P43" s="2833"/>
      <c r="Q43" s="2834"/>
      <c r="R43" s="1548"/>
      <c r="S43" s="1548"/>
      <c r="T43" s="1548"/>
      <c r="U43" s="1548"/>
      <c r="V43" s="1548"/>
      <c r="W43" s="1548"/>
      <c r="X43" s="1548"/>
      <c r="Y43" s="1548"/>
      <c r="Z43" s="1548"/>
      <c r="AA43" s="1549"/>
      <c r="AB43" s="1550"/>
      <c r="AC43" s="1551"/>
      <c r="AD43" s="1479"/>
    </row>
    <row r="44" spans="1:30" ht="17.25" thickBot="1" thickTop="1">
      <c r="A44" s="1371"/>
      <c r="B44" s="775"/>
      <c r="C44" s="1552"/>
      <c r="D44" s="1393"/>
      <c r="E44" s="1393"/>
      <c r="F44" s="1553"/>
      <c r="G44" s="1554"/>
      <c r="H44" s="1555"/>
      <c r="I44" s="1556"/>
      <c r="J44" s="1557"/>
      <c r="K44" s="1558"/>
      <c r="L44" s="1559"/>
      <c r="M44" s="1555"/>
      <c r="N44" s="1560"/>
      <c r="O44" s="1561"/>
      <c r="P44" s="1562"/>
      <c r="Q44" s="1563"/>
      <c r="R44" s="1564"/>
      <c r="S44" s="1564"/>
      <c r="T44" s="1564"/>
      <c r="U44" s="1565"/>
      <c r="V44" s="1565"/>
      <c r="W44" s="1565"/>
      <c r="X44" s="1565"/>
      <c r="Y44" s="1565"/>
      <c r="Z44" s="1565"/>
      <c r="AA44" s="1565"/>
      <c r="AB44" s="1565"/>
      <c r="AC44" s="1566">
        <f>SUM(AC38:AC43)</f>
        <v>0</v>
      </c>
      <c r="AD44" s="1479"/>
    </row>
    <row r="45" spans="1:30" ht="17.25" thickBot="1" thickTop="1">
      <c r="A45" s="1371"/>
      <c r="B45" s="775"/>
      <c r="C45" s="1552"/>
      <c r="D45" s="776"/>
      <c r="E45" s="1552"/>
      <c r="F45" s="776"/>
      <c r="G45" s="1552"/>
      <c r="H45" s="776"/>
      <c r="I45" s="1552"/>
      <c r="J45" s="776"/>
      <c r="K45" s="1552"/>
      <c r="L45" s="776"/>
      <c r="M45" s="1552"/>
      <c r="N45" s="776"/>
      <c r="O45" s="1552"/>
      <c r="P45" s="776"/>
      <c r="Q45" s="1552"/>
      <c r="R45" s="776"/>
      <c r="S45" s="1552"/>
      <c r="T45" s="776"/>
      <c r="U45" s="1552"/>
      <c r="V45" s="776"/>
      <c r="W45" s="1552"/>
      <c r="X45" s="776"/>
      <c r="Y45" s="1552"/>
      <c r="Z45" s="776"/>
      <c r="AA45" s="1552"/>
      <c r="AB45" s="776"/>
      <c r="AC45" s="1552"/>
      <c r="AD45" s="1479"/>
    </row>
    <row r="46" spans="1:33" s="760" customFormat="1" ht="31.5" customHeight="1" thickBot="1" thickTop="1">
      <c r="A46" s="759"/>
      <c r="B46" s="1502"/>
      <c r="C46" s="809" t="s">
        <v>32</v>
      </c>
      <c r="D46" s="1503" t="s">
        <v>60</v>
      </c>
      <c r="E46" s="812" t="s">
        <v>61</v>
      </c>
      <c r="F46" s="2851" t="s">
        <v>344</v>
      </c>
      <c r="G46" s="2852"/>
      <c r="H46" s="814" t="s">
        <v>39</v>
      </c>
      <c r="I46" s="1567"/>
      <c r="J46" s="812" t="s">
        <v>40</v>
      </c>
      <c r="K46" s="812" t="s">
        <v>41</v>
      </c>
      <c r="L46" s="811" t="s">
        <v>42</v>
      </c>
      <c r="M46" s="811" t="s">
        <v>43</v>
      </c>
      <c r="N46" s="815" t="s">
        <v>251</v>
      </c>
      <c r="O46" s="815" t="s">
        <v>44</v>
      </c>
      <c r="P46" s="2824" t="s">
        <v>46</v>
      </c>
      <c r="Q46" s="2825"/>
      <c r="R46" s="1569" t="s">
        <v>38</v>
      </c>
      <c r="S46" s="1570" t="s">
        <v>73</v>
      </c>
      <c r="T46" s="1571" t="s">
        <v>345</v>
      </c>
      <c r="U46" s="1572"/>
      <c r="V46" s="1573" t="s">
        <v>346</v>
      </c>
      <c r="W46" s="1574"/>
      <c r="X46" s="1575" t="s">
        <v>51</v>
      </c>
      <c r="Y46" s="1577" t="s">
        <v>48</v>
      </c>
      <c r="Z46" s="1567"/>
      <c r="AA46" s="1567"/>
      <c r="AB46" s="820" t="s">
        <v>53</v>
      </c>
      <c r="AC46" s="822" t="s">
        <v>54</v>
      </c>
      <c r="AD46" s="1354"/>
      <c r="AF46" s="781"/>
      <c r="AG46" s="781"/>
    </row>
    <row r="47" spans="1:30" ht="15.75" thickTop="1">
      <c r="A47" s="760"/>
      <c r="B47" s="775"/>
      <c r="C47" s="1513"/>
      <c r="D47" s="1513"/>
      <c r="E47" s="1513"/>
      <c r="F47" s="2841"/>
      <c r="G47" s="2842"/>
      <c r="H47" s="1514"/>
      <c r="I47" s="1514"/>
      <c r="J47" s="1513"/>
      <c r="K47" s="1513"/>
      <c r="L47" s="1513"/>
      <c r="M47" s="1513"/>
      <c r="N47" s="1578"/>
      <c r="O47" s="862">
        <f aca="true" t="shared" si="1" ref="O47:O52">IF(D47="","","--")</f>
      </c>
      <c r="P47" s="1580"/>
      <c r="Q47" s="1579"/>
      <c r="R47" s="1516"/>
      <c r="S47" s="1516"/>
      <c r="T47" s="1516"/>
      <c r="U47" s="1516"/>
      <c r="V47" s="1516"/>
      <c r="W47" s="1516"/>
      <c r="X47" s="1516"/>
      <c r="Y47" s="1516"/>
      <c r="Z47" s="1516"/>
      <c r="AA47" s="1517"/>
      <c r="AB47" s="1535">
        <f aca="true" t="shared" si="2" ref="AB47:AB52">IF(D47="","","SI")</f>
      </c>
      <c r="AC47" s="1518"/>
      <c r="AD47" s="1354"/>
    </row>
    <row r="48" spans="1:30" ht="15">
      <c r="A48" s="760"/>
      <c r="B48" s="775"/>
      <c r="C48" s="1021" t="s">
        <v>396</v>
      </c>
      <c r="D48" s="1581" t="s">
        <v>271</v>
      </c>
      <c r="E48" s="1582" t="s">
        <v>375</v>
      </c>
      <c r="F48" s="2837">
        <v>80</v>
      </c>
      <c r="G48" s="2838"/>
      <c r="H48" s="856">
        <f>F48*$F$21</f>
        <v>51.92</v>
      </c>
      <c r="I48" s="1567"/>
      <c r="J48" s="857">
        <v>40981.3125</v>
      </c>
      <c r="K48" s="858">
        <v>40981.67013888889</v>
      </c>
      <c r="L48" s="859">
        <f>IF(D48="","",(K48-J48)*24)</f>
        <v>8.583333333372138</v>
      </c>
      <c r="M48" s="860">
        <f>IF(D48="","",ROUND((K48-J48)*24*60,0))</f>
        <v>515</v>
      </c>
      <c r="N48" s="861" t="s">
        <v>253</v>
      </c>
      <c r="O48" s="862" t="str">
        <f t="shared" si="1"/>
        <v>--</v>
      </c>
      <c r="P48" s="2819" t="str">
        <f>IF(D48="","",IF(OR(N48="P",N48="RP"),"--","NO"))</f>
        <v>--</v>
      </c>
      <c r="Q48" s="2820"/>
      <c r="R48" s="1583">
        <f>IF(OR(N48="P",N48="RP"),$F$22/10,$F$22)</f>
        <v>2</v>
      </c>
      <c r="S48" s="1584">
        <f>IF(N48="P",H48*R48*ROUND(M48/60,2),"--")</f>
        <v>890.9472000000001</v>
      </c>
      <c r="T48" s="1585" t="str">
        <f>IF(AND(N48="F",P48="NO"),H48*R48,"--")</f>
        <v>--</v>
      </c>
      <c r="U48" s="1586" t="str">
        <f>IF(N48="F",H48*R48*ROUND(M48/60,2),"--")</f>
        <v>--</v>
      </c>
      <c r="V48" s="1587" t="str">
        <f>IF(AND(N48="R",P48="NO"),H48*R48*O48/100,"--")</f>
        <v>--</v>
      </c>
      <c r="W48" s="1588" t="str">
        <f>IF(N48="R",H48*R48*O48/100*ROUND(M48/60,2),"--")</f>
        <v>--</v>
      </c>
      <c r="X48" s="1589" t="str">
        <f>IF(N48="RF",H48*R48*ROUND(M48/60,2),"--")</f>
        <v>--</v>
      </c>
      <c r="Y48" s="1590" t="str">
        <f>IF(N48="RP",H48*R48*O48/100*ROUND(M48/60,2),"--")</f>
        <v>--</v>
      </c>
      <c r="Z48" s="1567"/>
      <c r="AA48" s="1567"/>
      <c r="AB48" s="863" t="str">
        <f t="shared" si="2"/>
        <v>SI</v>
      </c>
      <c r="AC48" s="868">
        <f>IF(D48="","",SUM(S48:Y48)*IF(AB48="SI",1,2)*IF(AND(O48&lt;&gt;"--",N48="RF"),O48/100,1))</f>
        <v>890.9472000000001</v>
      </c>
      <c r="AD48" s="1479"/>
    </row>
    <row r="49" spans="2:30" s="1371" customFormat="1" ht="16.5" customHeight="1">
      <c r="B49" s="1372"/>
      <c r="C49" s="1021" t="s">
        <v>397</v>
      </c>
      <c r="D49" s="1581" t="s">
        <v>271</v>
      </c>
      <c r="E49" s="1582" t="s">
        <v>375</v>
      </c>
      <c r="F49" s="2837">
        <v>80</v>
      </c>
      <c r="G49" s="2838"/>
      <c r="H49" s="856">
        <f>F49*$F$21</f>
        <v>51.92</v>
      </c>
      <c r="I49" s="1567"/>
      <c r="J49" s="857">
        <v>40982.31527777778</v>
      </c>
      <c r="K49" s="858">
        <v>40982.69513888889</v>
      </c>
      <c r="L49" s="859">
        <f>IF(D49="","",(K49-J49)*24)</f>
        <v>9.11666666669771</v>
      </c>
      <c r="M49" s="860">
        <f>IF(D49="","",ROUND((K49-J49)*24*60,0))</f>
        <v>547</v>
      </c>
      <c r="N49" s="861" t="s">
        <v>253</v>
      </c>
      <c r="O49" s="862" t="str">
        <f t="shared" si="1"/>
        <v>--</v>
      </c>
      <c r="P49" s="2819" t="str">
        <f>IF(D49="","",IF(OR(N49="P",N49="RP"),"--","NO"))</f>
        <v>--</v>
      </c>
      <c r="Q49" s="2820"/>
      <c r="R49" s="1583">
        <f>IF(OR(N49="P",N49="RP"),$F$22/10,$F$22)</f>
        <v>2</v>
      </c>
      <c r="S49" s="1584">
        <f>IF(N49="P",H49*R49*ROUND(M49/60,2),"--")</f>
        <v>947.0207999999999</v>
      </c>
      <c r="T49" s="1585" t="str">
        <f>IF(AND(N49="F",P49="NO"),H49*R49,"--")</f>
        <v>--</v>
      </c>
      <c r="U49" s="1586" t="str">
        <f>IF(N49="F",H49*R49*ROUND(M49/60,2),"--")</f>
        <v>--</v>
      </c>
      <c r="V49" s="1587" t="str">
        <f>IF(AND(N49="R",P49="NO"),H49*R49*O49/100,"--")</f>
        <v>--</v>
      </c>
      <c r="W49" s="1588" t="str">
        <f>IF(N49="R",H49*R49*O49/100*ROUND(M49/60,2),"--")</f>
        <v>--</v>
      </c>
      <c r="X49" s="1589" t="str">
        <f>IF(N49="RF",H49*R49*ROUND(M49/60,2),"--")</f>
        <v>--</v>
      </c>
      <c r="Y49" s="1590" t="str">
        <f>IF(N49="RP",H49*R49*O49/100*ROUND(M49/60,2),"--")</f>
        <v>--</v>
      </c>
      <c r="Z49" s="1567"/>
      <c r="AA49" s="1567"/>
      <c r="AB49" s="863" t="str">
        <f t="shared" si="2"/>
        <v>SI</v>
      </c>
      <c r="AC49" s="868">
        <f>IF(D49="","",SUM(S49:Y49)*IF(AB49="SI",1,2)*IF(AND(O49&lt;&gt;"--",N49="RF"),O49/100,1))</f>
        <v>947.0207999999999</v>
      </c>
      <c r="AD49" s="1591"/>
    </row>
    <row r="50" spans="1:30" ht="15">
      <c r="A50" s="760"/>
      <c r="B50" s="775"/>
      <c r="C50" s="1021" t="s">
        <v>401</v>
      </c>
      <c r="D50" s="1581" t="s">
        <v>271</v>
      </c>
      <c r="E50" s="1582" t="s">
        <v>375</v>
      </c>
      <c r="F50" s="2837">
        <v>80</v>
      </c>
      <c r="G50" s="2838"/>
      <c r="H50" s="856">
        <f>F50*$F$21</f>
        <v>51.92</v>
      </c>
      <c r="I50" s="1567"/>
      <c r="J50" s="857">
        <v>40983.31319444445</v>
      </c>
      <c r="K50" s="858">
        <v>40983.67083333333</v>
      </c>
      <c r="L50" s="859">
        <f>IF(D50="","",(K50-J50)*24)</f>
        <v>8.583333333197515</v>
      </c>
      <c r="M50" s="860">
        <f>IF(D50="","",ROUND((K50-J50)*24*60,0))</f>
        <v>515</v>
      </c>
      <c r="N50" s="861" t="s">
        <v>253</v>
      </c>
      <c r="O50" s="862" t="str">
        <f t="shared" si="1"/>
        <v>--</v>
      </c>
      <c r="P50" s="2819" t="str">
        <f>IF(D50="","",IF(OR(N50="P",N50="RP"),"--","NO"))</f>
        <v>--</v>
      </c>
      <c r="Q50" s="2820"/>
      <c r="R50" s="1583">
        <f>IF(OR(N50="P",N50="RP"),$F$22/10,$F$22)</f>
        <v>2</v>
      </c>
      <c r="S50" s="1584">
        <f>IF(N50="P",H50*R50*ROUND(M50/60,2),"--")</f>
        <v>890.9472000000001</v>
      </c>
      <c r="T50" s="1585" t="str">
        <f>IF(AND(N50="F",P50="NO"),H50*R50,"--")</f>
        <v>--</v>
      </c>
      <c r="U50" s="1586" t="str">
        <f>IF(N50="F",H50*R50*ROUND(M50/60,2),"--")</f>
        <v>--</v>
      </c>
      <c r="V50" s="1587" t="str">
        <f>IF(AND(N50="R",P50="NO"),H50*R50*O50/100,"--")</f>
        <v>--</v>
      </c>
      <c r="W50" s="1588" t="str">
        <f>IF(N50="R",H50*R50*O50/100*ROUND(M50/60,2),"--")</f>
        <v>--</v>
      </c>
      <c r="X50" s="1589" t="str">
        <f>IF(N50="RF",H50*R50*ROUND(M50/60,2),"--")</f>
        <v>--</v>
      </c>
      <c r="Y50" s="1590" t="str">
        <f>IF(N50="RP",H50*R50*O50/100*ROUND(M50/60,2),"--")</f>
        <v>--</v>
      </c>
      <c r="Z50" s="1567"/>
      <c r="AA50" s="1567"/>
      <c r="AB50" s="863" t="str">
        <f t="shared" si="2"/>
        <v>SI</v>
      </c>
      <c r="AC50" s="868">
        <f>IF(D50="","",SUM(S50:Y50)*IF(AB50="SI",1,2)*IF(AND(O50&lt;&gt;"--",N50="RF"),O50/100,1))</f>
        <v>890.9472000000001</v>
      </c>
      <c r="AD50" s="1479"/>
    </row>
    <row r="51" spans="1:30" ht="15">
      <c r="A51" s="760"/>
      <c r="B51" s="775"/>
      <c r="C51" s="1021" t="s">
        <v>431</v>
      </c>
      <c r="D51" s="1581" t="s">
        <v>271</v>
      </c>
      <c r="E51" s="1582" t="s">
        <v>375</v>
      </c>
      <c r="F51" s="2837">
        <v>80</v>
      </c>
      <c r="G51" s="2838"/>
      <c r="H51" s="856">
        <f>F51*$F$21</f>
        <v>51.92</v>
      </c>
      <c r="I51" s="1567"/>
      <c r="J51" s="857">
        <v>40984.33472222222</v>
      </c>
      <c r="K51" s="858">
        <v>40984.66527777778</v>
      </c>
      <c r="L51" s="859">
        <f>IF(D51="","",(K51-J51)*24)</f>
        <v>7.933333333348855</v>
      </c>
      <c r="M51" s="860">
        <f>IF(D51="","",ROUND((K51-J51)*24*60,0))</f>
        <v>476</v>
      </c>
      <c r="N51" s="861" t="s">
        <v>253</v>
      </c>
      <c r="O51" s="862" t="str">
        <f t="shared" si="1"/>
        <v>--</v>
      </c>
      <c r="P51" s="2819" t="str">
        <f>IF(D51="","",IF(OR(N51="P",N51="RP"),"--","NO"))</f>
        <v>--</v>
      </c>
      <c r="Q51" s="2820"/>
      <c r="R51" s="1583">
        <f>IF(OR(N51="P",N51="RP"),$F$22/10,$F$22)</f>
        <v>2</v>
      </c>
      <c r="S51" s="1584">
        <f>IF(N51="P",H51*R51*ROUND(M51/60,2),"--")</f>
        <v>823.4512</v>
      </c>
      <c r="T51" s="1585" t="str">
        <f>IF(AND(N51="F",P51="NO"),H51*R51,"--")</f>
        <v>--</v>
      </c>
      <c r="U51" s="1586" t="str">
        <f>IF(N51="F",H51*R51*ROUND(M51/60,2),"--")</f>
        <v>--</v>
      </c>
      <c r="V51" s="1587" t="str">
        <f>IF(AND(N51="R",P51="NO"),H51*R51*O51/100,"--")</f>
        <v>--</v>
      </c>
      <c r="W51" s="1588" t="str">
        <f>IF(N51="R",H51*R51*O51/100*ROUND(M51/60,2),"--")</f>
        <v>--</v>
      </c>
      <c r="X51" s="1589" t="str">
        <f>IF(N51="RF",H51*R51*ROUND(M51/60,2),"--")</f>
        <v>--</v>
      </c>
      <c r="Y51" s="1590" t="str">
        <f>IF(N51="RP",H51*R51*O51/100*ROUND(M51/60,2),"--")</f>
        <v>--</v>
      </c>
      <c r="Z51" s="1567"/>
      <c r="AA51" s="1567"/>
      <c r="AB51" s="863" t="str">
        <f t="shared" si="2"/>
        <v>SI</v>
      </c>
      <c r="AC51" s="868">
        <f>IF(D51="","",SUM(S51:Y51)*IF(AB51="SI",1,2)*IF(AND(O51&lt;&gt;"--",N51="RF"),O51/100,1))</f>
        <v>823.4512</v>
      </c>
      <c r="AD51" s="1479"/>
    </row>
    <row r="52" spans="1:30" ht="15">
      <c r="A52" s="760"/>
      <c r="B52" s="775"/>
      <c r="C52" s="1021" t="s">
        <v>432</v>
      </c>
      <c r="D52" s="1581" t="s">
        <v>271</v>
      </c>
      <c r="E52" s="1582" t="s">
        <v>375</v>
      </c>
      <c r="F52" s="2837">
        <v>80</v>
      </c>
      <c r="G52" s="2838"/>
      <c r="H52" s="856">
        <f>F52*$F$21</f>
        <v>51.92</v>
      </c>
      <c r="I52" s="1567"/>
      <c r="J52" s="857">
        <v>40985.30347222222</v>
      </c>
      <c r="K52" s="858">
        <v>40985.486805555556</v>
      </c>
      <c r="L52" s="859">
        <f>IF(D52="","",(K52-J52)*24)</f>
        <v>4.400000000023283</v>
      </c>
      <c r="M52" s="860">
        <f>IF(D52="","",ROUND((K52-J52)*24*60,0))</f>
        <v>264</v>
      </c>
      <c r="N52" s="861" t="s">
        <v>253</v>
      </c>
      <c r="O52" s="862" t="str">
        <f t="shared" si="1"/>
        <v>--</v>
      </c>
      <c r="P52" s="2819" t="str">
        <f>IF(D52="","",IF(OR(N52="P",N52="RP"),"--","NO"))</f>
        <v>--</v>
      </c>
      <c r="Q52" s="2820"/>
      <c r="R52" s="1583">
        <f>IF(OR(N52="P",N52="RP"),$F$22/10,$F$22)</f>
        <v>2</v>
      </c>
      <c r="S52" s="1584">
        <f>IF(N52="P",H52*R52*ROUND(M52/60,2),"--")</f>
        <v>456.8960000000001</v>
      </c>
      <c r="T52" s="1585" t="str">
        <f>IF(AND(N52="F",P52="NO"),H52*R52,"--")</f>
        <v>--</v>
      </c>
      <c r="U52" s="1586" t="str">
        <f>IF(N52="F",H52*R52*ROUND(M52/60,2),"--")</f>
        <v>--</v>
      </c>
      <c r="V52" s="1587" t="str">
        <f>IF(AND(N52="R",P52="NO"),H52*R52*O52/100,"--")</f>
        <v>--</v>
      </c>
      <c r="W52" s="1588" t="str">
        <f>IF(N52="R",H52*R52*O52/100*ROUND(M52/60,2),"--")</f>
        <v>--</v>
      </c>
      <c r="X52" s="1589" t="str">
        <f>IF(N52="RF",H52*R52*ROUND(M52/60,2),"--")</f>
        <v>--</v>
      </c>
      <c r="Y52" s="1590" t="str">
        <f>IF(N52="RP",H52*R52*O52/100*ROUND(M52/60,2),"--")</f>
        <v>--</v>
      </c>
      <c r="Z52" s="1567"/>
      <c r="AA52" s="1567"/>
      <c r="AB52" s="863" t="str">
        <f t="shared" si="2"/>
        <v>SI</v>
      </c>
      <c r="AC52" s="868">
        <f>IF(D52="","",SUM(S52:Y52)*IF(AB52="SI",1,2)*IF(AND(O52&lt;&gt;"--",N52="RF"),O52/100,1))</f>
        <v>456.8960000000001</v>
      </c>
      <c r="AD52" s="1479"/>
    </row>
    <row r="53" spans="1:30" ht="16.5" thickBot="1">
      <c r="A53" s="1371"/>
      <c r="B53" s="775"/>
      <c r="C53" s="1539"/>
      <c r="D53" s="1540"/>
      <c r="E53" s="1541"/>
      <c r="F53" s="2845"/>
      <c r="G53" s="2846"/>
      <c r="H53" s="1542"/>
      <c r="I53" s="1542"/>
      <c r="J53" s="1543"/>
      <c r="K53" s="1544"/>
      <c r="L53" s="1545"/>
      <c r="M53" s="1546"/>
      <c r="N53" s="1592"/>
      <c r="O53" s="1592"/>
      <c r="P53" s="1593"/>
      <c r="Q53" s="1594"/>
      <c r="R53" s="1548"/>
      <c r="S53" s="1548"/>
      <c r="T53" s="1548"/>
      <c r="U53" s="1548"/>
      <c r="V53" s="1548"/>
      <c r="W53" s="1548"/>
      <c r="X53" s="1548"/>
      <c r="Y53" s="1548"/>
      <c r="Z53" s="1548"/>
      <c r="AA53" s="1549"/>
      <c r="AB53" s="1550"/>
      <c r="AC53" s="1551"/>
      <c r="AD53" s="1479"/>
    </row>
    <row r="54" spans="1:30" ht="17.25" thickBot="1" thickTop="1">
      <c r="A54" s="1371"/>
      <c r="B54" s="775"/>
      <c r="C54" s="1552"/>
      <c r="D54" s="1393"/>
      <c r="E54" s="1393"/>
      <c r="F54" s="1553"/>
      <c r="G54" s="1554"/>
      <c r="H54" s="1555"/>
      <c r="I54" s="1556"/>
      <c r="J54" s="1557"/>
      <c r="K54" s="1558"/>
      <c r="L54" s="1559"/>
      <c r="M54" s="1555"/>
      <c r="N54" s="1560"/>
      <c r="O54" s="1561"/>
      <c r="P54" s="1562"/>
      <c r="Q54" s="1595"/>
      <c r="R54" s="1564"/>
      <c r="S54" s="1564"/>
      <c r="T54" s="1564"/>
      <c r="U54" s="1565"/>
      <c r="V54" s="1565"/>
      <c r="W54" s="1565"/>
      <c r="X54" s="1565"/>
      <c r="Y54" s="1565"/>
      <c r="Z54" s="1565"/>
      <c r="AA54" s="1565"/>
      <c r="AB54" s="1596"/>
      <c r="AC54" s="1566">
        <f>SUM(AC47:AC53)</f>
        <v>4009.2624</v>
      </c>
      <c r="AD54" s="1479"/>
    </row>
    <row r="55" spans="1:30" ht="20.25" thickBot="1" thickTop="1">
      <c r="A55" s="1371"/>
      <c r="B55" s="775"/>
      <c r="C55" s="1552"/>
      <c r="D55" s="1393"/>
      <c r="E55" s="1393"/>
      <c r="F55" s="1553"/>
      <c r="G55" s="1554"/>
      <c r="H55" s="1555"/>
      <c r="I55" s="1556"/>
      <c r="J55" s="1391" t="s">
        <v>402</v>
      </c>
      <c r="K55" s="1392">
        <f>AC35+AC44+AC54</f>
        <v>4009.2624</v>
      </c>
      <c r="L55" s="1559"/>
      <c r="M55" s="1555"/>
      <c r="N55" s="1597"/>
      <c r="O55" s="1598"/>
      <c r="P55" s="1562"/>
      <c r="Q55" s="1595"/>
      <c r="R55" s="1599"/>
      <c r="S55" s="1599"/>
      <c r="T55" s="1599"/>
      <c r="U55" s="1596"/>
      <c r="V55" s="1596"/>
      <c r="W55" s="1596"/>
      <c r="X55" s="1596"/>
      <c r="Y55" s="1596"/>
      <c r="Z55" s="1596"/>
      <c r="AA55" s="1596"/>
      <c r="AB55" s="1596"/>
      <c r="AC55" s="1600"/>
      <c r="AD55" s="1479"/>
    </row>
    <row r="56" spans="1:30" ht="13.5" customHeight="1" thickTop="1">
      <c r="A56" s="1371"/>
      <c r="B56" s="1372"/>
      <c r="C56" s="1376"/>
      <c r="D56" s="1601"/>
      <c r="E56" s="1602"/>
      <c r="F56" s="1603"/>
      <c r="G56" s="1604"/>
      <c r="H56" s="1604"/>
      <c r="I56" s="1602"/>
      <c r="J56" s="1605"/>
      <c r="K56" s="1605"/>
      <c r="L56" s="1602"/>
      <c r="M56" s="1602"/>
      <c r="N56" s="1602"/>
      <c r="O56" s="1606"/>
      <c r="P56" s="1602"/>
      <c r="Q56" s="1602"/>
      <c r="R56" s="1607"/>
      <c r="S56" s="1608"/>
      <c r="T56" s="1608"/>
      <c r="U56" s="1609"/>
      <c r="AC56" s="1609"/>
      <c r="AD56" s="1591"/>
    </row>
    <row r="57" spans="1:30" ht="16.5" customHeight="1">
      <c r="A57" s="1371"/>
      <c r="B57" s="1372"/>
      <c r="C57" s="1610" t="s">
        <v>403</v>
      </c>
      <c r="D57" s="1611" t="s">
        <v>422</v>
      </c>
      <c r="E57" s="1602"/>
      <c r="F57" s="1603"/>
      <c r="G57" s="1604"/>
      <c r="H57" s="1604"/>
      <c r="I57" s="1602"/>
      <c r="J57" s="1605"/>
      <c r="K57" s="1605"/>
      <c r="L57" s="1602"/>
      <c r="M57" s="1602"/>
      <c r="N57" s="1602"/>
      <c r="O57" s="1606"/>
      <c r="P57" s="1602"/>
      <c r="Q57" s="1602"/>
      <c r="R57" s="1607"/>
      <c r="S57" s="1608"/>
      <c r="T57" s="1608"/>
      <c r="U57" s="1609"/>
      <c r="AC57" s="1609"/>
      <c r="AD57" s="1591"/>
    </row>
    <row r="58" spans="1:30" ht="16.5" customHeight="1">
      <c r="A58" s="1371"/>
      <c r="B58" s="1372"/>
      <c r="C58" s="1610"/>
      <c r="D58" s="1601"/>
      <c r="E58" s="1602"/>
      <c r="F58" s="1603"/>
      <c r="G58" s="1604"/>
      <c r="H58" s="1604"/>
      <c r="I58" s="1602"/>
      <c r="J58" s="1605"/>
      <c r="K58" s="1605"/>
      <c r="L58" s="1602"/>
      <c r="M58" s="1602"/>
      <c r="N58" s="1602"/>
      <c r="O58" s="1606"/>
      <c r="P58" s="1602"/>
      <c r="Q58" s="1602"/>
      <c r="R58" s="1602"/>
      <c r="S58" s="1607"/>
      <c r="T58" s="1608"/>
      <c r="AD58" s="1591"/>
    </row>
    <row r="59" spans="2:30" s="1371" customFormat="1" ht="16.5" customHeight="1">
      <c r="B59" s="1372"/>
      <c r="C59" s="1376"/>
      <c r="D59" s="1612" t="s">
        <v>5</v>
      </c>
      <c r="E59" s="1482" t="s">
        <v>404</v>
      </c>
      <c r="F59" s="1482" t="s">
        <v>405</v>
      </c>
      <c r="G59" s="1613" t="s">
        <v>423</v>
      </c>
      <c r="H59" s="1483"/>
      <c r="I59" s="1482"/>
      <c r="J59" s="781"/>
      <c r="K59" s="1614" t="s">
        <v>424</v>
      </c>
      <c r="L59" s="781"/>
      <c r="M59" s="781"/>
      <c r="O59" s="1614" t="s">
        <v>444</v>
      </c>
      <c r="P59" s="1615"/>
      <c r="Q59" s="1616"/>
      <c r="R59" s="1617"/>
      <c r="S59" s="1373"/>
      <c r="T59" s="781"/>
      <c r="U59" s="781"/>
      <c r="V59" s="781"/>
      <c r="W59" s="781"/>
      <c r="X59" s="1373"/>
      <c r="Y59" s="1373"/>
      <c r="Z59" s="1373"/>
      <c r="AA59" s="1373"/>
      <c r="AB59" s="1373"/>
      <c r="AC59" s="1618" t="s">
        <v>425</v>
      </c>
      <c r="AD59" s="1591"/>
    </row>
    <row r="60" spans="2:30" s="1371" customFormat="1" ht="16.5" customHeight="1">
      <c r="B60" s="1372"/>
      <c r="C60" s="1376"/>
      <c r="D60" s="1482" t="s">
        <v>441</v>
      </c>
      <c r="E60" s="1619">
        <v>267</v>
      </c>
      <c r="F60" s="1620">
        <v>500</v>
      </c>
      <c r="G60" s="1621">
        <f>E60*$F$20*$L$21/100</f>
        <v>469319.80536</v>
      </c>
      <c r="H60" s="1621"/>
      <c r="I60" s="1621"/>
      <c r="J60" s="1361"/>
      <c r="K60" s="1622">
        <v>1374253</v>
      </c>
      <c r="L60" s="1361"/>
      <c r="M60" s="1623" t="str">
        <f>"(DTE "&amp;DATO!$G$14&amp;DATO!$H$14&amp;")"</f>
        <v>(DTE 0312)</v>
      </c>
      <c r="R60" s="1617"/>
      <c r="S60" s="1373"/>
      <c r="T60" s="781"/>
      <c r="U60" s="781"/>
      <c r="V60" s="781"/>
      <c r="W60" s="781"/>
      <c r="X60" s="1373"/>
      <c r="Y60" s="1373"/>
      <c r="Z60" s="1373"/>
      <c r="AA60" s="1373"/>
      <c r="AB60" s="1624"/>
      <c r="AC60" s="1386">
        <f>K60+G60</f>
        <v>1843572.80536</v>
      </c>
      <c r="AD60" s="1591"/>
    </row>
    <row r="61" spans="2:30" s="1371" customFormat="1" ht="16.5" customHeight="1">
      <c r="B61" s="1372"/>
      <c r="C61" s="1376"/>
      <c r="D61" s="1482" t="s">
        <v>442</v>
      </c>
      <c r="E61" s="1619">
        <f>3*3.6</f>
        <v>10.8</v>
      </c>
      <c r="F61" s="1620">
        <v>500</v>
      </c>
      <c r="G61" s="1621">
        <f>E61*$F$20*$L$21/100</f>
        <v>18983.722464000002</v>
      </c>
      <c r="H61" s="1625"/>
      <c r="I61" s="1626"/>
      <c r="J61" s="1361"/>
      <c r="K61" s="1621">
        <v>48585</v>
      </c>
      <c r="L61" s="1361"/>
      <c r="M61" s="1623" t="str">
        <f>"(DTE "&amp;DATO!$G$14&amp;DATO!$H$14&amp;")"</f>
        <v>(DTE 0312)</v>
      </c>
      <c r="O61" s="1627"/>
      <c r="P61" s="781"/>
      <c r="Q61" s="1617"/>
      <c r="R61" s="1617"/>
      <c r="S61" s="1373"/>
      <c r="T61" s="781"/>
      <c r="U61" s="781"/>
      <c r="V61" s="781"/>
      <c r="W61" s="781"/>
      <c r="X61" s="1373"/>
      <c r="Y61" s="1373"/>
      <c r="Z61" s="1373"/>
      <c r="AA61" s="1373"/>
      <c r="AB61" s="1373"/>
      <c r="AC61" s="1386">
        <f>K61+G61</f>
        <v>67568.722464</v>
      </c>
      <c r="AD61" s="1591"/>
    </row>
    <row r="62" spans="2:30" s="1371" customFormat="1" ht="16.5" customHeight="1">
      <c r="B62" s="1372"/>
      <c r="C62" s="1376"/>
      <c r="E62" s="1381"/>
      <c r="F62" s="1482"/>
      <c r="G62" s="1483"/>
      <c r="H62" s="781"/>
      <c r="I62" s="1482"/>
      <c r="J62" s="1482"/>
      <c r="K62" s="781"/>
      <c r="L62" s="1386"/>
      <c r="M62" s="1616"/>
      <c r="N62" s="1616"/>
      <c r="O62" s="1622">
        <v>0</v>
      </c>
      <c r="P62" s="1361"/>
      <c r="Q62" s="1623" t="str">
        <f>"(DTE "&amp;DATO!$G$14&amp;DATO!$H$14&amp;")"</f>
        <v>(DTE 0312)</v>
      </c>
      <c r="R62" s="1617"/>
      <c r="S62" s="1373"/>
      <c r="T62" s="781"/>
      <c r="U62" s="781"/>
      <c r="V62" s="781"/>
      <c r="W62" s="781"/>
      <c r="X62" s="1373"/>
      <c r="Y62" s="1373"/>
      <c r="Z62" s="1373"/>
      <c r="AA62" s="1373"/>
      <c r="AB62" s="1373"/>
      <c r="AC62" s="1628">
        <f>+O62</f>
        <v>0</v>
      </c>
      <c r="AD62" s="1591"/>
    </row>
    <row r="63" spans="2:30" s="1371" customFormat="1" ht="10.5" customHeight="1" thickBot="1">
      <c r="B63" s="1372"/>
      <c r="C63" s="1376"/>
      <c r="E63" s="1381"/>
      <c r="F63" s="1482"/>
      <c r="G63" s="1483"/>
      <c r="H63" s="781"/>
      <c r="I63" s="1482"/>
      <c r="J63" s="1482"/>
      <c r="K63" s="781"/>
      <c r="L63" s="1386"/>
      <c r="M63" s="1616"/>
      <c r="N63" s="1616"/>
      <c r="O63" s="1622"/>
      <c r="P63" s="1361"/>
      <c r="Q63" s="1623"/>
      <c r="R63" s="1617"/>
      <c r="S63" s="1373"/>
      <c r="T63" s="781"/>
      <c r="U63" s="781"/>
      <c r="V63" s="781"/>
      <c r="W63" s="781"/>
      <c r="X63" s="1373"/>
      <c r="Y63" s="1373"/>
      <c r="Z63" s="1373"/>
      <c r="AA63" s="1373"/>
      <c r="AB63" s="1373"/>
      <c r="AC63" s="1386"/>
      <c r="AD63" s="1591"/>
    </row>
    <row r="64" spans="1:30" ht="21" customHeight="1" thickBot="1" thickTop="1">
      <c r="A64" s="1371"/>
      <c r="B64" s="1372"/>
      <c r="C64" s="1376"/>
      <c r="D64" s="1605"/>
      <c r="E64" s="1381"/>
      <c r="F64" s="1482"/>
      <c r="G64" s="1482"/>
      <c r="H64" s="1483"/>
      <c r="J64" s="1482"/>
      <c r="L64" s="1629"/>
      <c r="M64" s="1616"/>
      <c r="N64" s="1616"/>
      <c r="O64" s="1617"/>
      <c r="P64" s="1617"/>
      <c r="Q64" s="1617"/>
      <c r="R64" s="1617"/>
      <c r="S64" s="1617"/>
      <c r="AB64" s="1630" t="s">
        <v>413</v>
      </c>
      <c r="AC64" s="1631">
        <f>SUM(AC60:AC62)</f>
        <v>1911141.5278240002</v>
      </c>
      <c r="AD64" s="1591"/>
    </row>
    <row r="65" spans="1:30" ht="16.5" customHeight="1" thickBot="1" thickTop="1">
      <c r="A65" s="1371"/>
      <c r="B65" s="1372"/>
      <c r="C65" s="1376"/>
      <c r="D65" s="1605"/>
      <c r="E65" s="1381"/>
      <c r="F65" s="1482"/>
      <c r="G65" s="1482"/>
      <c r="H65" s="1483"/>
      <c r="J65" s="1482"/>
      <c r="L65" s="1629"/>
      <c r="M65" s="1616"/>
      <c r="N65" s="1616"/>
      <c r="O65" s="1617"/>
      <c r="P65" s="1617"/>
      <c r="Q65" s="1617"/>
      <c r="R65" s="1617"/>
      <c r="S65" s="1617"/>
      <c r="AC65" s="1375"/>
      <c r="AD65" s="1591"/>
    </row>
    <row r="66" spans="1:30" ht="21" customHeight="1" thickBot="1" thickTop="1">
      <c r="A66" s="1371"/>
      <c r="B66" s="1372"/>
      <c r="C66" s="1376"/>
      <c r="D66" s="1605"/>
      <c r="E66" s="1381"/>
      <c r="F66" s="1482"/>
      <c r="G66" s="1482"/>
      <c r="H66" s="1483"/>
      <c r="J66" s="1482"/>
      <c r="L66" s="1629"/>
      <c r="M66" s="1616"/>
      <c r="N66" s="1616"/>
      <c r="O66" s="1617"/>
      <c r="P66" s="1617"/>
      <c r="Q66" s="1617"/>
      <c r="R66" s="1617"/>
      <c r="S66" s="1617"/>
      <c r="AB66" s="1630" t="s">
        <v>414</v>
      </c>
      <c r="AC66" s="1631">
        <v>1665027.3069280002</v>
      </c>
      <c r="AD66" s="1591"/>
    </row>
    <row r="67" spans="2:30" ht="16.5" customHeight="1" thickTop="1">
      <c r="B67" s="1372"/>
      <c r="C67" s="1610" t="s">
        <v>415</v>
      </c>
      <c r="D67" s="1632" t="s">
        <v>416</v>
      </c>
      <c r="E67" s="1482"/>
      <c r="F67" s="1633"/>
      <c r="G67" s="1481"/>
      <c r="H67" s="1605"/>
      <c r="I67" s="1605"/>
      <c r="J67" s="1605"/>
      <c r="K67" s="1482"/>
      <c r="L67" s="1482"/>
      <c r="M67" s="1605"/>
      <c r="N67" s="1482"/>
      <c r="O67" s="1605"/>
      <c r="P67" s="1605"/>
      <c r="Q67" s="1605"/>
      <c r="R67" s="1605"/>
      <c r="S67" s="1605"/>
      <c r="T67" s="1605"/>
      <c r="U67" s="1605"/>
      <c r="AC67" s="1605"/>
      <c r="AD67" s="1591"/>
    </row>
    <row r="68" spans="2:30" s="1371" customFormat="1" ht="16.5" customHeight="1">
      <c r="B68" s="1372"/>
      <c r="C68" s="1376"/>
      <c r="D68" s="1612" t="s">
        <v>417</v>
      </c>
      <c r="E68" s="1634">
        <f>10*K55*K26/AC64</f>
        <v>873.2387527888059</v>
      </c>
      <c r="G68" s="1481"/>
      <c r="L68" s="1482"/>
      <c r="N68" s="1482"/>
      <c r="O68" s="1483"/>
      <c r="V68" s="781"/>
      <c r="W68" s="781"/>
      <c r="AD68" s="1591"/>
    </row>
    <row r="69" spans="2:30" s="1371" customFormat="1" ht="16.5" customHeight="1">
      <c r="B69" s="1372"/>
      <c r="C69" s="1376"/>
      <c r="E69" s="1635"/>
      <c r="F69" s="1389"/>
      <c r="G69" s="1481"/>
      <c r="J69" s="1481"/>
      <c r="K69" s="1501"/>
      <c r="L69" s="1482"/>
      <c r="M69" s="1482"/>
      <c r="N69" s="1482"/>
      <c r="O69" s="1483"/>
      <c r="P69" s="1482"/>
      <c r="Q69" s="1482"/>
      <c r="R69" s="1500"/>
      <c r="S69" s="1500"/>
      <c r="T69" s="1500"/>
      <c r="U69" s="1636"/>
      <c r="V69" s="781"/>
      <c r="W69" s="781"/>
      <c r="AC69" s="1636"/>
      <c r="AD69" s="1591"/>
    </row>
    <row r="70" spans="2:30" ht="16.5" customHeight="1">
      <c r="B70" s="1372"/>
      <c r="C70" s="1376"/>
      <c r="D70" s="1637" t="s">
        <v>443</v>
      </c>
      <c r="E70" s="1638"/>
      <c r="F70" s="1389"/>
      <c r="G70" s="1481"/>
      <c r="H70" s="1605"/>
      <c r="I70" s="1605"/>
      <c r="N70" s="1482"/>
      <c r="O70" s="1483"/>
      <c r="P70" s="1482"/>
      <c r="Q70" s="1482"/>
      <c r="R70" s="1615"/>
      <c r="S70" s="1615"/>
      <c r="T70" s="1615"/>
      <c r="U70" s="1616"/>
      <c r="AC70" s="1616"/>
      <c r="AD70" s="1591"/>
    </row>
    <row r="71" spans="2:30" ht="16.5" customHeight="1" thickBot="1">
      <c r="B71" s="1372"/>
      <c r="C71" s="1376"/>
      <c r="D71" s="1637"/>
      <c r="E71" s="1638"/>
      <c r="F71" s="1389"/>
      <c r="G71" s="1481"/>
      <c r="H71" s="1605"/>
      <c r="I71" s="1605"/>
      <c r="N71" s="1482"/>
      <c r="O71" s="1483"/>
      <c r="P71" s="1482"/>
      <c r="Q71" s="1482"/>
      <c r="R71" s="1615"/>
      <c r="S71" s="1615"/>
      <c r="T71" s="1615"/>
      <c r="U71" s="1616"/>
      <c r="AC71" s="1616"/>
      <c r="AD71" s="1591"/>
    </row>
    <row r="72" spans="2:30" s="1639" customFormat="1" ht="21" thickBot="1" thickTop="1">
      <c r="B72" s="1640"/>
      <c r="C72" s="1641"/>
      <c r="D72" s="1642"/>
      <c r="E72" s="1643"/>
      <c r="F72" s="1644"/>
      <c r="G72" s="1645"/>
      <c r="I72" s="781"/>
      <c r="J72" s="1646" t="s">
        <v>419</v>
      </c>
      <c r="K72" s="1647">
        <f>IF(E68&gt;3*K26,K26*3,E68)</f>
        <v>873.2387527888059</v>
      </c>
      <c r="M72" s="1648"/>
      <c r="N72" s="1649" t="s">
        <v>445</v>
      </c>
      <c r="O72" s="1650"/>
      <c r="P72" s="1648"/>
      <c r="Q72" s="1648"/>
      <c r="R72" s="1651"/>
      <c r="S72" s="1651"/>
      <c r="T72" s="1651"/>
      <c r="U72" s="1652"/>
      <c r="V72" s="781"/>
      <c r="W72" s="781"/>
      <c r="AC72" s="1652"/>
      <c r="AD72" s="1653"/>
    </row>
    <row r="73" spans="2:30" ht="16.5" customHeight="1" thickBot="1" thickTop="1">
      <c r="B73" s="1654"/>
      <c r="C73" s="1655"/>
      <c r="D73" s="1655"/>
      <c r="E73" s="1655"/>
      <c r="F73" s="1655"/>
      <c r="G73" s="1655"/>
      <c r="H73" s="1655"/>
      <c r="I73" s="1655"/>
      <c r="J73" s="1655"/>
      <c r="K73" s="1655"/>
      <c r="L73" s="1655"/>
      <c r="M73" s="1655"/>
      <c r="N73" s="1655"/>
      <c r="O73" s="1655"/>
      <c r="P73" s="1655"/>
      <c r="Q73" s="1655"/>
      <c r="R73" s="1655"/>
      <c r="S73" s="1655"/>
      <c r="T73" s="1655"/>
      <c r="U73" s="1655"/>
      <c r="V73" s="1656"/>
      <c r="W73" s="1656"/>
      <c r="X73" s="1656"/>
      <c r="Y73" s="1656"/>
      <c r="Z73" s="1656"/>
      <c r="AA73" s="1656"/>
      <c r="AB73" s="1656"/>
      <c r="AC73" s="1655"/>
      <c r="AD73" s="1657"/>
    </row>
    <row r="74" spans="2:23" ht="16.5" customHeight="1" thickTop="1">
      <c r="B74" s="1368"/>
      <c r="C74" s="1658"/>
      <c r="W74" s="1368"/>
    </row>
  </sheetData>
  <sheetProtection password="CC12"/>
  <mergeCells count="28">
    <mergeCell ref="F53:G53"/>
    <mergeCell ref="F46:G46"/>
    <mergeCell ref="F47:G47"/>
    <mergeCell ref="P46:Q46"/>
    <mergeCell ref="F48:G48"/>
    <mergeCell ref="F49:G49"/>
    <mergeCell ref="F50:G50"/>
    <mergeCell ref="F52:G52"/>
    <mergeCell ref="P48:Q48"/>
    <mergeCell ref="P49:Q49"/>
    <mergeCell ref="F41:G41"/>
    <mergeCell ref="P41:Q41"/>
    <mergeCell ref="P42:Q42"/>
    <mergeCell ref="P43:Q43"/>
    <mergeCell ref="P37:Q37"/>
    <mergeCell ref="P38:Q38"/>
    <mergeCell ref="P39:Q39"/>
    <mergeCell ref="P40:Q40"/>
    <mergeCell ref="F51:G51"/>
    <mergeCell ref="P51:Q51"/>
    <mergeCell ref="P50:Q50"/>
    <mergeCell ref="P52:Q52"/>
    <mergeCell ref="F37:G37"/>
    <mergeCell ref="F38:G38"/>
    <mergeCell ref="F39:G39"/>
    <mergeCell ref="F43:G43"/>
    <mergeCell ref="F42:G42"/>
    <mergeCell ref="F40:G40"/>
  </mergeCells>
  <printOptions horizontalCentered="1"/>
  <pageMargins left="0.24" right="0.4" top="0.46" bottom="0.7874015748031497" header="0.3" footer="0.5118110236220472"/>
  <pageSetup fitToHeight="1" fitToWidth="1" orientation="landscape" paperSize="9" scale="40" r:id="rId2"/>
  <headerFooter alignWithMargins="0">
    <oddFooter>&amp;L&amp;"Times New Roman,Normal"&amp;8&amp;F-&amp;A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GL119"/>
  <sheetViews>
    <sheetView zoomScale="50" zoomScaleNormal="50" zoomScalePageLayoutView="0" workbookViewId="0" topLeftCell="A1">
      <selection activeCell="N47" sqref="N47"/>
    </sheetView>
  </sheetViews>
  <sheetFormatPr defaultColWidth="11.421875" defaultRowHeight="12.75"/>
  <cols>
    <col min="1" max="1" width="22.8515625" style="760" customWidth="1"/>
    <col min="2" max="2" width="10.7109375" style="760" customWidth="1"/>
    <col min="3" max="3" width="10.421875" style="760" customWidth="1"/>
    <col min="4" max="4" width="52.8515625" style="760" customWidth="1"/>
    <col min="5" max="5" width="18.00390625" style="760" bestFit="1" customWidth="1"/>
    <col min="6" max="6" width="15.57421875" style="760" customWidth="1"/>
    <col min="7" max="7" width="7.7109375" style="760" hidden="1" customWidth="1"/>
    <col min="8" max="9" width="8.7109375" style="760" customWidth="1"/>
    <col min="10" max="10" width="9.7109375" style="760" bestFit="1" customWidth="1"/>
    <col min="11" max="20" width="8.7109375" style="760" customWidth="1"/>
    <col min="21" max="21" width="10.7109375" style="760" customWidth="1"/>
    <col min="22" max="16384" width="11.421875" style="760" customWidth="1"/>
  </cols>
  <sheetData>
    <row r="1" spans="21:22" ht="45" customHeight="1">
      <c r="U1" s="1747"/>
      <c r="V1" s="1748"/>
    </row>
    <row r="2" spans="2:22" s="755" customFormat="1" ht="26.25">
      <c r="B2" s="758" t="str">
        <f>'TOT-0312'!B2</f>
        <v>ANEXO IV al Memorándum D.T.E.E.  N° 783/ 2013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1749"/>
    </row>
    <row r="3" spans="1:22" s="763" customFormat="1" ht="11.25">
      <c r="A3" s="761" t="s">
        <v>2</v>
      </c>
      <c r="B3" s="762"/>
      <c r="U3" s="1750"/>
      <c r="V3" s="1750"/>
    </row>
    <row r="4" spans="1:22" s="763" customFormat="1" ht="11.25">
      <c r="A4" s="761" t="s">
        <v>3</v>
      </c>
      <c r="B4" s="762"/>
      <c r="U4" s="762"/>
      <c r="V4" s="1750"/>
    </row>
    <row r="5" spans="21:22" ht="9.75" customHeight="1">
      <c r="U5" s="1751"/>
      <c r="V5" s="1748"/>
    </row>
    <row r="6" spans="2:178" s="1752" customFormat="1" ht="23.25">
      <c r="B6" s="1753" t="s">
        <v>473</v>
      </c>
      <c r="C6" s="1753"/>
      <c r="D6" s="1754"/>
      <c r="E6" s="1753"/>
      <c r="F6" s="1753"/>
      <c r="G6" s="1753"/>
      <c r="H6" s="1753"/>
      <c r="I6" s="1753"/>
      <c r="J6" s="1753"/>
      <c r="K6" s="1753"/>
      <c r="L6" s="1753"/>
      <c r="M6" s="1753"/>
      <c r="N6" s="1753"/>
      <c r="O6" s="1753"/>
      <c r="P6" s="1753"/>
      <c r="Q6" s="1753"/>
      <c r="R6" s="1753"/>
      <c r="S6" s="1753"/>
      <c r="T6" s="1753"/>
      <c r="U6" s="1753"/>
      <c r="V6" s="1755"/>
      <c r="W6" s="1753"/>
      <c r="X6" s="1753"/>
      <c r="Y6" s="1753"/>
      <c r="Z6" s="1753"/>
      <c r="AA6" s="1753"/>
      <c r="AB6" s="1753"/>
      <c r="AC6" s="1753"/>
      <c r="AD6" s="1753"/>
      <c r="AE6" s="1753"/>
      <c r="AF6" s="1753"/>
      <c r="AG6" s="1753"/>
      <c r="AH6" s="1753"/>
      <c r="AI6" s="1753"/>
      <c r="AJ6" s="1753"/>
      <c r="AK6" s="1753"/>
      <c r="AL6" s="1753"/>
      <c r="AM6" s="1753"/>
      <c r="AN6" s="1753"/>
      <c r="AO6" s="1753"/>
      <c r="AP6" s="1753"/>
      <c r="AQ6" s="1753"/>
      <c r="AR6" s="1753"/>
      <c r="AS6" s="1753"/>
      <c r="AT6" s="1753"/>
      <c r="AU6" s="1753"/>
      <c r="AV6" s="1753"/>
      <c r="AW6" s="1753"/>
      <c r="AX6" s="1753"/>
      <c r="AY6" s="1753"/>
      <c r="AZ6" s="1753"/>
      <c r="BA6" s="1753"/>
      <c r="BB6" s="1753"/>
      <c r="BC6" s="1753"/>
      <c r="BD6" s="1753"/>
      <c r="BE6" s="1753"/>
      <c r="BF6" s="1753"/>
      <c r="BG6" s="1753"/>
      <c r="BH6" s="1753"/>
      <c r="BI6" s="1753"/>
      <c r="BJ6" s="1753"/>
      <c r="BK6" s="1753"/>
      <c r="BL6" s="1753"/>
      <c r="BM6" s="1753"/>
      <c r="BN6" s="1753"/>
      <c r="BO6" s="1753"/>
      <c r="BP6" s="1753"/>
      <c r="BQ6" s="1753"/>
      <c r="BR6" s="1753"/>
      <c r="BS6" s="1753"/>
      <c r="BT6" s="1753"/>
      <c r="BU6" s="1753"/>
      <c r="BV6" s="1753"/>
      <c r="BW6" s="1753"/>
      <c r="BX6" s="1753"/>
      <c r="BY6" s="1753"/>
      <c r="BZ6" s="1753"/>
      <c r="CA6" s="1753"/>
      <c r="CB6" s="1753"/>
      <c r="CC6" s="1753"/>
      <c r="CD6" s="1753"/>
      <c r="CE6" s="1753"/>
      <c r="CF6" s="1753"/>
      <c r="CG6" s="1753"/>
      <c r="CH6" s="1753"/>
      <c r="CI6" s="1753"/>
      <c r="CJ6" s="1753"/>
      <c r="CK6" s="1753"/>
      <c r="CL6" s="1753"/>
      <c r="CM6" s="1753"/>
      <c r="CN6" s="1753"/>
      <c r="CO6" s="1753"/>
      <c r="CP6" s="1753"/>
      <c r="CQ6" s="1753"/>
      <c r="CR6" s="1753"/>
      <c r="CS6" s="1753"/>
      <c r="CT6" s="1753"/>
      <c r="CU6" s="1753"/>
      <c r="CV6" s="1753"/>
      <c r="CW6" s="1753"/>
      <c r="CX6" s="1753"/>
      <c r="CY6" s="1753"/>
      <c r="CZ6" s="1753"/>
      <c r="DA6" s="1753"/>
      <c r="DB6" s="1753"/>
      <c r="DC6" s="1753"/>
      <c r="DD6" s="1753"/>
      <c r="DE6" s="1753"/>
      <c r="DF6" s="1753"/>
      <c r="DG6" s="1753"/>
      <c r="DH6" s="1753"/>
      <c r="DI6" s="1753"/>
      <c r="DJ6" s="1753"/>
      <c r="DK6" s="1753"/>
      <c r="DL6" s="1753"/>
      <c r="DM6" s="1753"/>
      <c r="DN6" s="1753"/>
      <c r="DO6" s="1753"/>
      <c r="DP6" s="1753"/>
      <c r="DQ6" s="1753"/>
      <c r="DR6" s="1753"/>
      <c r="DS6" s="1753"/>
      <c r="DT6" s="1753"/>
      <c r="DU6" s="1753"/>
      <c r="DV6" s="1753"/>
      <c r="DW6" s="1753"/>
      <c r="DX6" s="1753"/>
      <c r="DY6" s="1753"/>
      <c r="DZ6" s="1753"/>
      <c r="EA6" s="1753"/>
      <c r="EB6" s="1753"/>
      <c r="EC6" s="1753"/>
      <c r="ED6" s="1753"/>
      <c r="EE6" s="1753"/>
      <c r="EF6" s="1753"/>
      <c r="EG6" s="1753"/>
      <c r="EH6" s="1753"/>
      <c r="EI6" s="1753"/>
      <c r="EJ6" s="1753"/>
      <c r="EK6" s="1753"/>
      <c r="EL6" s="1753"/>
      <c r="EM6" s="1753"/>
      <c r="EN6" s="1753"/>
      <c r="EO6" s="1753"/>
      <c r="EP6" s="1753"/>
      <c r="EQ6" s="1753"/>
      <c r="ER6" s="1753"/>
      <c r="ES6" s="1753"/>
      <c r="ET6" s="1753"/>
      <c r="EU6" s="1753"/>
      <c r="EV6" s="1753"/>
      <c r="EW6" s="1753"/>
      <c r="EX6" s="1753"/>
      <c r="EY6" s="1753"/>
      <c r="EZ6" s="1753"/>
      <c r="FA6" s="1753"/>
      <c r="FB6" s="1753"/>
      <c r="FC6" s="1753"/>
      <c r="FD6" s="1753"/>
      <c r="FE6" s="1753"/>
      <c r="FF6" s="1753"/>
      <c r="FG6" s="1753"/>
      <c r="FH6" s="1753"/>
      <c r="FI6" s="1753"/>
      <c r="FJ6" s="1753"/>
      <c r="FK6" s="1753"/>
      <c r="FL6" s="1753"/>
      <c r="FM6" s="1753"/>
      <c r="FN6" s="1753"/>
      <c r="FO6" s="1753"/>
      <c r="FP6" s="1753"/>
      <c r="FQ6" s="1753"/>
      <c r="FR6" s="1753"/>
      <c r="FS6" s="1753"/>
      <c r="FT6" s="1753"/>
      <c r="FU6" s="1753"/>
      <c r="FV6" s="1753"/>
    </row>
    <row r="7" spans="2:178" s="1371" customFormat="1" ht="9.75" customHeight="1">
      <c r="B7" s="1625"/>
      <c r="C7" s="1625"/>
      <c r="D7" s="1625"/>
      <c r="E7" s="1625"/>
      <c r="F7" s="1625"/>
      <c r="G7" s="1625"/>
      <c r="H7" s="1625"/>
      <c r="I7" s="1625"/>
      <c r="J7" s="1625"/>
      <c r="K7" s="1625"/>
      <c r="L7" s="1625"/>
      <c r="M7" s="1625"/>
      <c r="N7" s="1625"/>
      <c r="O7" s="1625"/>
      <c r="P7" s="1625"/>
      <c r="Q7" s="1625"/>
      <c r="R7" s="1625"/>
      <c r="S7" s="1625"/>
      <c r="T7" s="1625"/>
      <c r="U7" s="1663"/>
      <c r="V7" s="1663"/>
      <c r="W7" s="1625"/>
      <c r="X7" s="1625"/>
      <c r="Y7" s="1625"/>
      <c r="Z7" s="1625"/>
      <c r="AA7" s="1625"/>
      <c r="AB7" s="1625"/>
      <c r="AC7" s="1625"/>
      <c r="AD7" s="1625"/>
      <c r="AE7" s="1625"/>
      <c r="AF7" s="1625"/>
      <c r="AG7" s="1625"/>
      <c r="AH7" s="1625"/>
      <c r="AI7" s="1625"/>
      <c r="AJ7" s="1625"/>
      <c r="AK7" s="1625"/>
      <c r="AL7" s="1625"/>
      <c r="AM7" s="1625"/>
      <c r="AN7" s="1625"/>
      <c r="AO7" s="1625"/>
      <c r="AP7" s="1625"/>
      <c r="AQ7" s="1625"/>
      <c r="AR7" s="1625"/>
      <c r="AS7" s="1625"/>
      <c r="AT7" s="1625"/>
      <c r="AU7" s="1625"/>
      <c r="AV7" s="1625"/>
      <c r="AW7" s="1625"/>
      <c r="AX7" s="1625"/>
      <c r="AY7" s="1625"/>
      <c r="AZ7" s="1625"/>
      <c r="BA7" s="1625"/>
      <c r="BB7" s="1625"/>
      <c r="BC7" s="1625"/>
      <c r="BD7" s="1625"/>
      <c r="BE7" s="1625"/>
      <c r="BF7" s="1625"/>
      <c r="BG7" s="1625"/>
      <c r="BH7" s="1625"/>
      <c r="BI7" s="1625"/>
      <c r="BJ7" s="1625"/>
      <c r="BK7" s="1625"/>
      <c r="BL7" s="1625"/>
      <c r="BM7" s="1625"/>
      <c r="BN7" s="1625"/>
      <c r="BO7" s="1625"/>
      <c r="BP7" s="1625"/>
      <c r="BQ7" s="1625"/>
      <c r="BR7" s="1625"/>
      <c r="BS7" s="1625"/>
      <c r="BT7" s="1625"/>
      <c r="BU7" s="1625"/>
      <c r="BV7" s="1625"/>
      <c r="BW7" s="1625"/>
      <c r="BX7" s="1625"/>
      <c r="BY7" s="1625"/>
      <c r="BZ7" s="1625"/>
      <c r="CA7" s="1625"/>
      <c r="CB7" s="1625"/>
      <c r="CC7" s="1625"/>
      <c r="CD7" s="1625"/>
      <c r="CE7" s="1625"/>
      <c r="CF7" s="1625"/>
      <c r="CG7" s="1625"/>
      <c r="CH7" s="1625"/>
      <c r="CI7" s="1625"/>
      <c r="CJ7" s="1625"/>
      <c r="CK7" s="1625"/>
      <c r="CL7" s="1625"/>
      <c r="CM7" s="1625"/>
      <c r="CN7" s="1625"/>
      <c r="CO7" s="1625"/>
      <c r="CP7" s="1625"/>
      <c r="CQ7" s="1625"/>
      <c r="CR7" s="1625"/>
      <c r="CS7" s="1625"/>
      <c r="CT7" s="1625"/>
      <c r="CU7" s="1625"/>
      <c r="CV7" s="1625"/>
      <c r="CW7" s="1625"/>
      <c r="CX7" s="1625"/>
      <c r="CY7" s="1625"/>
      <c r="CZ7" s="1625"/>
      <c r="DA7" s="1625"/>
      <c r="DB7" s="1625"/>
      <c r="DC7" s="1625"/>
      <c r="DD7" s="1625"/>
      <c r="DE7" s="1625"/>
      <c r="DF7" s="1625"/>
      <c r="DG7" s="1625"/>
      <c r="DH7" s="1625"/>
      <c r="DI7" s="1625"/>
      <c r="DJ7" s="1625"/>
      <c r="DK7" s="1625"/>
      <c r="DL7" s="1625"/>
      <c r="DM7" s="1625"/>
      <c r="DN7" s="1625"/>
      <c r="DO7" s="1625"/>
      <c r="DP7" s="1625"/>
      <c r="DQ7" s="1625"/>
      <c r="DR7" s="1625"/>
      <c r="DS7" s="1625"/>
      <c r="DT7" s="1625"/>
      <c r="DU7" s="1625"/>
      <c r="DV7" s="1625"/>
      <c r="DW7" s="1625"/>
      <c r="DX7" s="1625"/>
      <c r="DY7" s="1625"/>
      <c r="DZ7" s="1625"/>
      <c r="EA7" s="1625"/>
      <c r="EB7" s="1625"/>
      <c r="EC7" s="1625"/>
      <c r="ED7" s="1625"/>
      <c r="EE7" s="1625"/>
      <c r="EF7" s="1625"/>
      <c r="EG7" s="1625"/>
      <c r="EH7" s="1625"/>
      <c r="EI7" s="1625"/>
      <c r="EJ7" s="1625"/>
      <c r="EK7" s="1625"/>
      <c r="EL7" s="1625"/>
      <c r="EM7" s="1625"/>
      <c r="EN7" s="1625"/>
      <c r="EO7" s="1625"/>
      <c r="EP7" s="1625"/>
      <c r="EQ7" s="1625"/>
      <c r="ER7" s="1625"/>
      <c r="ES7" s="1625"/>
      <c r="ET7" s="1625"/>
      <c r="EU7" s="1625"/>
      <c r="EV7" s="1625"/>
      <c r="EW7" s="1625"/>
      <c r="EX7" s="1625"/>
      <c r="EY7" s="1625"/>
      <c r="EZ7" s="1625"/>
      <c r="FA7" s="1625"/>
      <c r="FB7" s="1625"/>
      <c r="FC7" s="1625"/>
      <c r="FD7" s="1625"/>
      <c r="FE7" s="1625"/>
      <c r="FF7" s="1625"/>
      <c r="FG7" s="1625"/>
      <c r="FH7" s="1625"/>
      <c r="FI7" s="1625"/>
      <c r="FJ7" s="1625"/>
      <c r="FK7" s="1625"/>
      <c r="FL7" s="1625"/>
      <c r="FM7" s="1625"/>
      <c r="FN7" s="1625"/>
      <c r="FO7" s="1625"/>
      <c r="FP7" s="1625"/>
      <c r="FQ7" s="1625"/>
      <c r="FR7" s="1625"/>
      <c r="FS7" s="1625"/>
      <c r="FT7" s="1625"/>
      <c r="FU7" s="1625"/>
      <c r="FV7" s="1625"/>
    </row>
    <row r="8" spans="2:178" s="1756" customFormat="1" ht="23.25">
      <c r="B8" s="1753" t="s">
        <v>1</v>
      </c>
      <c r="C8" s="1754"/>
      <c r="D8" s="1754"/>
      <c r="E8" s="1754"/>
      <c r="F8" s="1754"/>
      <c r="G8" s="1754"/>
      <c r="H8" s="1754"/>
      <c r="I8" s="1754"/>
      <c r="J8" s="1754"/>
      <c r="K8" s="1754"/>
      <c r="L8" s="1754"/>
      <c r="M8" s="1754"/>
      <c r="N8" s="1754"/>
      <c r="O8" s="1754"/>
      <c r="P8" s="1754"/>
      <c r="Q8" s="1754"/>
      <c r="R8" s="1754"/>
      <c r="S8" s="1754"/>
      <c r="T8" s="1754"/>
      <c r="U8" s="1754"/>
      <c r="V8" s="1757"/>
      <c r="W8" s="1754"/>
      <c r="X8" s="1754"/>
      <c r="Y8" s="1754"/>
      <c r="Z8" s="1754"/>
      <c r="AA8" s="1754"/>
      <c r="AB8" s="1754"/>
      <c r="AC8" s="1754"/>
      <c r="AD8" s="1754"/>
      <c r="AE8" s="1754"/>
      <c r="AF8" s="1754"/>
      <c r="AG8" s="1754"/>
      <c r="AH8" s="1754"/>
      <c r="AI8" s="1754"/>
      <c r="AJ8" s="1754"/>
      <c r="AK8" s="1754"/>
      <c r="AL8" s="1754"/>
      <c r="AM8" s="1754"/>
      <c r="AN8" s="1754"/>
      <c r="AO8" s="1754"/>
      <c r="AP8" s="1754"/>
      <c r="AQ8" s="1754"/>
      <c r="AR8" s="1754"/>
      <c r="AS8" s="1754"/>
      <c r="AT8" s="1754"/>
      <c r="AU8" s="1754"/>
      <c r="AV8" s="1754"/>
      <c r="AW8" s="1754"/>
      <c r="AX8" s="1754"/>
      <c r="AY8" s="1754"/>
      <c r="AZ8" s="1754"/>
      <c r="BA8" s="1754"/>
      <c r="BB8" s="1754"/>
      <c r="BC8" s="1754"/>
      <c r="BD8" s="1754"/>
      <c r="BE8" s="1754"/>
      <c r="BF8" s="1754"/>
      <c r="BG8" s="1754"/>
      <c r="BH8" s="1754"/>
      <c r="BI8" s="1754"/>
      <c r="BJ8" s="1754"/>
      <c r="BK8" s="1754"/>
      <c r="BL8" s="1754"/>
      <c r="BM8" s="1754"/>
      <c r="BN8" s="1754"/>
      <c r="BO8" s="1754"/>
      <c r="BP8" s="1754"/>
      <c r="BQ8" s="1754"/>
      <c r="BR8" s="1754"/>
      <c r="BS8" s="1754"/>
      <c r="BT8" s="1754"/>
      <c r="BU8" s="1754"/>
      <c r="BV8" s="1754"/>
      <c r="BW8" s="1754"/>
      <c r="BX8" s="1754"/>
      <c r="BY8" s="1754"/>
      <c r="BZ8" s="1754"/>
      <c r="CA8" s="1754"/>
      <c r="CB8" s="1754"/>
      <c r="CC8" s="1754"/>
      <c r="CD8" s="1754"/>
      <c r="CE8" s="1754"/>
      <c r="CF8" s="1754"/>
      <c r="CG8" s="1754"/>
      <c r="CH8" s="1754"/>
      <c r="CI8" s="1754"/>
      <c r="CJ8" s="1754"/>
      <c r="CK8" s="1754"/>
      <c r="CL8" s="1754"/>
      <c r="CM8" s="1754"/>
      <c r="CN8" s="1754"/>
      <c r="CO8" s="1754"/>
      <c r="CP8" s="1754"/>
      <c r="CQ8" s="1754"/>
      <c r="CR8" s="1754"/>
      <c r="CS8" s="1754"/>
      <c r="CT8" s="1754"/>
      <c r="CU8" s="1754"/>
      <c r="CV8" s="1754"/>
      <c r="CW8" s="1754"/>
      <c r="CX8" s="1754"/>
      <c r="CY8" s="1754"/>
      <c r="CZ8" s="1754"/>
      <c r="DA8" s="1754"/>
      <c r="DB8" s="1754"/>
      <c r="DC8" s="1754"/>
      <c r="DD8" s="1754"/>
      <c r="DE8" s="1754"/>
      <c r="DF8" s="1754"/>
      <c r="DG8" s="1754"/>
      <c r="DH8" s="1754"/>
      <c r="DI8" s="1754"/>
      <c r="DJ8" s="1754"/>
      <c r="DK8" s="1754"/>
      <c r="DL8" s="1754"/>
      <c r="DM8" s="1754"/>
      <c r="DN8" s="1754"/>
      <c r="DO8" s="1754"/>
      <c r="DP8" s="1754"/>
      <c r="DQ8" s="1754"/>
      <c r="DR8" s="1754"/>
      <c r="DS8" s="1754"/>
      <c r="DT8" s="1754"/>
      <c r="DU8" s="1754"/>
      <c r="DV8" s="1754"/>
      <c r="DW8" s="1754"/>
      <c r="DX8" s="1754"/>
      <c r="DY8" s="1754"/>
      <c r="DZ8" s="1754"/>
      <c r="EA8" s="1754"/>
      <c r="EB8" s="1754"/>
      <c r="EC8" s="1754"/>
      <c r="ED8" s="1754"/>
      <c r="EE8" s="1754"/>
      <c r="EF8" s="1754"/>
      <c r="EG8" s="1754"/>
      <c r="EH8" s="1754"/>
      <c r="EI8" s="1754"/>
      <c r="EJ8" s="1754"/>
      <c r="EK8" s="1754"/>
      <c r="EL8" s="1754"/>
      <c r="EM8" s="1754"/>
      <c r="EN8" s="1754"/>
      <c r="EO8" s="1754"/>
      <c r="EP8" s="1754"/>
      <c r="EQ8" s="1754"/>
      <c r="ER8" s="1754"/>
      <c r="ES8" s="1754"/>
      <c r="ET8" s="1754"/>
      <c r="EU8" s="1754"/>
      <c r="EV8" s="1754"/>
      <c r="EW8" s="1754"/>
      <c r="EX8" s="1754"/>
      <c r="EY8" s="1754"/>
      <c r="EZ8" s="1754"/>
      <c r="FA8" s="1754"/>
      <c r="FB8" s="1754"/>
      <c r="FC8" s="1754"/>
      <c r="FD8" s="1754"/>
      <c r="FE8" s="1754"/>
      <c r="FF8" s="1754"/>
      <c r="FG8" s="1754"/>
      <c r="FH8" s="1754"/>
      <c r="FI8" s="1754"/>
      <c r="FJ8" s="1754"/>
      <c r="FK8" s="1754"/>
      <c r="FL8" s="1754"/>
      <c r="FM8" s="1754"/>
      <c r="FN8" s="1754"/>
      <c r="FO8" s="1754"/>
      <c r="FP8" s="1754"/>
      <c r="FQ8" s="1754"/>
      <c r="FR8" s="1754"/>
      <c r="FS8" s="1754"/>
      <c r="FT8" s="1754"/>
      <c r="FU8" s="1754"/>
      <c r="FV8" s="1754"/>
    </row>
    <row r="9" spans="2:178" s="1371" customFormat="1" ht="9.75" customHeight="1">
      <c r="B9" s="1625"/>
      <c r="C9" s="1625"/>
      <c r="D9" s="1625"/>
      <c r="E9" s="1625"/>
      <c r="F9" s="1625"/>
      <c r="G9" s="1625"/>
      <c r="H9" s="1625"/>
      <c r="I9" s="1625"/>
      <c r="J9" s="1625"/>
      <c r="K9" s="1625"/>
      <c r="L9" s="1625"/>
      <c r="M9" s="1625"/>
      <c r="N9" s="1625"/>
      <c r="O9" s="1625"/>
      <c r="P9" s="1625"/>
      <c r="Q9" s="1625"/>
      <c r="R9" s="1625"/>
      <c r="S9" s="1625"/>
      <c r="T9" s="1625"/>
      <c r="U9" s="1663"/>
      <c r="V9" s="1663"/>
      <c r="W9" s="1625"/>
      <c r="X9" s="1625"/>
      <c r="Y9" s="1625"/>
      <c r="Z9" s="1625"/>
      <c r="AA9" s="1625"/>
      <c r="AB9" s="1625"/>
      <c r="AC9" s="1625"/>
      <c r="AD9" s="1625"/>
      <c r="AE9" s="1625"/>
      <c r="AF9" s="1625"/>
      <c r="AG9" s="1625"/>
      <c r="AH9" s="1625"/>
      <c r="AI9" s="1625"/>
      <c r="AJ9" s="1625"/>
      <c r="AK9" s="1625"/>
      <c r="AL9" s="1625"/>
      <c r="AM9" s="1625"/>
      <c r="AN9" s="1625"/>
      <c r="AO9" s="1625"/>
      <c r="AP9" s="1625"/>
      <c r="AQ9" s="1625"/>
      <c r="AR9" s="1625"/>
      <c r="AS9" s="1625"/>
      <c r="AT9" s="1625"/>
      <c r="AU9" s="1625"/>
      <c r="AV9" s="1625"/>
      <c r="AW9" s="1625"/>
      <c r="AX9" s="1625"/>
      <c r="AY9" s="1625"/>
      <c r="AZ9" s="1625"/>
      <c r="BA9" s="1625"/>
      <c r="BB9" s="1625"/>
      <c r="BC9" s="1625"/>
      <c r="BD9" s="1625"/>
      <c r="BE9" s="1625"/>
      <c r="BF9" s="1625"/>
      <c r="BG9" s="1625"/>
      <c r="BH9" s="1625"/>
      <c r="BI9" s="1625"/>
      <c r="BJ9" s="1625"/>
      <c r="BK9" s="1625"/>
      <c r="BL9" s="1625"/>
      <c r="BM9" s="1625"/>
      <c r="BN9" s="1625"/>
      <c r="BO9" s="1625"/>
      <c r="BP9" s="1625"/>
      <c r="BQ9" s="1625"/>
      <c r="BR9" s="1625"/>
      <c r="BS9" s="1625"/>
      <c r="BT9" s="1625"/>
      <c r="BU9" s="1625"/>
      <c r="BV9" s="1625"/>
      <c r="BW9" s="1625"/>
      <c r="BX9" s="1625"/>
      <c r="BY9" s="1625"/>
      <c r="BZ9" s="1625"/>
      <c r="CA9" s="1625"/>
      <c r="CB9" s="1625"/>
      <c r="CC9" s="1625"/>
      <c r="CD9" s="1625"/>
      <c r="CE9" s="1625"/>
      <c r="CF9" s="1625"/>
      <c r="CG9" s="1625"/>
      <c r="CH9" s="1625"/>
      <c r="CI9" s="1625"/>
      <c r="CJ9" s="1625"/>
      <c r="CK9" s="1625"/>
      <c r="CL9" s="1625"/>
      <c r="CM9" s="1625"/>
      <c r="CN9" s="1625"/>
      <c r="CO9" s="1625"/>
      <c r="CP9" s="1625"/>
      <c r="CQ9" s="1625"/>
      <c r="CR9" s="1625"/>
      <c r="CS9" s="1625"/>
      <c r="CT9" s="1625"/>
      <c r="CU9" s="1625"/>
      <c r="CV9" s="1625"/>
      <c r="CW9" s="1625"/>
      <c r="CX9" s="1625"/>
      <c r="CY9" s="1625"/>
      <c r="CZ9" s="1625"/>
      <c r="DA9" s="1625"/>
      <c r="DB9" s="1625"/>
      <c r="DC9" s="1625"/>
      <c r="DD9" s="1625"/>
      <c r="DE9" s="1625"/>
      <c r="DF9" s="1625"/>
      <c r="DG9" s="1625"/>
      <c r="DH9" s="1625"/>
      <c r="DI9" s="1625"/>
      <c r="DJ9" s="1625"/>
      <c r="DK9" s="1625"/>
      <c r="DL9" s="1625"/>
      <c r="DM9" s="1625"/>
      <c r="DN9" s="1625"/>
      <c r="DO9" s="1625"/>
      <c r="DP9" s="1625"/>
      <c r="DQ9" s="1625"/>
      <c r="DR9" s="1625"/>
      <c r="DS9" s="1625"/>
      <c r="DT9" s="1625"/>
      <c r="DU9" s="1625"/>
      <c r="DV9" s="1625"/>
      <c r="DW9" s="1625"/>
      <c r="DX9" s="1625"/>
      <c r="DY9" s="1625"/>
      <c r="DZ9" s="1625"/>
      <c r="EA9" s="1625"/>
      <c r="EB9" s="1625"/>
      <c r="EC9" s="1625"/>
      <c r="ED9" s="1625"/>
      <c r="EE9" s="1625"/>
      <c r="EF9" s="1625"/>
      <c r="EG9" s="1625"/>
      <c r="EH9" s="1625"/>
      <c r="EI9" s="1625"/>
      <c r="EJ9" s="1625"/>
      <c r="EK9" s="1625"/>
      <c r="EL9" s="1625"/>
      <c r="EM9" s="1625"/>
      <c r="EN9" s="1625"/>
      <c r="EO9" s="1625"/>
      <c r="EP9" s="1625"/>
      <c r="EQ9" s="1625"/>
      <c r="ER9" s="1625"/>
      <c r="ES9" s="1625"/>
      <c r="ET9" s="1625"/>
      <c r="EU9" s="1625"/>
      <c r="EV9" s="1625"/>
      <c r="EW9" s="1625"/>
      <c r="EX9" s="1625"/>
      <c r="EY9" s="1625"/>
      <c r="EZ9" s="1625"/>
      <c r="FA9" s="1625"/>
      <c r="FB9" s="1625"/>
      <c r="FC9" s="1625"/>
      <c r="FD9" s="1625"/>
      <c r="FE9" s="1625"/>
      <c r="FF9" s="1625"/>
      <c r="FG9" s="1625"/>
      <c r="FH9" s="1625"/>
      <c r="FI9" s="1625"/>
      <c r="FJ9" s="1625"/>
      <c r="FK9" s="1625"/>
      <c r="FL9" s="1625"/>
      <c r="FM9" s="1625"/>
      <c r="FN9" s="1625"/>
      <c r="FO9" s="1625"/>
      <c r="FP9" s="1625"/>
      <c r="FQ9" s="1625"/>
      <c r="FR9" s="1625"/>
      <c r="FS9" s="1625"/>
      <c r="FT9" s="1625"/>
      <c r="FU9" s="1625"/>
      <c r="FV9" s="1625"/>
    </row>
    <row r="10" spans="2:178" s="1756" customFormat="1" ht="23.25">
      <c r="B10" s="1753" t="s">
        <v>474</v>
      </c>
      <c r="C10" s="1754"/>
      <c r="D10" s="1754"/>
      <c r="E10" s="1754"/>
      <c r="F10" s="1754"/>
      <c r="G10" s="1754"/>
      <c r="H10" s="1754"/>
      <c r="I10" s="1754"/>
      <c r="J10" s="1754"/>
      <c r="K10" s="1754"/>
      <c r="L10" s="1754"/>
      <c r="M10" s="1754"/>
      <c r="N10" s="1754"/>
      <c r="O10" s="1754"/>
      <c r="P10" s="1754"/>
      <c r="Q10" s="1754"/>
      <c r="R10" s="1754"/>
      <c r="S10" s="1754"/>
      <c r="T10" s="1754"/>
      <c r="U10" s="1754"/>
      <c r="V10" s="1757"/>
      <c r="W10" s="1754"/>
      <c r="X10" s="1754"/>
      <c r="Y10" s="1754"/>
      <c r="Z10" s="1754"/>
      <c r="AA10" s="1754"/>
      <c r="AB10" s="1754"/>
      <c r="AC10" s="1754"/>
      <c r="AD10" s="1754"/>
      <c r="AE10" s="1754"/>
      <c r="AF10" s="1754"/>
      <c r="AG10" s="1754"/>
      <c r="AH10" s="1754"/>
      <c r="AI10" s="1754"/>
      <c r="AJ10" s="1754"/>
      <c r="AK10" s="1754"/>
      <c r="AL10" s="1754"/>
      <c r="AM10" s="1754"/>
      <c r="AN10" s="1754"/>
      <c r="AO10" s="1754"/>
      <c r="AP10" s="1754"/>
      <c r="AQ10" s="1754"/>
      <c r="AR10" s="1754"/>
      <c r="AS10" s="1754"/>
      <c r="AT10" s="1754"/>
      <c r="AU10" s="1754"/>
      <c r="AV10" s="1754"/>
      <c r="AW10" s="1754"/>
      <c r="AX10" s="1754"/>
      <c r="AY10" s="1754"/>
      <c r="AZ10" s="1754"/>
      <c r="BA10" s="1754"/>
      <c r="BB10" s="1754"/>
      <c r="BC10" s="1754"/>
      <c r="BD10" s="1754"/>
      <c r="BE10" s="1754"/>
      <c r="BF10" s="1754"/>
      <c r="BG10" s="1754"/>
      <c r="BH10" s="1754"/>
      <c r="BI10" s="1754"/>
      <c r="BJ10" s="1754"/>
      <c r="BK10" s="1754"/>
      <c r="BL10" s="1754"/>
      <c r="BM10" s="1754"/>
      <c r="BN10" s="1754"/>
      <c r="BO10" s="1754"/>
      <c r="BP10" s="1754"/>
      <c r="BQ10" s="1754"/>
      <c r="BR10" s="1754"/>
      <c r="BS10" s="1754"/>
      <c r="BT10" s="1754"/>
      <c r="BU10" s="1754"/>
      <c r="BV10" s="1754"/>
      <c r="BW10" s="1754"/>
      <c r="BX10" s="1754"/>
      <c r="BY10" s="1754"/>
      <c r="BZ10" s="1754"/>
      <c r="CA10" s="1754"/>
      <c r="CB10" s="1754"/>
      <c r="CC10" s="1754"/>
      <c r="CD10" s="1754"/>
      <c r="CE10" s="1754"/>
      <c r="CF10" s="1754"/>
      <c r="CG10" s="1754"/>
      <c r="CH10" s="1754"/>
      <c r="CI10" s="1754"/>
      <c r="CJ10" s="1754"/>
      <c r="CK10" s="1754"/>
      <c r="CL10" s="1754"/>
      <c r="CM10" s="1754"/>
      <c r="CN10" s="1754"/>
      <c r="CO10" s="1754"/>
      <c r="CP10" s="1754"/>
      <c r="CQ10" s="1754"/>
      <c r="CR10" s="1754"/>
      <c r="CS10" s="1754"/>
      <c r="CT10" s="1754"/>
      <c r="CU10" s="1754"/>
      <c r="CV10" s="1754"/>
      <c r="CW10" s="1754"/>
      <c r="CX10" s="1754"/>
      <c r="CY10" s="1754"/>
      <c r="CZ10" s="1754"/>
      <c r="DA10" s="1754"/>
      <c r="DB10" s="1754"/>
      <c r="DC10" s="1754"/>
      <c r="DD10" s="1754"/>
      <c r="DE10" s="1754"/>
      <c r="DF10" s="1754"/>
      <c r="DG10" s="1754"/>
      <c r="DH10" s="1754"/>
      <c r="DI10" s="1754"/>
      <c r="DJ10" s="1754"/>
      <c r="DK10" s="1754"/>
      <c r="DL10" s="1754"/>
      <c r="DM10" s="1754"/>
      <c r="DN10" s="1754"/>
      <c r="DO10" s="1754"/>
      <c r="DP10" s="1754"/>
      <c r="DQ10" s="1754"/>
      <c r="DR10" s="1754"/>
      <c r="DS10" s="1754"/>
      <c r="DT10" s="1754"/>
      <c r="DU10" s="1754"/>
      <c r="DV10" s="1754"/>
      <c r="DW10" s="1754"/>
      <c r="DX10" s="1754"/>
      <c r="DY10" s="1754"/>
      <c r="DZ10" s="1754"/>
      <c r="EA10" s="1754"/>
      <c r="EB10" s="1754"/>
      <c r="EC10" s="1754"/>
      <c r="ED10" s="1754"/>
      <c r="EE10" s="1754"/>
      <c r="EF10" s="1754"/>
      <c r="EG10" s="1754"/>
      <c r="EH10" s="1754"/>
      <c r="EI10" s="1754"/>
      <c r="EJ10" s="1754"/>
      <c r="EK10" s="1754"/>
      <c r="EL10" s="1754"/>
      <c r="EM10" s="1754"/>
      <c r="EN10" s="1754"/>
      <c r="EO10" s="1754"/>
      <c r="EP10" s="1754"/>
      <c r="EQ10" s="1754"/>
      <c r="ER10" s="1754"/>
      <c r="ES10" s="1754"/>
      <c r="ET10" s="1754"/>
      <c r="EU10" s="1754"/>
      <c r="EV10" s="1754"/>
      <c r="EW10" s="1754"/>
      <c r="EX10" s="1754"/>
      <c r="EY10" s="1754"/>
      <c r="EZ10" s="1754"/>
      <c r="FA10" s="1754"/>
      <c r="FB10" s="1754"/>
      <c r="FC10" s="1754"/>
      <c r="FD10" s="1754"/>
      <c r="FE10" s="1754"/>
      <c r="FF10" s="1754"/>
      <c r="FG10" s="1754"/>
      <c r="FH10" s="1754"/>
      <c r="FI10" s="1754"/>
      <c r="FJ10" s="1754"/>
      <c r="FK10" s="1754"/>
      <c r="FL10" s="1754"/>
      <c r="FM10" s="1754"/>
      <c r="FN10" s="1754"/>
      <c r="FO10" s="1754"/>
      <c r="FP10" s="1754"/>
      <c r="FQ10" s="1754"/>
      <c r="FR10" s="1754"/>
      <c r="FS10" s="1754"/>
      <c r="FT10" s="1754"/>
      <c r="FU10" s="1754"/>
      <c r="FV10" s="1754"/>
    </row>
    <row r="11" spans="2:178" s="1371" customFormat="1" ht="9.75" customHeight="1" thickBot="1">
      <c r="B11" s="1625"/>
      <c r="C11" s="1625"/>
      <c r="D11" s="1625"/>
      <c r="E11" s="1625"/>
      <c r="F11" s="1625"/>
      <c r="G11" s="1625"/>
      <c r="H11" s="1625"/>
      <c r="I11" s="1625"/>
      <c r="J11" s="1625"/>
      <c r="K11" s="1625"/>
      <c r="L11" s="1625"/>
      <c r="M11" s="1625"/>
      <c r="N11" s="1625"/>
      <c r="O11" s="1625"/>
      <c r="P11" s="1625"/>
      <c r="Q11" s="1625"/>
      <c r="R11" s="1625"/>
      <c r="S11" s="1625"/>
      <c r="T11" s="1625"/>
      <c r="U11" s="1663"/>
      <c r="V11" s="1663"/>
      <c r="W11" s="1625"/>
      <c r="X11" s="1625"/>
      <c r="Y11" s="1625"/>
      <c r="Z11" s="1625"/>
      <c r="AA11" s="1625"/>
      <c r="AB11" s="1625"/>
      <c r="AC11" s="1625"/>
      <c r="AD11" s="1625"/>
      <c r="AE11" s="1625"/>
      <c r="AF11" s="1625"/>
      <c r="AG11" s="1625"/>
      <c r="AH11" s="1625"/>
      <c r="AI11" s="1625"/>
      <c r="AJ11" s="1625"/>
      <c r="AK11" s="1625"/>
      <c r="AL11" s="1625"/>
      <c r="AM11" s="1625"/>
      <c r="AN11" s="1625"/>
      <c r="AO11" s="1625"/>
      <c r="AP11" s="1625"/>
      <c r="AQ11" s="1625"/>
      <c r="AR11" s="1625"/>
      <c r="AS11" s="1625"/>
      <c r="AT11" s="1625"/>
      <c r="AU11" s="1625"/>
      <c r="AV11" s="1625"/>
      <c r="AW11" s="1625"/>
      <c r="AX11" s="1625"/>
      <c r="AY11" s="1625"/>
      <c r="AZ11" s="1625"/>
      <c r="BA11" s="1625"/>
      <c r="BB11" s="1625"/>
      <c r="BC11" s="1625"/>
      <c r="BD11" s="1625"/>
      <c r="BE11" s="1625"/>
      <c r="BF11" s="1625"/>
      <c r="BG11" s="1625"/>
      <c r="BH11" s="1625"/>
      <c r="BI11" s="1625"/>
      <c r="BJ11" s="1625"/>
      <c r="BK11" s="1625"/>
      <c r="BL11" s="1625"/>
      <c r="BM11" s="1625"/>
      <c r="BN11" s="1625"/>
      <c r="BO11" s="1625"/>
      <c r="BP11" s="1625"/>
      <c r="BQ11" s="1625"/>
      <c r="BR11" s="1625"/>
      <c r="BS11" s="1625"/>
      <c r="BT11" s="1625"/>
      <c r="BU11" s="1625"/>
      <c r="BV11" s="1625"/>
      <c r="BW11" s="1625"/>
      <c r="BX11" s="1625"/>
      <c r="BY11" s="1625"/>
      <c r="BZ11" s="1625"/>
      <c r="CA11" s="1625"/>
      <c r="CB11" s="1625"/>
      <c r="CC11" s="1625"/>
      <c r="CD11" s="1625"/>
      <c r="CE11" s="1625"/>
      <c r="CF11" s="1625"/>
      <c r="CG11" s="1625"/>
      <c r="CH11" s="1625"/>
      <c r="CI11" s="1625"/>
      <c r="CJ11" s="1625"/>
      <c r="CK11" s="1625"/>
      <c r="CL11" s="1625"/>
      <c r="CM11" s="1625"/>
      <c r="CN11" s="1625"/>
      <c r="CO11" s="1625"/>
      <c r="CP11" s="1625"/>
      <c r="CQ11" s="1625"/>
      <c r="CR11" s="1625"/>
      <c r="CS11" s="1625"/>
      <c r="CT11" s="1625"/>
      <c r="CU11" s="1625"/>
      <c r="CV11" s="1625"/>
      <c r="CW11" s="1625"/>
      <c r="CX11" s="1625"/>
      <c r="CY11" s="1625"/>
      <c r="CZ11" s="1625"/>
      <c r="DA11" s="1625"/>
      <c r="DB11" s="1625"/>
      <c r="DC11" s="1625"/>
      <c r="DD11" s="1625"/>
      <c r="DE11" s="1625"/>
      <c r="DF11" s="1625"/>
      <c r="DG11" s="1625"/>
      <c r="DH11" s="1625"/>
      <c r="DI11" s="1625"/>
      <c r="DJ11" s="1625"/>
      <c r="DK11" s="1625"/>
      <c r="DL11" s="1625"/>
      <c r="DM11" s="1625"/>
      <c r="DN11" s="1625"/>
      <c r="DO11" s="1625"/>
      <c r="DP11" s="1625"/>
      <c r="DQ11" s="1625"/>
      <c r="DR11" s="1625"/>
      <c r="DS11" s="1625"/>
      <c r="DT11" s="1625"/>
      <c r="DU11" s="1625"/>
      <c r="DV11" s="1625"/>
      <c r="DW11" s="1625"/>
      <c r="DX11" s="1625"/>
      <c r="DY11" s="1625"/>
      <c r="DZ11" s="1625"/>
      <c r="EA11" s="1625"/>
      <c r="EB11" s="1625"/>
      <c r="EC11" s="1625"/>
      <c r="ED11" s="1625"/>
      <c r="EE11" s="1625"/>
      <c r="EF11" s="1625"/>
      <c r="EG11" s="1625"/>
      <c r="EH11" s="1625"/>
      <c r="EI11" s="1625"/>
      <c r="EJ11" s="1625"/>
      <c r="EK11" s="1625"/>
      <c r="EL11" s="1625"/>
      <c r="EM11" s="1625"/>
      <c r="EN11" s="1625"/>
      <c r="EO11" s="1625"/>
      <c r="EP11" s="1625"/>
      <c r="EQ11" s="1625"/>
      <c r="ER11" s="1625"/>
      <c r="ES11" s="1625"/>
      <c r="ET11" s="1625"/>
      <c r="EU11" s="1625"/>
      <c r="EV11" s="1625"/>
      <c r="EW11" s="1625"/>
      <c r="EX11" s="1625"/>
      <c r="EY11" s="1625"/>
      <c r="EZ11" s="1625"/>
      <c r="FA11" s="1625"/>
      <c r="FB11" s="1625"/>
      <c r="FC11" s="1625"/>
      <c r="FD11" s="1625"/>
      <c r="FE11" s="1625"/>
      <c r="FF11" s="1625"/>
      <c r="FG11" s="1625"/>
      <c r="FH11" s="1625"/>
      <c r="FI11" s="1625"/>
      <c r="FJ11" s="1625"/>
      <c r="FK11" s="1625"/>
      <c r="FL11" s="1625"/>
      <c r="FM11" s="1625"/>
      <c r="FN11" s="1625"/>
      <c r="FO11" s="1625"/>
      <c r="FP11" s="1625"/>
      <c r="FQ11" s="1625"/>
      <c r="FR11" s="1625"/>
      <c r="FS11" s="1625"/>
      <c r="FT11" s="1625"/>
      <c r="FU11" s="1625"/>
      <c r="FV11" s="1625"/>
    </row>
    <row r="12" spans="2:177" s="1371" customFormat="1" ht="9.75" customHeight="1" thickTop="1">
      <c r="B12" s="1758"/>
      <c r="C12" s="1759"/>
      <c r="D12" s="1759"/>
      <c r="E12" s="1759"/>
      <c r="F12" s="1759"/>
      <c r="G12" s="1759"/>
      <c r="H12" s="1759"/>
      <c r="I12" s="1759"/>
      <c r="J12" s="1759"/>
      <c r="K12" s="1759"/>
      <c r="L12" s="1759"/>
      <c r="M12" s="1759"/>
      <c r="N12" s="1759"/>
      <c r="O12" s="1759"/>
      <c r="P12" s="1759"/>
      <c r="Q12" s="1759"/>
      <c r="R12" s="1759"/>
      <c r="S12" s="1759"/>
      <c r="T12" s="1759"/>
      <c r="U12" s="1760"/>
      <c r="V12" s="1625"/>
      <c r="W12" s="1625"/>
      <c r="X12" s="1625"/>
      <c r="Y12" s="1625"/>
      <c r="Z12" s="1625"/>
      <c r="AA12" s="1625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1625"/>
      <c r="AM12" s="1625"/>
      <c r="AN12" s="1625"/>
      <c r="AO12" s="1625"/>
      <c r="AP12" s="1625"/>
      <c r="AQ12" s="1625"/>
      <c r="AR12" s="1625"/>
      <c r="AS12" s="1625"/>
      <c r="AT12" s="1625"/>
      <c r="AU12" s="1625"/>
      <c r="AV12" s="1625"/>
      <c r="AW12" s="1625"/>
      <c r="AX12" s="1625"/>
      <c r="AY12" s="1625"/>
      <c r="AZ12" s="1625"/>
      <c r="BA12" s="1625"/>
      <c r="BB12" s="1625"/>
      <c r="BC12" s="1625"/>
      <c r="BD12" s="1625"/>
      <c r="BE12" s="1625"/>
      <c r="BF12" s="1625"/>
      <c r="BG12" s="1625"/>
      <c r="BH12" s="1625"/>
      <c r="BI12" s="1625"/>
      <c r="BJ12" s="1625"/>
      <c r="BK12" s="1625"/>
      <c r="BL12" s="1625"/>
      <c r="BM12" s="1625"/>
      <c r="BN12" s="1625"/>
      <c r="BO12" s="1625"/>
      <c r="BP12" s="1625"/>
      <c r="BQ12" s="1625"/>
      <c r="BR12" s="1625"/>
      <c r="BS12" s="1625"/>
      <c r="BT12" s="1625"/>
      <c r="BU12" s="1625"/>
      <c r="BV12" s="1625"/>
      <c r="BW12" s="1625"/>
      <c r="BX12" s="1625"/>
      <c r="BY12" s="1625"/>
      <c r="BZ12" s="1625"/>
      <c r="CA12" s="1625"/>
      <c r="CB12" s="1625"/>
      <c r="CC12" s="1625"/>
      <c r="CD12" s="1625"/>
      <c r="CE12" s="1625"/>
      <c r="CF12" s="1625"/>
      <c r="CG12" s="1625"/>
      <c r="CH12" s="1625"/>
      <c r="CI12" s="1625"/>
      <c r="CJ12" s="1625"/>
      <c r="CK12" s="1625"/>
      <c r="CL12" s="1625"/>
      <c r="CM12" s="1625"/>
      <c r="CN12" s="1625"/>
      <c r="CO12" s="1625"/>
      <c r="CP12" s="1625"/>
      <c r="CQ12" s="1625"/>
      <c r="CR12" s="1625"/>
      <c r="CS12" s="1625"/>
      <c r="CT12" s="1625"/>
      <c r="CU12" s="1625"/>
      <c r="CV12" s="1625"/>
      <c r="CW12" s="1625"/>
      <c r="CX12" s="1625"/>
      <c r="CY12" s="1625"/>
      <c r="CZ12" s="1625"/>
      <c r="DA12" s="1625"/>
      <c r="DB12" s="1625"/>
      <c r="DC12" s="1625"/>
      <c r="DD12" s="1625"/>
      <c r="DE12" s="1625"/>
      <c r="DF12" s="1625"/>
      <c r="DG12" s="1625"/>
      <c r="DH12" s="1625"/>
      <c r="DI12" s="1625"/>
      <c r="DJ12" s="1625"/>
      <c r="DK12" s="1625"/>
      <c r="DL12" s="1625"/>
      <c r="DM12" s="1625"/>
      <c r="DN12" s="1625"/>
      <c r="DO12" s="1625"/>
      <c r="DP12" s="1625"/>
      <c r="DQ12" s="1625"/>
      <c r="DR12" s="1625"/>
      <c r="DS12" s="1625"/>
      <c r="DT12" s="1625"/>
      <c r="DU12" s="1625"/>
      <c r="DV12" s="1625"/>
      <c r="DW12" s="1625"/>
      <c r="DX12" s="1625"/>
      <c r="DY12" s="1625"/>
      <c r="DZ12" s="1625"/>
      <c r="EA12" s="1625"/>
      <c r="EB12" s="1625"/>
      <c r="EC12" s="1625"/>
      <c r="ED12" s="1625"/>
      <c r="EE12" s="1625"/>
      <c r="EF12" s="1625"/>
      <c r="EG12" s="1625"/>
      <c r="EH12" s="1625"/>
      <c r="EI12" s="1625"/>
      <c r="EJ12" s="1625"/>
      <c r="EK12" s="1625"/>
      <c r="EL12" s="1625"/>
      <c r="EM12" s="1625"/>
      <c r="EN12" s="1625"/>
      <c r="EO12" s="1625"/>
      <c r="EP12" s="1625"/>
      <c r="EQ12" s="1625"/>
      <c r="ER12" s="1625"/>
      <c r="ES12" s="1625"/>
      <c r="ET12" s="1625"/>
      <c r="EU12" s="1625"/>
      <c r="EV12" s="1625"/>
      <c r="EW12" s="1625"/>
      <c r="EX12" s="1625"/>
      <c r="EY12" s="1625"/>
      <c r="EZ12" s="1625"/>
      <c r="FA12" s="1625"/>
      <c r="FB12" s="1625"/>
      <c r="FC12" s="1625"/>
      <c r="FD12" s="1625"/>
      <c r="FE12" s="1625"/>
      <c r="FF12" s="1625"/>
      <c r="FG12" s="1625"/>
      <c r="FH12" s="1625"/>
      <c r="FI12" s="1625"/>
      <c r="FJ12" s="1625"/>
      <c r="FK12" s="1625"/>
      <c r="FL12" s="1625"/>
      <c r="FM12" s="1625"/>
      <c r="FN12" s="1625"/>
      <c r="FO12" s="1625"/>
      <c r="FP12" s="1625"/>
      <c r="FQ12" s="1625"/>
      <c r="FR12" s="1625"/>
      <c r="FS12" s="1625"/>
      <c r="FT12" s="1625"/>
      <c r="FU12" s="1625"/>
    </row>
    <row r="13" spans="2:177" s="1371" customFormat="1" ht="19.5">
      <c r="B13" s="787" t="s">
        <v>536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1"/>
      <c r="U13" s="1762"/>
      <c r="V13" s="1625"/>
      <c r="W13" s="1625"/>
      <c r="X13" s="1625"/>
      <c r="Y13" s="1625"/>
      <c r="Z13" s="1625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1625"/>
      <c r="AM13" s="1625"/>
      <c r="AN13" s="1625"/>
      <c r="AO13" s="1625"/>
      <c r="AP13" s="1625"/>
      <c r="AQ13" s="1625"/>
      <c r="AR13" s="1625"/>
      <c r="AS13" s="1625"/>
      <c r="AT13" s="1625"/>
      <c r="AU13" s="1625"/>
      <c r="AV13" s="1625"/>
      <c r="AW13" s="1625"/>
      <c r="AX13" s="1625"/>
      <c r="AY13" s="1625"/>
      <c r="AZ13" s="1625"/>
      <c r="BA13" s="1625"/>
      <c r="BB13" s="1625"/>
      <c r="BC13" s="1625"/>
      <c r="BD13" s="1625"/>
      <c r="BE13" s="1625"/>
      <c r="BF13" s="1625"/>
      <c r="BG13" s="1625"/>
      <c r="BH13" s="1625"/>
      <c r="BI13" s="1625"/>
      <c r="BJ13" s="1625"/>
      <c r="BK13" s="1625"/>
      <c r="BL13" s="1625"/>
      <c r="BM13" s="1625"/>
      <c r="BN13" s="1625"/>
      <c r="BO13" s="1625"/>
      <c r="BP13" s="1625"/>
      <c r="BQ13" s="1625"/>
      <c r="BR13" s="1625"/>
      <c r="BS13" s="1625"/>
      <c r="BT13" s="1625"/>
      <c r="BU13" s="1625"/>
      <c r="BV13" s="1625"/>
      <c r="BW13" s="1625"/>
      <c r="BX13" s="1625"/>
      <c r="BY13" s="1625"/>
      <c r="BZ13" s="1625"/>
      <c r="CA13" s="1625"/>
      <c r="CB13" s="1625"/>
      <c r="CC13" s="1625"/>
      <c r="CD13" s="1625"/>
      <c r="CE13" s="1625"/>
      <c r="CF13" s="1625"/>
      <c r="CG13" s="1625"/>
      <c r="CH13" s="1625"/>
      <c r="CI13" s="1625"/>
      <c r="CJ13" s="1625"/>
      <c r="CK13" s="1625"/>
      <c r="CL13" s="1625"/>
      <c r="CM13" s="1625"/>
      <c r="CN13" s="1625"/>
      <c r="CO13" s="1625"/>
      <c r="CP13" s="1625"/>
      <c r="CQ13" s="1625"/>
      <c r="CR13" s="1625"/>
      <c r="CS13" s="1625"/>
      <c r="CT13" s="1625"/>
      <c r="CU13" s="1625"/>
      <c r="CV13" s="1625"/>
      <c r="CW13" s="1625"/>
      <c r="CX13" s="1625"/>
      <c r="CY13" s="1625"/>
      <c r="CZ13" s="1625"/>
      <c r="DA13" s="1625"/>
      <c r="DB13" s="1625"/>
      <c r="DC13" s="1625"/>
      <c r="DD13" s="1625"/>
      <c r="DE13" s="1625"/>
      <c r="DF13" s="1625"/>
      <c r="DG13" s="1625"/>
      <c r="DH13" s="1625"/>
      <c r="DI13" s="1625"/>
      <c r="DJ13" s="1625"/>
      <c r="DK13" s="1625"/>
      <c r="DL13" s="1625"/>
      <c r="DM13" s="1625"/>
      <c r="DN13" s="1625"/>
      <c r="DO13" s="1625"/>
      <c r="DP13" s="1625"/>
      <c r="DQ13" s="1625"/>
      <c r="DR13" s="1625"/>
      <c r="DS13" s="1625"/>
      <c r="DT13" s="1625"/>
      <c r="DU13" s="1625"/>
      <c r="DV13" s="1625"/>
      <c r="DW13" s="1625"/>
      <c r="DX13" s="1625"/>
      <c r="DY13" s="1625"/>
      <c r="DZ13" s="1625"/>
      <c r="EA13" s="1625"/>
      <c r="EB13" s="1625"/>
      <c r="EC13" s="1625"/>
      <c r="ED13" s="1625"/>
      <c r="EE13" s="1625"/>
      <c r="EF13" s="1625"/>
      <c r="EG13" s="1625"/>
      <c r="EH13" s="1625"/>
      <c r="EI13" s="1625"/>
      <c r="EJ13" s="1625"/>
      <c r="EK13" s="1625"/>
      <c r="EL13" s="1625"/>
      <c r="EM13" s="1625"/>
      <c r="EN13" s="1625"/>
      <c r="EO13" s="1625"/>
      <c r="EP13" s="1625"/>
      <c r="EQ13" s="1625"/>
      <c r="ER13" s="1625"/>
      <c r="ES13" s="1625"/>
      <c r="ET13" s="1625"/>
      <c r="EU13" s="1625"/>
      <c r="EV13" s="1625"/>
      <c r="EW13" s="1625"/>
      <c r="EX13" s="1625"/>
      <c r="EY13" s="1625"/>
      <c r="EZ13" s="1625"/>
      <c r="FA13" s="1625"/>
      <c r="FB13" s="1625"/>
      <c r="FC13" s="1625"/>
      <c r="FD13" s="1625"/>
      <c r="FE13" s="1625"/>
      <c r="FF13" s="1625"/>
      <c r="FG13" s="1625"/>
      <c r="FH13" s="1625"/>
      <c r="FI13" s="1625"/>
      <c r="FJ13" s="1625"/>
      <c r="FK13" s="1625"/>
      <c r="FL13" s="1625"/>
      <c r="FM13" s="1625"/>
      <c r="FN13" s="1625"/>
      <c r="FO13" s="1625"/>
      <c r="FP13" s="1625"/>
      <c r="FQ13" s="1625"/>
      <c r="FR13" s="1625"/>
      <c r="FS13" s="1625"/>
      <c r="FT13" s="1625"/>
      <c r="FU13" s="1625"/>
    </row>
    <row r="14" spans="2:21" s="1371" customFormat="1" ht="9.75" customHeight="1" thickBot="1">
      <c r="B14" s="1372"/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763"/>
    </row>
    <row r="15" spans="2:21" s="1764" customFormat="1" ht="33.75" customHeight="1" thickBot="1" thickTop="1">
      <c r="B15" s="1765"/>
      <c r="C15" s="810"/>
      <c r="D15" s="810" t="s">
        <v>5</v>
      </c>
      <c r="E15" s="820" t="s">
        <v>35</v>
      </c>
      <c r="F15" s="820" t="s">
        <v>36</v>
      </c>
      <c r="G15" s="1766" t="s">
        <v>475</v>
      </c>
      <c r="H15" s="1766">
        <v>40603</v>
      </c>
      <c r="I15" s="1766">
        <v>40634</v>
      </c>
      <c r="J15" s="1766">
        <v>40664</v>
      </c>
      <c r="K15" s="1766">
        <v>40695</v>
      </c>
      <c r="L15" s="1766">
        <v>40725</v>
      </c>
      <c r="M15" s="1766">
        <v>40756</v>
      </c>
      <c r="N15" s="1766">
        <v>40787</v>
      </c>
      <c r="O15" s="1766">
        <v>40817</v>
      </c>
      <c r="P15" s="1766">
        <v>40848</v>
      </c>
      <c r="Q15" s="1766">
        <v>40878</v>
      </c>
      <c r="R15" s="1766">
        <v>40909</v>
      </c>
      <c r="S15" s="1766">
        <v>40940</v>
      </c>
      <c r="T15" s="1766">
        <v>40969</v>
      </c>
      <c r="U15" s="1767"/>
    </row>
    <row r="16" spans="2:21" s="1768" customFormat="1" ht="9.75" customHeight="1" thickTop="1">
      <c r="B16" s="1769"/>
      <c r="C16" s="1770"/>
      <c r="D16" s="1771"/>
      <c r="E16" s="1771"/>
      <c r="F16" s="1771"/>
      <c r="G16" s="1771"/>
      <c r="H16" s="1772"/>
      <c r="I16" s="1772"/>
      <c r="J16" s="1772"/>
      <c r="K16" s="1772"/>
      <c r="L16" s="1772"/>
      <c r="M16" s="1772"/>
      <c r="N16" s="1772"/>
      <c r="O16" s="1772"/>
      <c r="P16" s="1772"/>
      <c r="Q16" s="1772"/>
      <c r="R16" s="1772"/>
      <c r="S16" s="1772"/>
      <c r="T16" s="1773"/>
      <c r="U16" s="1774"/>
    </row>
    <row r="17" spans="2:21" s="1768" customFormat="1" ht="19.5" customHeight="1">
      <c r="B17" s="1769"/>
      <c r="C17" s="1775">
        <f>IF('[7]BASE'!C17=0,"",'[7]BASE'!C17)</f>
        <v>1</v>
      </c>
      <c r="D17" s="1775" t="str">
        <f>IF('[7]BASE'!D17=0,"",'[7]BASE'!D17)</f>
        <v>ABASTO - OLAVARRIA 1</v>
      </c>
      <c r="E17" s="1775">
        <f>IF('[7]BASE'!E17=0,"",'[7]BASE'!E17)</f>
        <v>500</v>
      </c>
      <c r="F17" s="1775">
        <f>IF('[7]BASE'!F17=0,"",'[7]BASE'!F17)</f>
        <v>291</v>
      </c>
      <c r="G17" s="1775" t="str">
        <f>IF('[5]BASE'!G17=0,"",'[5]BASE'!G17)</f>
        <v>B</v>
      </c>
      <c r="H17" s="1776">
        <f>IF('[7]BASE'!HG17=0,"",'[7]BASE'!HG17)</f>
      </c>
      <c r="I17" s="1776">
        <f>IF('[7]BASE'!HH17=0,"",'[7]BASE'!HH17)</f>
      </c>
      <c r="J17" s="1776">
        <f>IF('[7]BASE'!HI17=0,"",'[7]BASE'!HI17)</f>
        <v>1</v>
      </c>
      <c r="K17" s="1776">
        <f>IF('[7]BASE'!HJ17=0,"",'[7]BASE'!HJ17)</f>
      </c>
      <c r="L17" s="1776">
        <f>IF('[7]BASE'!HK17=0,"",'[7]BASE'!HK17)</f>
      </c>
      <c r="M17" s="1776">
        <f>IF('[7]BASE'!HL17=0,"",'[7]BASE'!HL17)</f>
      </c>
      <c r="N17" s="1776">
        <f>IF('[7]BASE'!HM17=0,"",'[7]BASE'!HM17)</f>
      </c>
      <c r="O17" s="1776">
        <f>IF('[7]BASE'!HN17=0,"",'[7]BASE'!HN17)</f>
      </c>
      <c r="P17" s="1776">
        <f>IF('[7]BASE'!HO17=0,"",'[7]BASE'!HO17)</f>
      </c>
      <c r="Q17" s="1776">
        <f>IF('[7]BASE'!HP17=0,"",'[7]BASE'!HP17)</f>
      </c>
      <c r="R17" s="1776">
        <f>IF('[7]BASE'!HQ17=0,"",'[7]BASE'!HQ17)</f>
      </c>
      <c r="S17" s="1776">
        <f>IF('[7]BASE'!HR17=0,"",'[7]BASE'!HR17)</f>
      </c>
      <c r="T17" s="1777"/>
      <c r="U17" s="1774"/>
    </row>
    <row r="18" spans="2:21" s="1768" customFormat="1" ht="19.5" customHeight="1">
      <c r="B18" s="1769"/>
      <c r="C18" s="1775">
        <f>IF('[7]BASE'!C18=0,"",'[7]BASE'!C18)</f>
        <v>2</v>
      </c>
      <c r="D18" s="1775" t="str">
        <f>IF('[7]BASE'!D18=0,"",'[7]BASE'!D18)</f>
        <v>ABASTO - OLAVARRIA 2</v>
      </c>
      <c r="E18" s="1775">
        <f>IF('[7]BASE'!E18=0,"",'[7]BASE'!E18)</f>
        <v>500</v>
      </c>
      <c r="F18" s="1775">
        <f>IF('[7]BASE'!F18=0,"",'[7]BASE'!F18)</f>
        <v>301.9</v>
      </c>
      <c r="G18" s="1775" t="e">
        <f>IF('[5]BASE'!G18=0,"",'[5]BASE'!G18)</f>
        <v>#REF!</v>
      </c>
      <c r="H18" s="1776">
        <f>IF('[7]BASE'!HG18=0,"",'[7]BASE'!HG18)</f>
      </c>
      <c r="I18" s="1776">
        <f>IF('[7]BASE'!HH18=0,"",'[7]BASE'!HH18)</f>
      </c>
      <c r="J18" s="1776">
        <f>IF('[7]BASE'!HI18=0,"",'[7]BASE'!HI18)</f>
      </c>
      <c r="K18" s="1776">
        <f>IF('[7]BASE'!HJ18=0,"",'[7]BASE'!HJ18)</f>
      </c>
      <c r="L18" s="1776">
        <f>IF('[7]BASE'!HK18=0,"",'[7]BASE'!HK18)</f>
      </c>
      <c r="M18" s="1776">
        <f>IF('[7]BASE'!HL18=0,"",'[7]BASE'!HL18)</f>
      </c>
      <c r="N18" s="1776">
        <f>IF('[7]BASE'!HM18=0,"",'[7]BASE'!HM18)</f>
      </c>
      <c r="O18" s="1776">
        <f>IF('[7]BASE'!HN18=0,"",'[7]BASE'!HN18)</f>
      </c>
      <c r="P18" s="1776">
        <f>IF('[7]BASE'!HO18=0,"",'[7]BASE'!HO18)</f>
      </c>
      <c r="Q18" s="1776">
        <f>IF('[7]BASE'!HP18=0,"",'[7]BASE'!HP18)</f>
      </c>
      <c r="R18" s="1776">
        <f>IF('[7]BASE'!HQ18=0,"",'[7]BASE'!HQ18)</f>
        <v>1</v>
      </c>
      <c r="S18" s="1776">
        <f>IF('[7]BASE'!HR18=0,"",'[7]BASE'!HR18)</f>
      </c>
      <c r="T18" s="1777"/>
      <c r="U18" s="1774"/>
    </row>
    <row r="19" spans="2:21" s="1768" customFormat="1" ht="19.5" customHeight="1">
      <c r="B19" s="1769"/>
      <c r="C19" s="1775">
        <f>IF('[7]BASE'!C19=0,"",'[7]BASE'!C19)</f>
        <v>3</v>
      </c>
      <c r="D19" s="1775" t="str">
        <f>IF('[7]BASE'!D19=0,"",'[7]BASE'!D19)</f>
        <v>AGUA DEL CAJON - CHOCON OESTE</v>
      </c>
      <c r="E19" s="1775">
        <f>IF('[7]BASE'!E19=0,"",'[7]BASE'!E19)</f>
        <v>500</v>
      </c>
      <c r="F19" s="1775">
        <f>IF('[7]BASE'!F19=0,"",'[7]BASE'!F19)</f>
        <v>52</v>
      </c>
      <c r="G19" s="1775" t="e">
        <f>IF('[5]BASE'!G19=0,"",'[5]BASE'!G19)</f>
        <v>#REF!</v>
      </c>
      <c r="H19" s="1776">
        <f>IF('[7]BASE'!HG19=0,"",'[7]BASE'!HG19)</f>
      </c>
      <c r="I19" s="1776">
        <f>IF('[7]BASE'!HH19=0,"",'[7]BASE'!HH19)</f>
      </c>
      <c r="J19" s="1776">
        <f>IF('[7]BASE'!HI19=0,"",'[7]BASE'!HI19)</f>
      </c>
      <c r="K19" s="1776">
        <f>IF('[7]BASE'!HJ19=0,"",'[7]BASE'!HJ19)</f>
      </c>
      <c r="L19" s="1776">
        <f>IF('[7]BASE'!HK19=0,"",'[7]BASE'!HK19)</f>
      </c>
      <c r="M19" s="1776">
        <f>IF('[7]BASE'!HL19=0,"",'[7]BASE'!HL19)</f>
      </c>
      <c r="N19" s="1776">
        <f>IF('[7]BASE'!HM19=0,"",'[7]BASE'!HM19)</f>
      </c>
      <c r="O19" s="1776">
        <f>IF('[7]BASE'!HN19=0,"",'[7]BASE'!HN19)</f>
      </c>
      <c r="P19" s="1776">
        <f>IF('[7]BASE'!HO19=0,"",'[7]BASE'!HO19)</f>
      </c>
      <c r="Q19" s="1776">
        <f>IF('[7]BASE'!HP19=0,"",'[7]BASE'!HP19)</f>
      </c>
      <c r="R19" s="1776">
        <f>IF('[7]BASE'!HQ19=0,"",'[7]BASE'!HQ19)</f>
      </c>
      <c r="S19" s="1776">
        <f>IF('[7]BASE'!HR19=0,"",'[7]BASE'!HR19)</f>
      </c>
      <c r="T19" s="1777"/>
      <c r="U19" s="1774"/>
    </row>
    <row r="20" spans="2:21" s="1768" customFormat="1" ht="19.5" customHeight="1">
      <c r="B20" s="1769"/>
      <c r="C20" s="1775">
        <f>IF('[7]BASE'!C20=0,"",'[7]BASE'!C20)</f>
        <v>4</v>
      </c>
      <c r="D20" s="1775" t="str">
        <f>IF('[7]BASE'!D20=0,"",'[7]BASE'!D20)</f>
        <v>ALICURA - E.T. P.del A. 1 (5LG1)</v>
      </c>
      <c r="E20" s="1775">
        <f>IF('[7]BASE'!E20=0,"",'[7]BASE'!E20)</f>
        <v>500</v>
      </c>
      <c r="F20" s="1775">
        <f>IF('[7]BASE'!F20=0,"",'[7]BASE'!F20)</f>
        <v>76</v>
      </c>
      <c r="G20" s="1775" t="str">
        <f>IF('[5]BASE'!G20=0,"",'[5]BASE'!G20)</f>
        <v>C</v>
      </c>
      <c r="H20" s="1776">
        <f>IF('[7]BASE'!HG20=0,"",'[7]BASE'!HG20)</f>
      </c>
      <c r="I20" s="1776">
        <f>IF('[7]BASE'!HH20=0,"",'[7]BASE'!HH20)</f>
      </c>
      <c r="J20" s="1776">
        <f>IF('[7]BASE'!HI20=0,"",'[7]BASE'!HI20)</f>
      </c>
      <c r="K20" s="1776">
        <f>IF('[7]BASE'!HJ20=0,"",'[7]BASE'!HJ20)</f>
      </c>
      <c r="L20" s="1776">
        <f>IF('[7]BASE'!HK20=0,"",'[7]BASE'!HK20)</f>
      </c>
      <c r="M20" s="1776">
        <f>IF('[7]BASE'!HL20=0,"",'[7]BASE'!HL20)</f>
      </c>
      <c r="N20" s="1776">
        <f>IF('[7]BASE'!HM20=0,"",'[7]BASE'!HM20)</f>
      </c>
      <c r="O20" s="1776">
        <f>IF('[7]BASE'!HN20=0,"",'[7]BASE'!HN20)</f>
      </c>
      <c r="P20" s="1776">
        <f>IF('[7]BASE'!HO20=0,"",'[7]BASE'!HO20)</f>
      </c>
      <c r="Q20" s="1776">
        <f>IF('[7]BASE'!HP20=0,"",'[7]BASE'!HP20)</f>
      </c>
      <c r="R20" s="1776">
        <f>IF('[7]BASE'!HQ20=0,"",'[7]BASE'!HQ20)</f>
      </c>
      <c r="S20" s="1776">
        <f>IF('[7]BASE'!HR20=0,"",'[7]BASE'!HR20)</f>
      </c>
      <c r="T20" s="1777"/>
      <c r="U20" s="1774"/>
    </row>
    <row r="21" spans="2:21" s="1768" customFormat="1" ht="19.5" customHeight="1">
      <c r="B21" s="1769"/>
      <c r="C21" s="1775">
        <f>IF('[7]BASE'!C21=0,"",'[7]BASE'!C21)</f>
        <v>5</v>
      </c>
      <c r="D21" s="1775" t="str">
        <f>IF('[7]BASE'!D21=0,"",'[7]BASE'!D21)</f>
        <v>ALICURA - E.T. P.del A. 2 (5LG2)</v>
      </c>
      <c r="E21" s="1775">
        <f>IF('[7]BASE'!E21=0,"",'[7]BASE'!E21)</f>
        <v>500</v>
      </c>
      <c r="F21" s="1775">
        <f>IF('[7]BASE'!F21=0,"",'[7]BASE'!F21)</f>
        <v>76</v>
      </c>
      <c r="G21" s="1775" t="str">
        <f>IF('[5]BASE'!G21=0,"",'[5]BASE'!G21)</f>
        <v>C</v>
      </c>
      <c r="H21" s="1776">
        <f>IF('[7]BASE'!HG21=0,"",'[7]BASE'!HG21)</f>
      </c>
      <c r="I21" s="1776">
        <f>IF('[7]BASE'!HH21=0,"",'[7]BASE'!HH21)</f>
      </c>
      <c r="J21" s="1776">
        <f>IF('[7]BASE'!HI21=0,"",'[7]BASE'!HI21)</f>
      </c>
      <c r="K21" s="1776">
        <f>IF('[7]BASE'!HJ21=0,"",'[7]BASE'!HJ21)</f>
      </c>
      <c r="L21" s="1776">
        <f>IF('[7]BASE'!HK21=0,"",'[7]BASE'!HK21)</f>
      </c>
      <c r="M21" s="1776">
        <f>IF('[7]BASE'!HL21=0,"",'[7]BASE'!HL21)</f>
      </c>
      <c r="N21" s="1776">
        <f>IF('[7]BASE'!HM21=0,"",'[7]BASE'!HM21)</f>
      </c>
      <c r="O21" s="1776">
        <f>IF('[7]BASE'!HN21=0,"",'[7]BASE'!HN21)</f>
      </c>
      <c r="P21" s="1776">
        <f>IF('[7]BASE'!HO21=0,"",'[7]BASE'!HO21)</f>
      </c>
      <c r="Q21" s="1776">
        <f>IF('[7]BASE'!HP21=0,"",'[7]BASE'!HP21)</f>
      </c>
      <c r="R21" s="1776">
        <f>IF('[7]BASE'!HQ21=0,"",'[7]BASE'!HQ21)</f>
      </c>
      <c r="S21" s="1776">
        <f>IF('[7]BASE'!HR21=0,"",'[7]BASE'!HR21)</f>
      </c>
      <c r="T21" s="1777"/>
      <c r="U21" s="1774"/>
    </row>
    <row r="22" spans="2:21" s="1768" customFormat="1" ht="19.5" customHeight="1">
      <c r="B22" s="1769"/>
      <c r="C22" s="1775">
        <f>IF('[7]BASE'!C22=0,"",'[7]BASE'!C22)</f>
        <v>6</v>
      </c>
      <c r="D22" s="1775" t="str">
        <f>IF('[7]BASE'!D22=0,"",'[7]BASE'!D22)</f>
        <v>ALMAFUERTE - EMBALSE </v>
      </c>
      <c r="E22" s="1775">
        <f>IF('[7]BASE'!E22=0,"",'[7]BASE'!E22)</f>
        <v>500</v>
      </c>
      <c r="F22" s="1775">
        <f>IF('[7]BASE'!F22=0,"",'[7]BASE'!F22)</f>
        <v>12</v>
      </c>
      <c r="G22" s="1775" t="str">
        <f>IF('[5]BASE'!G22=0,"",'[5]BASE'!G22)</f>
        <v>A</v>
      </c>
      <c r="H22" s="1776">
        <f>IF('[7]BASE'!HG22=0,"",'[7]BASE'!HG22)</f>
      </c>
      <c r="I22" s="1776">
        <f>IF('[7]BASE'!HH22=0,"",'[7]BASE'!HH22)</f>
      </c>
      <c r="J22" s="1776">
        <f>IF('[7]BASE'!HI22=0,"",'[7]BASE'!HI22)</f>
      </c>
      <c r="K22" s="1776">
        <f>IF('[7]BASE'!HJ22=0,"",'[7]BASE'!HJ22)</f>
      </c>
      <c r="L22" s="1776">
        <f>IF('[7]BASE'!HK22=0,"",'[7]BASE'!HK22)</f>
      </c>
      <c r="M22" s="1776">
        <f>IF('[7]BASE'!HL22=0,"",'[7]BASE'!HL22)</f>
      </c>
      <c r="N22" s="1776">
        <f>IF('[7]BASE'!HM22=0,"",'[7]BASE'!HM22)</f>
      </c>
      <c r="O22" s="1776">
        <f>IF('[7]BASE'!HN22=0,"",'[7]BASE'!HN22)</f>
      </c>
      <c r="P22" s="1776">
        <f>IF('[7]BASE'!HO22=0,"",'[7]BASE'!HO22)</f>
      </c>
      <c r="Q22" s="1776">
        <f>IF('[7]BASE'!HP22=0,"",'[7]BASE'!HP22)</f>
      </c>
      <c r="R22" s="1776">
        <f>IF('[7]BASE'!HQ22=0,"",'[7]BASE'!HQ22)</f>
      </c>
      <c r="S22" s="1776">
        <f>IF('[7]BASE'!HR22=0,"",'[7]BASE'!HR22)</f>
      </c>
      <c r="T22" s="1777"/>
      <c r="U22" s="1774"/>
    </row>
    <row r="23" spans="2:21" s="1768" customFormat="1" ht="19.5" customHeight="1">
      <c r="B23" s="1769"/>
      <c r="C23" s="1775">
        <f>IF('[7]BASE'!C23=0,"",'[7]BASE'!C23)</f>
        <v>7</v>
      </c>
      <c r="D23" s="1775" t="str">
        <f>IF('[7]BASE'!D23=0,"",'[7]BASE'!D23)</f>
        <v> ALMAFUERTE - ROSARIO OESTE</v>
      </c>
      <c r="E23" s="1775">
        <f>IF('[7]BASE'!E23=0,"",'[7]BASE'!E23)</f>
        <v>500</v>
      </c>
      <c r="F23" s="1775">
        <f>IF('[7]BASE'!F23=0,"",'[7]BASE'!F23)</f>
        <v>345</v>
      </c>
      <c r="G23" s="1775" t="str">
        <f>IF('[5]BASE'!G23=0,"",'[5]BASE'!G23)</f>
        <v>B</v>
      </c>
      <c r="H23" s="1776">
        <f>IF('[7]BASE'!HG23=0,"",'[7]BASE'!HG23)</f>
      </c>
      <c r="I23" s="1776">
        <f>IF('[7]BASE'!HH23=0,"",'[7]BASE'!HH23)</f>
      </c>
      <c r="J23" s="1776">
        <f>IF('[7]BASE'!HI23=0,"",'[7]BASE'!HI23)</f>
      </c>
      <c r="K23" s="1776">
        <f>IF('[7]BASE'!HJ23=0,"",'[7]BASE'!HJ23)</f>
      </c>
      <c r="L23" s="1776">
        <f>IF('[7]BASE'!HK23=0,"",'[7]BASE'!HK23)</f>
      </c>
      <c r="M23" s="1776">
        <f>IF('[7]BASE'!HL23=0,"",'[7]BASE'!HL23)</f>
      </c>
      <c r="N23" s="1776">
        <f>IF('[7]BASE'!HM23=0,"",'[7]BASE'!HM23)</f>
      </c>
      <c r="O23" s="1776">
        <f>IF('[7]BASE'!HN23=0,"",'[7]BASE'!HN23)</f>
      </c>
      <c r="P23" s="1776">
        <f>IF('[7]BASE'!HO23=0,"",'[7]BASE'!HO23)</f>
      </c>
      <c r="Q23" s="1776">
        <f>IF('[7]BASE'!HP23=0,"",'[7]BASE'!HP23)</f>
        <v>2</v>
      </c>
      <c r="R23" s="1776">
        <f>IF('[7]BASE'!HQ23=0,"",'[7]BASE'!HQ23)</f>
      </c>
      <c r="S23" s="1776">
        <f>IF('[7]BASE'!HR23=0,"",'[7]BASE'!HR23)</f>
        <v>4</v>
      </c>
      <c r="T23" s="1777"/>
      <c r="U23" s="1774"/>
    </row>
    <row r="24" spans="2:21" s="1768" customFormat="1" ht="19.5" customHeight="1">
      <c r="B24" s="1769"/>
      <c r="C24" s="1775">
        <f>IF('[7]BASE'!C24=0,"",'[7]BASE'!C24)</f>
        <v>8</v>
      </c>
      <c r="D24" s="1775" t="str">
        <f>IF('[7]BASE'!D24=0,"",'[7]BASE'!D24)</f>
        <v>BAHIA BLANCA - CHOELE CHOEL 1</v>
      </c>
      <c r="E24" s="1775">
        <f>IF('[7]BASE'!E24=0,"",'[7]BASE'!E24)</f>
        <v>500</v>
      </c>
      <c r="F24" s="1775">
        <f>IF('[7]BASE'!F24=0,"",'[7]BASE'!F24)</f>
        <v>346</v>
      </c>
      <c r="G24" s="1775" t="str">
        <f>IF('[5]BASE'!G24=0,"",'[5]BASE'!G24)</f>
        <v>B</v>
      </c>
      <c r="H24" s="1776">
        <f>IF('[7]BASE'!HG24=0,"",'[7]BASE'!HG24)</f>
      </c>
      <c r="I24" s="1776">
        <f>IF('[7]BASE'!HH24=0,"",'[7]BASE'!HH24)</f>
      </c>
      <c r="J24" s="1776">
        <f>IF('[7]BASE'!HI24=0,"",'[7]BASE'!HI24)</f>
      </c>
      <c r="K24" s="1776">
        <f>IF('[7]BASE'!HJ24=0,"",'[7]BASE'!HJ24)</f>
      </c>
      <c r="L24" s="1776">
        <f>IF('[7]BASE'!HK24=0,"",'[7]BASE'!HK24)</f>
      </c>
      <c r="M24" s="1776">
        <f>IF('[7]BASE'!HL24=0,"",'[7]BASE'!HL24)</f>
      </c>
      <c r="N24" s="1776">
        <f>IF('[7]BASE'!HM24=0,"",'[7]BASE'!HM24)</f>
      </c>
      <c r="O24" s="1776">
        <f>IF('[7]BASE'!HN24=0,"",'[7]BASE'!HN24)</f>
      </c>
      <c r="P24" s="1776">
        <f>IF('[7]BASE'!HO24=0,"",'[7]BASE'!HO24)</f>
      </c>
      <c r="Q24" s="1776">
        <f>IF('[7]BASE'!HP24=0,"",'[7]BASE'!HP24)</f>
      </c>
      <c r="R24" s="1776">
        <f>IF('[7]BASE'!HQ24=0,"",'[7]BASE'!HQ24)</f>
      </c>
      <c r="S24" s="1776">
        <f>IF('[7]BASE'!HR24=0,"",'[7]BASE'!HR24)</f>
      </c>
      <c r="T24" s="1777"/>
      <c r="U24" s="1774"/>
    </row>
    <row r="25" spans="2:21" s="1768" customFormat="1" ht="19.5" customHeight="1">
      <c r="B25" s="1769"/>
      <c r="C25" s="1775">
        <f>IF('[7]BASE'!C25=0,"",'[7]BASE'!C25)</f>
        <v>9</v>
      </c>
      <c r="D25" s="1775" t="str">
        <f>IF('[7]BASE'!D25=0,"",'[7]BASE'!D25)</f>
        <v>BAHIA BLANCA - CHOELE CHOEL 2</v>
      </c>
      <c r="E25" s="1775">
        <f>IF('[7]BASE'!E25=0,"",'[7]BASE'!E25)</f>
        <v>500</v>
      </c>
      <c r="F25" s="1775">
        <f>IF('[7]BASE'!F25=0,"",'[7]BASE'!F25)</f>
        <v>348.4</v>
      </c>
      <c r="G25" s="1775" t="e">
        <f>IF('[5]BASE'!G25=0,"",'[5]BASE'!G25)</f>
        <v>#REF!</v>
      </c>
      <c r="H25" s="1776">
        <f>IF('[7]BASE'!HG25=0,"",'[7]BASE'!HG25)</f>
      </c>
      <c r="I25" s="1776">
        <f>IF('[7]BASE'!HH25=0,"",'[7]BASE'!HH25)</f>
      </c>
      <c r="J25" s="1776">
        <f>IF('[7]BASE'!HI25=0,"",'[7]BASE'!HI25)</f>
      </c>
      <c r="K25" s="1776">
        <f>IF('[7]BASE'!HJ25=0,"",'[7]BASE'!HJ25)</f>
      </c>
      <c r="L25" s="1776">
        <f>IF('[7]BASE'!HK25=0,"",'[7]BASE'!HK25)</f>
      </c>
      <c r="M25" s="1776">
        <f>IF('[7]BASE'!HL25=0,"",'[7]BASE'!HL25)</f>
      </c>
      <c r="N25" s="1776">
        <f>IF('[7]BASE'!HM25=0,"",'[7]BASE'!HM25)</f>
      </c>
      <c r="O25" s="1776">
        <f>IF('[7]BASE'!HN25=0,"",'[7]BASE'!HN25)</f>
      </c>
      <c r="P25" s="1776">
        <f>IF('[7]BASE'!HO25=0,"",'[7]BASE'!HO25)</f>
      </c>
      <c r="Q25" s="1776">
        <f>IF('[7]BASE'!HP25=0,"",'[7]BASE'!HP25)</f>
      </c>
      <c r="R25" s="1776">
        <f>IF('[7]BASE'!HQ25=0,"",'[7]BASE'!HQ25)</f>
        <v>2</v>
      </c>
      <c r="S25" s="1776">
        <f>IF('[7]BASE'!HR25=0,"",'[7]BASE'!HR25)</f>
      </c>
      <c r="T25" s="1777"/>
      <c r="U25" s="1774"/>
    </row>
    <row r="26" spans="2:21" s="1768" customFormat="1" ht="19.5" customHeight="1">
      <c r="B26" s="1769"/>
      <c r="C26" s="1775">
        <f>IF('[7]BASE'!C26=0,"",'[7]BASE'!C26)</f>
        <v>10</v>
      </c>
      <c r="D26" s="1775" t="str">
        <f>IF('[7]BASE'!D26=0,"",'[7]BASE'!D26)</f>
        <v>CERR. de la CTA - P.BAND. (A3)</v>
      </c>
      <c r="E26" s="1775">
        <f>IF('[7]BASE'!E26=0,"",'[7]BASE'!E26)</f>
        <v>500</v>
      </c>
      <c r="F26" s="1775">
        <f>IF('[7]BASE'!F26=0,"",'[7]BASE'!F26)</f>
        <v>27</v>
      </c>
      <c r="G26" s="1775" t="str">
        <f>IF('[5]BASE'!G26=0,"",'[5]BASE'!G26)</f>
        <v>C</v>
      </c>
      <c r="H26" s="1776">
        <f>IF('[7]BASE'!HG26=0,"",'[7]BASE'!HG26)</f>
      </c>
      <c r="I26" s="1776">
        <f>IF('[7]BASE'!HH26=0,"",'[7]BASE'!HH26)</f>
      </c>
      <c r="J26" s="1776">
        <f>IF('[7]BASE'!HI26=0,"",'[7]BASE'!HI26)</f>
      </c>
      <c r="K26" s="1776">
        <f>IF('[7]BASE'!HJ26=0,"",'[7]BASE'!HJ26)</f>
      </c>
      <c r="L26" s="1776">
        <f>IF('[7]BASE'!HK26=0,"",'[7]BASE'!HK26)</f>
      </c>
      <c r="M26" s="1776">
        <f>IF('[7]BASE'!HL26=0,"",'[7]BASE'!HL26)</f>
      </c>
      <c r="N26" s="1776">
        <f>IF('[7]BASE'!HM26=0,"",'[7]BASE'!HM26)</f>
      </c>
      <c r="O26" s="1776">
        <f>IF('[7]BASE'!HN26=0,"",'[7]BASE'!HN26)</f>
      </c>
      <c r="P26" s="1776">
        <f>IF('[7]BASE'!HO26=0,"",'[7]BASE'!HO26)</f>
      </c>
      <c r="Q26" s="1776">
        <f>IF('[7]BASE'!HP26=0,"",'[7]BASE'!HP26)</f>
      </c>
      <c r="R26" s="1776">
        <f>IF('[7]BASE'!HQ26=0,"",'[7]BASE'!HQ26)</f>
      </c>
      <c r="S26" s="1776">
        <f>IF('[7]BASE'!HR26=0,"",'[7]BASE'!HR26)</f>
      </c>
      <c r="T26" s="1777"/>
      <c r="U26" s="1774"/>
    </row>
    <row r="27" spans="2:21" s="1768" customFormat="1" ht="19.5" customHeight="1">
      <c r="B27" s="1769"/>
      <c r="C27" s="1775">
        <f>IF('[7]BASE'!C27=0,"",'[7]BASE'!C27)</f>
        <v>11</v>
      </c>
      <c r="D27" s="1775" t="str">
        <f>IF('[7]BASE'!D27=0,"",'[7]BASE'!D27)</f>
        <v>COLONIA ELIA - CAMPANA</v>
      </c>
      <c r="E27" s="1775">
        <f>IF('[7]BASE'!E27=0,"",'[7]BASE'!E27)</f>
        <v>500</v>
      </c>
      <c r="F27" s="1775">
        <f>IF('[7]BASE'!F27=0,"",'[7]BASE'!F27)</f>
        <v>194</v>
      </c>
      <c r="G27" s="1775" t="str">
        <f>IF('[5]BASE'!G27=0,"",'[5]BASE'!G27)</f>
        <v>C</v>
      </c>
      <c r="H27" s="1776">
        <f>IF('[7]BASE'!HG27=0,"",'[7]BASE'!HG27)</f>
      </c>
      <c r="I27" s="1776">
        <f>IF('[7]BASE'!HH27=0,"",'[7]BASE'!HH27)</f>
      </c>
      <c r="J27" s="1776">
        <f>IF('[7]BASE'!HI27=0,"",'[7]BASE'!HI27)</f>
      </c>
      <c r="K27" s="1776">
        <f>IF('[7]BASE'!HJ27=0,"",'[7]BASE'!HJ27)</f>
      </c>
      <c r="L27" s="1776">
        <f>IF('[7]BASE'!HK27=0,"",'[7]BASE'!HK27)</f>
      </c>
      <c r="M27" s="1776">
        <f>IF('[7]BASE'!HL27=0,"",'[7]BASE'!HL27)</f>
      </c>
      <c r="N27" s="1776">
        <f>IF('[7]BASE'!HM27=0,"",'[7]BASE'!HM27)</f>
      </c>
      <c r="O27" s="1776">
        <f>IF('[7]BASE'!HN27=0,"",'[7]BASE'!HN27)</f>
      </c>
      <c r="P27" s="1776">
        <f>IF('[7]BASE'!HO27=0,"",'[7]BASE'!HO27)</f>
      </c>
      <c r="Q27" s="1776">
        <f>IF('[7]BASE'!HP27=0,"",'[7]BASE'!HP27)</f>
        <v>1</v>
      </c>
      <c r="R27" s="1776">
        <f>IF('[7]BASE'!HQ27=0,"",'[7]BASE'!HQ27)</f>
      </c>
      <c r="S27" s="1776">
        <f>IF('[7]BASE'!HR27=0,"",'[7]BASE'!HR27)</f>
      </c>
      <c r="T27" s="1777"/>
      <c r="U27" s="1774"/>
    </row>
    <row r="28" spans="2:21" s="1768" customFormat="1" ht="19.5" customHeight="1">
      <c r="B28" s="1769"/>
      <c r="C28" s="1775">
        <f>IF('[7]BASE'!C28=0,"",'[7]BASE'!C28)</f>
        <v>12</v>
      </c>
      <c r="D28" s="1775" t="str">
        <f>IF('[7]BASE'!D28=0,"",'[7]BASE'!D28)</f>
        <v>CHO. W. - CHOELE CHOEL (5WH1)</v>
      </c>
      <c r="E28" s="1775">
        <f>IF('[7]BASE'!E28=0,"",'[7]BASE'!E28)</f>
        <v>500</v>
      </c>
      <c r="F28" s="1775">
        <f>IF('[7]BASE'!F28=0,"",'[7]BASE'!F28)</f>
        <v>269</v>
      </c>
      <c r="G28" s="1775" t="str">
        <f>IF('[5]BASE'!G28=0,"",'[5]BASE'!G28)</f>
        <v>B</v>
      </c>
      <c r="H28" s="1776">
        <f>IF('[7]BASE'!HG28=0,"",'[7]BASE'!HG28)</f>
      </c>
      <c r="I28" s="1776">
        <f>IF('[7]BASE'!HH28=0,"",'[7]BASE'!HH28)</f>
      </c>
      <c r="J28" s="1776">
        <f>IF('[7]BASE'!HI28=0,"",'[7]BASE'!HI28)</f>
      </c>
      <c r="K28" s="1776">
        <f>IF('[7]BASE'!HJ28=0,"",'[7]BASE'!HJ28)</f>
      </c>
      <c r="L28" s="1776">
        <f>IF('[7]BASE'!HK28=0,"",'[7]BASE'!HK28)</f>
      </c>
      <c r="M28" s="1776">
        <f>IF('[7]BASE'!HL28=0,"",'[7]BASE'!HL28)</f>
      </c>
      <c r="N28" s="1776">
        <f>IF('[7]BASE'!HM28=0,"",'[7]BASE'!HM28)</f>
      </c>
      <c r="O28" s="1776">
        <f>IF('[7]BASE'!HN28=0,"",'[7]BASE'!HN28)</f>
      </c>
      <c r="P28" s="1776">
        <f>IF('[7]BASE'!HO28=0,"",'[7]BASE'!HO28)</f>
      </c>
      <c r="Q28" s="1776">
        <f>IF('[7]BASE'!HP28=0,"",'[7]BASE'!HP28)</f>
      </c>
      <c r="R28" s="1776">
        <f>IF('[7]BASE'!HQ28=0,"",'[7]BASE'!HQ28)</f>
      </c>
      <c r="S28" s="1776">
        <f>IF('[7]BASE'!HR28=0,"",'[7]BASE'!HR28)</f>
      </c>
      <c r="T28" s="1777"/>
      <c r="U28" s="1774"/>
    </row>
    <row r="29" spans="2:21" s="1768" customFormat="1" ht="19.5" customHeight="1">
      <c r="B29" s="1769"/>
      <c r="C29" s="1775">
        <f>IF('[7]BASE'!C29=0,"",'[7]BASE'!C29)</f>
        <v>13</v>
      </c>
      <c r="D29" s="1775" t="str">
        <f>IF('[7]BASE'!D29=0,"",'[7]BASE'!D29)</f>
        <v>CHO.W. - CHO. 1 (5WC1)</v>
      </c>
      <c r="E29" s="1775">
        <f>IF('[7]BASE'!E29=0,"",'[7]BASE'!E29)</f>
        <v>500</v>
      </c>
      <c r="F29" s="1775">
        <f>IF('[7]BASE'!F29=0,"",'[7]BASE'!F29)</f>
        <v>4.5</v>
      </c>
      <c r="G29" s="1775" t="str">
        <f>IF('[5]BASE'!G29=0,"",'[5]BASE'!G29)</f>
        <v>C</v>
      </c>
      <c r="H29" s="1776">
        <f>IF('[7]BASE'!HG29=0,"",'[7]BASE'!HG29)</f>
      </c>
      <c r="I29" s="1776">
        <f>IF('[7]BASE'!HH29=0,"",'[7]BASE'!HH29)</f>
      </c>
      <c r="J29" s="1776">
        <f>IF('[7]BASE'!HI29=0,"",'[7]BASE'!HI29)</f>
      </c>
      <c r="K29" s="1776">
        <f>IF('[7]BASE'!HJ29=0,"",'[7]BASE'!HJ29)</f>
      </c>
      <c r="L29" s="1776">
        <f>IF('[7]BASE'!HK29=0,"",'[7]BASE'!HK29)</f>
      </c>
      <c r="M29" s="1776">
        <f>IF('[7]BASE'!HL29=0,"",'[7]BASE'!HL29)</f>
        <v>1</v>
      </c>
      <c r="N29" s="1776">
        <f>IF('[7]BASE'!HM29=0,"",'[7]BASE'!HM29)</f>
      </c>
      <c r="O29" s="1776">
        <f>IF('[7]BASE'!HN29=0,"",'[7]BASE'!HN29)</f>
      </c>
      <c r="P29" s="1776">
        <f>IF('[7]BASE'!HO29=0,"",'[7]BASE'!HO29)</f>
      </c>
      <c r="Q29" s="1776">
        <f>IF('[7]BASE'!HP29=0,"",'[7]BASE'!HP29)</f>
      </c>
      <c r="R29" s="1776">
        <f>IF('[7]BASE'!HQ29=0,"",'[7]BASE'!HQ29)</f>
      </c>
      <c r="S29" s="1776">
        <f>IF('[7]BASE'!HR29=0,"",'[7]BASE'!HR29)</f>
      </c>
      <c r="T29" s="1777"/>
      <c r="U29" s="1774"/>
    </row>
    <row r="30" spans="2:21" s="1768" customFormat="1" ht="19.5" customHeight="1">
      <c r="B30" s="1769"/>
      <c r="C30" s="1775">
        <f>IF('[7]BASE'!C30=0,"",'[7]BASE'!C30)</f>
        <v>14</v>
      </c>
      <c r="D30" s="1775" t="str">
        <f>IF('[7]BASE'!D30=0,"",'[7]BASE'!D30)</f>
        <v>CHO.W. - CHO. 2 (5WC2)</v>
      </c>
      <c r="E30" s="1775">
        <f>IF('[7]BASE'!E30=0,"",'[7]BASE'!E30)</f>
        <v>500</v>
      </c>
      <c r="F30" s="1775">
        <f>IF('[7]BASE'!F30=0,"",'[7]BASE'!F30)</f>
        <v>4.5</v>
      </c>
      <c r="G30" s="1775" t="str">
        <f>IF('[5]BASE'!G30=0,"",'[5]BASE'!G30)</f>
        <v>C</v>
      </c>
      <c r="H30" s="1776">
        <f>IF('[7]BASE'!HG30=0,"",'[7]BASE'!HG30)</f>
      </c>
      <c r="I30" s="1776">
        <f>IF('[7]BASE'!HH30=0,"",'[7]BASE'!HH30)</f>
      </c>
      <c r="J30" s="1776">
        <f>IF('[7]BASE'!HI30=0,"",'[7]BASE'!HI30)</f>
      </c>
      <c r="K30" s="1776">
        <f>IF('[7]BASE'!HJ30=0,"",'[7]BASE'!HJ30)</f>
      </c>
      <c r="L30" s="1776">
        <f>IF('[7]BASE'!HK30=0,"",'[7]BASE'!HK30)</f>
      </c>
      <c r="M30" s="1776">
        <f>IF('[7]BASE'!HL30=0,"",'[7]BASE'!HL30)</f>
      </c>
      <c r="N30" s="1776">
        <f>IF('[7]BASE'!HM30=0,"",'[7]BASE'!HM30)</f>
      </c>
      <c r="O30" s="1776">
        <f>IF('[7]BASE'!HN30=0,"",'[7]BASE'!HN30)</f>
      </c>
      <c r="P30" s="1776">
        <f>IF('[7]BASE'!HO30=0,"",'[7]BASE'!HO30)</f>
      </c>
      <c r="Q30" s="1776">
        <f>IF('[7]BASE'!HP30=0,"",'[7]BASE'!HP30)</f>
      </c>
      <c r="R30" s="1776">
        <f>IF('[7]BASE'!HQ30=0,"",'[7]BASE'!HQ30)</f>
      </c>
      <c r="S30" s="1776">
        <f>IF('[7]BASE'!HR30=0,"",'[7]BASE'!HR30)</f>
      </c>
      <c r="T30" s="1777"/>
      <c r="U30" s="1774"/>
    </row>
    <row r="31" spans="2:21" s="1768" customFormat="1" ht="19.5" customHeight="1">
      <c r="B31" s="1769"/>
      <c r="C31" s="1775">
        <f>IF('[7]BASE'!C31=0,"",'[7]BASE'!C31)</f>
        <v>15</v>
      </c>
      <c r="D31" s="1775" t="str">
        <f>IF('[7]BASE'!D31=0,"",'[7]BASE'!D31)</f>
        <v>CHOCON - C.H. CHOCON 1</v>
      </c>
      <c r="E31" s="1775">
        <f>IF('[7]BASE'!E31=0,"",'[7]BASE'!E31)</f>
        <v>500</v>
      </c>
      <c r="F31" s="1775">
        <f>IF('[7]BASE'!F31=0,"",'[7]BASE'!F31)</f>
        <v>3</v>
      </c>
      <c r="G31" s="1775" t="str">
        <f>IF('[5]BASE'!G31=0,"",'[5]BASE'!G31)</f>
        <v>C</v>
      </c>
      <c r="H31" s="1776">
        <f>IF('[7]BASE'!HG31=0,"",'[7]BASE'!HG31)</f>
      </c>
      <c r="I31" s="1776">
        <f>IF('[7]BASE'!HH31=0,"",'[7]BASE'!HH31)</f>
      </c>
      <c r="J31" s="1776">
        <f>IF('[7]BASE'!HI31=0,"",'[7]BASE'!HI31)</f>
      </c>
      <c r="K31" s="1776">
        <f>IF('[7]BASE'!HJ31=0,"",'[7]BASE'!HJ31)</f>
      </c>
      <c r="L31" s="1776">
        <f>IF('[7]BASE'!HK31=0,"",'[7]BASE'!HK31)</f>
      </c>
      <c r="M31" s="1776">
        <f>IF('[7]BASE'!HL31=0,"",'[7]BASE'!HL31)</f>
      </c>
      <c r="N31" s="1776">
        <f>IF('[7]BASE'!HM31=0,"",'[7]BASE'!HM31)</f>
      </c>
      <c r="O31" s="1776">
        <f>IF('[7]BASE'!HN31=0,"",'[7]BASE'!HN31)</f>
      </c>
      <c r="P31" s="1776">
        <f>IF('[7]BASE'!HO31=0,"",'[7]BASE'!HO31)</f>
      </c>
      <c r="Q31" s="1776">
        <f>IF('[7]BASE'!HP31=0,"",'[7]BASE'!HP31)</f>
      </c>
      <c r="R31" s="1776">
        <f>IF('[7]BASE'!HQ31=0,"",'[7]BASE'!HQ31)</f>
      </c>
      <c r="S31" s="1776">
        <f>IF('[7]BASE'!HR31=0,"",'[7]BASE'!HR31)</f>
      </c>
      <c r="T31" s="1777"/>
      <c r="U31" s="1774"/>
    </row>
    <row r="32" spans="2:21" s="1768" customFormat="1" ht="19.5" customHeight="1">
      <c r="B32" s="1769"/>
      <c r="C32" s="1775">
        <f>IF('[7]BASE'!C32=0,"",'[7]BASE'!C32)</f>
        <v>16</v>
      </c>
      <c r="D32" s="1775" t="str">
        <f>IF('[7]BASE'!D32=0,"",'[7]BASE'!D32)</f>
        <v>CHOCON - C.H. CHOCON 2</v>
      </c>
      <c r="E32" s="1775">
        <f>IF('[7]BASE'!E32=0,"",'[7]BASE'!E32)</f>
        <v>500</v>
      </c>
      <c r="F32" s="1775">
        <f>IF('[7]BASE'!F32=0,"",'[7]BASE'!F32)</f>
        <v>3</v>
      </c>
      <c r="G32" s="1775" t="str">
        <f>IF('[5]BASE'!G32=0,"",'[5]BASE'!G32)</f>
        <v>C</v>
      </c>
      <c r="H32" s="1776">
        <f>IF('[7]BASE'!HG32=0,"",'[7]BASE'!HG32)</f>
      </c>
      <c r="I32" s="1776">
        <f>IF('[7]BASE'!HH32=0,"",'[7]BASE'!HH32)</f>
      </c>
      <c r="J32" s="1776">
        <f>IF('[7]BASE'!HI32=0,"",'[7]BASE'!HI32)</f>
      </c>
      <c r="K32" s="1776">
        <f>IF('[7]BASE'!HJ32=0,"",'[7]BASE'!HJ32)</f>
      </c>
      <c r="L32" s="1776">
        <f>IF('[7]BASE'!HK32=0,"",'[7]BASE'!HK32)</f>
      </c>
      <c r="M32" s="1776">
        <f>IF('[7]BASE'!HL32=0,"",'[7]BASE'!HL32)</f>
      </c>
      <c r="N32" s="1776">
        <f>IF('[7]BASE'!HM32=0,"",'[7]BASE'!HM32)</f>
      </c>
      <c r="O32" s="1776">
        <f>IF('[7]BASE'!HN32=0,"",'[7]BASE'!HN32)</f>
      </c>
      <c r="P32" s="1776">
        <f>IF('[7]BASE'!HO32=0,"",'[7]BASE'!HO32)</f>
      </c>
      <c r="Q32" s="1776">
        <f>IF('[7]BASE'!HP32=0,"",'[7]BASE'!HP32)</f>
      </c>
      <c r="R32" s="1776">
        <f>IF('[7]BASE'!HQ32=0,"",'[7]BASE'!HQ32)</f>
      </c>
      <c r="S32" s="1776">
        <f>IF('[7]BASE'!HR32=0,"",'[7]BASE'!HR32)</f>
      </c>
      <c r="T32" s="1777"/>
      <c r="U32" s="1774"/>
    </row>
    <row r="33" spans="2:21" s="1768" customFormat="1" ht="19.5" customHeight="1">
      <c r="B33" s="1769"/>
      <c r="C33" s="1775">
        <f>IF('[7]BASE'!C33=0,"",'[7]BASE'!C33)</f>
        <v>17</v>
      </c>
      <c r="D33" s="1775" t="str">
        <f>IF('[7]BASE'!D33=0,"",'[7]BASE'!D33)</f>
        <v>CHOCON - C.H. CHOCON 3</v>
      </c>
      <c r="E33" s="1775">
        <f>IF('[7]BASE'!E33=0,"",'[7]BASE'!E33)</f>
        <v>500</v>
      </c>
      <c r="F33" s="1775">
        <f>IF('[7]BASE'!F33=0,"",'[7]BASE'!F33)</f>
        <v>3</v>
      </c>
      <c r="G33" s="1775" t="str">
        <f>IF('[5]BASE'!G33=0,"",'[5]BASE'!G33)</f>
        <v>C</v>
      </c>
      <c r="H33" s="1776">
        <f>IF('[7]BASE'!HG33=0,"",'[7]BASE'!HG33)</f>
      </c>
      <c r="I33" s="1776">
        <f>IF('[7]BASE'!HH33=0,"",'[7]BASE'!HH33)</f>
      </c>
      <c r="J33" s="1776">
        <f>IF('[7]BASE'!HI33=0,"",'[7]BASE'!HI33)</f>
      </c>
      <c r="K33" s="1776">
        <f>IF('[7]BASE'!HJ33=0,"",'[7]BASE'!HJ33)</f>
      </c>
      <c r="L33" s="1776">
        <f>IF('[7]BASE'!HK33=0,"",'[7]BASE'!HK33)</f>
      </c>
      <c r="M33" s="1776">
        <f>IF('[7]BASE'!HL33=0,"",'[7]BASE'!HL33)</f>
      </c>
      <c r="N33" s="1776">
        <f>IF('[7]BASE'!HM33=0,"",'[7]BASE'!HM33)</f>
      </c>
      <c r="O33" s="1776">
        <f>IF('[7]BASE'!HN33=0,"",'[7]BASE'!HN33)</f>
      </c>
      <c r="P33" s="1776">
        <f>IF('[7]BASE'!HO33=0,"",'[7]BASE'!HO33)</f>
      </c>
      <c r="Q33" s="1776">
        <f>IF('[7]BASE'!HP33=0,"",'[7]BASE'!HP33)</f>
      </c>
      <c r="R33" s="1776">
        <f>IF('[7]BASE'!HQ33=0,"",'[7]BASE'!HQ33)</f>
      </c>
      <c r="S33" s="1776">
        <f>IF('[7]BASE'!HR33=0,"",'[7]BASE'!HR33)</f>
      </c>
      <c r="T33" s="1777"/>
      <c r="U33" s="1774"/>
    </row>
    <row r="34" spans="2:21" s="1768" customFormat="1" ht="19.5" customHeight="1">
      <c r="B34" s="1769"/>
      <c r="C34" s="1775">
        <f>IF('[7]BASE'!C34=0,"",'[7]BASE'!C34)</f>
        <v>18</v>
      </c>
      <c r="D34" s="1775" t="str">
        <f>IF('[7]BASE'!D34=0,"",'[7]BASE'!D34)</f>
        <v>CHOCON - PUELCHES 1</v>
      </c>
      <c r="E34" s="1775">
        <f>IF('[7]BASE'!E34=0,"",'[7]BASE'!E34)</f>
        <v>500</v>
      </c>
      <c r="F34" s="1775">
        <f>IF('[7]BASE'!F34=0,"",'[7]BASE'!F34)</f>
        <v>304</v>
      </c>
      <c r="G34" s="1775" t="str">
        <f>IF('[5]BASE'!G34=0,"",'[5]BASE'!G34)</f>
        <v>A</v>
      </c>
      <c r="H34" s="1776">
        <f>IF('[7]BASE'!HG34=0,"",'[7]BASE'!HG34)</f>
      </c>
      <c r="I34" s="1776">
        <f>IF('[7]BASE'!HH34=0,"",'[7]BASE'!HH34)</f>
      </c>
      <c r="J34" s="1776">
        <f>IF('[7]BASE'!HI34=0,"",'[7]BASE'!HI34)</f>
      </c>
      <c r="K34" s="1776">
        <f>IF('[7]BASE'!HJ34=0,"",'[7]BASE'!HJ34)</f>
      </c>
      <c r="L34" s="1776">
        <f>IF('[7]BASE'!HK34=0,"",'[7]BASE'!HK34)</f>
      </c>
      <c r="M34" s="1776">
        <f>IF('[7]BASE'!HL34=0,"",'[7]BASE'!HL34)</f>
      </c>
      <c r="N34" s="1776">
        <f>IF('[7]BASE'!HM34=0,"",'[7]BASE'!HM34)</f>
      </c>
      <c r="O34" s="1776">
        <f>IF('[7]BASE'!HN34=0,"",'[7]BASE'!HN34)</f>
      </c>
      <c r="P34" s="1776">
        <f>IF('[7]BASE'!HO34=0,"",'[7]BASE'!HO34)</f>
      </c>
      <c r="Q34" s="1776">
        <f>IF('[7]BASE'!HP34=0,"",'[7]BASE'!HP34)</f>
      </c>
      <c r="R34" s="1776">
        <f>IF('[7]BASE'!HQ34=0,"",'[7]BASE'!HQ34)</f>
      </c>
      <c r="S34" s="1776">
        <f>IF('[7]BASE'!HR34=0,"",'[7]BASE'!HR34)</f>
      </c>
      <c r="T34" s="1777"/>
      <c r="U34" s="1774"/>
    </row>
    <row r="35" spans="2:21" s="1768" customFormat="1" ht="19.5" customHeight="1">
      <c r="B35" s="1769"/>
      <c r="C35" s="1775">
        <f>IF('[7]BASE'!C35=0,"",'[7]BASE'!C35)</f>
        <v>19</v>
      </c>
      <c r="D35" s="1775" t="str">
        <f>IF('[7]BASE'!D35=0,"",'[7]BASE'!D35)</f>
        <v>CHOCON - PUELCHES 2</v>
      </c>
      <c r="E35" s="1775">
        <f>IF('[7]BASE'!E35=0,"",'[7]BASE'!E35)</f>
        <v>500</v>
      </c>
      <c r="F35" s="1775">
        <f>IF('[7]BASE'!F35=0,"",'[7]BASE'!F35)</f>
        <v>304</v>
      </c>
      <c r="G35" s="1775" t="str">
        <f>IF('[5]BASE'!G35=0,"",'[5]BASE'!G35)</f>
        <v>A</v>
      </c>
      <c r="H35" s="1776">
        <f>IF('[7]BASE'!HG35=0,"",'[7]BASE'!HG35)</f>
      </c>
      <c r="I35" s="1776">
        <f>IF('[7]BASE'!HH35=0,"",'[7]BASE'!HH35)</f>
      </c>
      <c r="J35" s="1776">
        <f>IF('[7]BASE'!HI35=0,"",'[7]BASE'!HI35)</f>
      </c>
      <c r="K35" s="1776">
        <f>IF('[7]BASE'!HJ35=0,"",'[7]BASE'!HJ35)</f>
      </c>
      <c r="L35" s="1776">
        <f>IF('[7]BASE'!HK35=0,"",'[7]BASE'!HK35)</f>
      </c>
      <c r="M35" s="1776">
        <f>IF('[7]BASE'!HL35=0,"",'[7]BASE'!HL35)</f>
      </c>
      <c r="N35" s="1776">
        <f>IF('[7]BASE'!HM35=0,"",'[7]BASE'!HM35)</f>
      </c>
      <c r="O35" s="1776">
        <f>IF('[7]BASE'!HN35=0,"",'[7]BASE'!HN35)</f>
      </c>
      <c r="P35" s="1776">
        <f>IF('[7]BASE'!HO35=0,"",'[7]BASE'!HO35)</f>
      </c>
      <c r="Q35" s="1776">
        <f>IF('[7]BASE'!HP35=0,"",'[7]BASE'!HP35)</f>
      </c>
      <c r="R35" s="1776">
        <f>IF('[7]BASE'!HQ35=0,"",'[7]BASE'!HQ35)</f>
      </c>
      <c r="S35" s="1776">
        <f>IF('[7]BASE'!HR35=0,"",'[7]BASE'!HR35)</f>
      </c>
      <c r="T35" s="1777"/>
      <c r="U35" s="1774"/>
    </row>
    <row r="36" spans="2:21" s="1768" customFormat="1" ht="19.5" customHeight="1">
      <c r="B36" s="1769"/>
      <c r="C36" s="1775">
        <f>IF('[7]BASE'!C36=0,"",'[7]BASE'!C36)</f>
        <v>20</v>
      </c>
      <c r="D36" s="1775" t="str">
        <f>IF('[7]BASE'!D36=0,"",'[7]BASE'!D36)</f>
        <v>E.T.P.del AGUILA - CENTRAL P.del A. 1</v>
      </c>
      <c r="E36" s="1775">
        <f>IF('[7]BASE'!E36=0,"",'[7]BASE'!E36)</f>
        <v>500</v>
      </c>
      <c r="F36" s="1775">
        <f>IF('[7]BASE'!F36=0,"",'[7]BASE'!F36)</f>
        <v>5.6</v>
      </c>
      <c r="G36" s="1775" t="str">
        <f>IF('[5]BASE'!G36=0,"",'[5]BASE'!G36)</f>
        <v>C</v>
      </c>
      <c r="H36" s="1776">
        <f>IF('[7]BASE'!HG36=0,"",'[7]BASE'!HG36)</f>
      </c>
      <c r="I36" s="1776">
        <f>IF('[7]BASE'!HH36=0,"",'[7]BASE'!HH36)</f>
      </c>
      <c r="J36" s="1776">
        <f>IF('[7]BASE'!HI36=0,"",'[7]BASE'!HI36)</f>
      </c>
      <c r="K36" s="1776">
        <f>IF('[7]BASE'!HJ36=0,"",'[7]BASE'!HJ36)</f>
      </c>
      <c r="L36" s="1776">
        <f>IF('[7]BASE'!HK36=0,"",'[7]BASE'!HK36)</f>
      </c>
      <c r="M36" s="1776">
        <f>IF('[7]BASE'!HL36=0,"",'[7]BASE'!HL36)</f>
      </c>
      <c r="N36" s="1776">
        <f>IF('[7]BASE'!HM36=0,"",'[7]BASE'!HM36)</f>
      </c>
      <c r="O36" s="1776">
        <f>IF('[7]BASE'!HN36=0,"",'[7]BASE'!HN36)</f>
      </c>
      <c r="P36" s="1776">
        <f>IF('[7]BASE'!HO36=0,"",'[7]BASE'!HO36)</f>
      </c>
      <c r="Q36" s="1776">
        <f>IF('[7]BASE'!HP36=0,"",'[7]BASE'!HP36)</f>
      </c>
      <c r="R36" s="1776">
        <f>IF('[7]BASE'!HQ36=0,"",'[7]BASE'!HQ36)</f>
      </c>
      <c r="S36" s="1776">
        <f>IF('[7]BASE'!HR36=0,"",'[7]BASE'!HR36)</f>
      </c>
      <c r="T36" s="1777"/>
      <c r="U36" s="1774"/>
    </row>
    <row r="37" spans="2:21" s="1768" customFormat="1" ht="19.5" customHeight="1">
      <c r="B37" s="1769"/>
      <c r="C37" s="1775">
        <f>IF('[7]BASE'!C37=0,"",'[7]BASE'!C37)</f>
        <v>21</v>
      </c>
      <c r="D37" s="1775" t="str">
        <f>IF('[7]BASE'!D37=0,"",'[7]BASE'!D37)</f>
        <v>E.T.P.del AGUILA - CENTRAL P.del A. 2</v>
      </c>
      <c r="E37" s="1775">
        <f>IF('[7]BASE'!E37=0,"",'[7]BASE'!E37)</f>
        <v>500</v>
      </c>
      <c r="F37" s="1775">
        <f>IF('[7]BASE'!F37=0,"",'[7]BASE'!F37)</f>
        <v>5.6</v>
      </c>
      <c r="G37" s="1775" t="str">
        <f>IF('[5]BASE'!G37=0,"",'[5]BASE'!G37)</f>
        <v>C</v>
      </c>
      <c r="H37" s="1776">
        <f>IF('[7]BASE'!HG37=0,"",'[7]BASE'!HG37)</f>
      </c>
      <c r="I37" s="1776">
        <f>IF('[7]BASE'!HH37=0,"",'[7]BASE'!HH37)</f>
      </c>
      <c r="J37" s="1776">
        <f>IF('[7]BASE'!HI37=0,"",'[7]BASE'!HI37)</f>
      </c>
      <c r="K37" s="1776">
        <f>IF('[7]BASE'!HJ37=0,"",'[7]BASE'!HJ37)</f>
      </c>
      <c r="L37" s="1776">
        <f>IF('[7]BASE'!HK37=0,"",'[7]BASE'!HK37)</f>
      </c>
      <c r="M37" s="1776">
        <f>IF('[7]BASE'!HL37=0,"",'[7]BASE'!HL37)</f>
      </c>
      <c r="N37" s="1776">
        <f>IF('[7]BASE'!HM37=0,"",'[7]BASE'!HM37)</f>
      </c>
      <c r="O37" s="1776">
        <f>IF('[7]BASE'!HN37=0,"",'[7]BASE'!HN37)</f>
      </c>
      <c r="P37" s="1776">
        <f>IF('[7]BASE'!HO37=0,"",'[7]BASE'!HO37)</f>
      </c>
      <c r="Q37" s="1776">
        <f>IF('[7]BASE'!HP37=0,"",'[7]BASE'!HP37)</f>
      </c>
      <c r="R37" s="1776">
        <f>IF('[7]BASE'!HQ37=0,"",'[7]BASE'!HQ37)</f>
      </c>
      <c r="S37" s="1776">
        <f>IF('[7]BASE'!HR37=0,"",'[7]BASE'!HR37)</f>
      </c>
      <c r="T37" s="1777"/>
      <c r="U37" s="1774"/>
    </row>
    <row r="38" spans="2:21" s="1768" customFormat="1" ht="19.5" customHeight="1">
      <c r="B38" s="1769"/>
      <c r="C38" s="1775">
        <f>IF('[7]BASE'!C38=0,"",'[7]BASE'!C38)</f>
        <v>22</v>
      </c>
      <c r="D38" s="1775" t="str">
        <f>IF('[7]BASE'!D38=0,"",'[7]BASE'!D38)</f>
        <v>EL BRACHO - RECREO(5)</v>
      </c>
      <c r="E38" s="1775">
        <f>IF('[7]BASE'!E38=0,"",'[7]BASE'!E38)</f>
        <v>500</v>
      </c>
      <c r="F38" s="1775">
        <f>IF('[7]BASE'!F38=0,"",'[7]BASE'!F38)</f>
        <v>255</v>
      </c>
      <c r="G38" s="1775" t="str">
        <f>IF('[5]BASE'!G38=0,"",'[5]BASE'!G38)</f>
        <v>C</v>
      </c>
      <c r="H38" s="1776">
        <f>IF('[7]BASE'!HG38=0,"",'[7]BASE'!HG38)</f>
      </c>
      <c r="I38" s="1776">
        <f>IF('[7]BASE'!HH38=0,"",'[7]BASE'!HH38)</f>
      </c>
      <c r="J38" s="1776">
        <f>IF('[7]BASE'!HI38=0,"",'[7]BASE'!HI38)</f>
      </c>
      <c r="K38" s="1776">
        <f>IF('[7]BASE'!HJ38=0,"",'[7]BASE'!HJ38)</f>
      </c>
      <c r="L38" s="1776">
        <f>IF('[7]BASE'!HK38=0,"",'[7]BASE'!HK38)</f>
      </c>
      <c r="M38" s="1776">
        <f>IF('[7]BASE'!HL38=0,"",'[7]BASE'!HL38)</f>
      </c>
      <c r="N38" s="1776">
        <f>IF('[7]BASE'!HM38=0,"",'[7]BASE'!HM38)</f>
      </c>
      <c r="O38" s="1776">
        <f>IF('[7]BASE'!HN38=0,"",'[7]BASE'!HN38)</f>
      </c>
      <c r="P38" s="1776">
        <f>IF('[7]BASE'!HO38=0,"",'[7]BASE'!HO38)</f>
      </c>
      <c r="Q38" s="1776">
        <f>IF('[7]BASE'!HP38=0,"",'[7]BASE'!HP38)</f>
      </c>
      <c r="R38" s="1776">
        <f>IF('[7]BASE'!HQ38=0,"",'[7]BASE'!HQ38)</f>
      </c>
      <c r="S38" s="1776">
        <f>IF('[7]BASE'!HR38=0,"",'[7]BASE'!HR38)</f>
      </c>
      <c r="T38" s="1777"/>
      <c r="U38" s="1774"/>
    </row>
    <row r="39" spans="2:21" s="1768" customFormat="1" ht="19.5" customHeight="1">
      <c r="B39" s="1769"/>
      <c r="C39" s="1775">
        <f>IF('[7]BASE'!C39=0,"",'[7]BASE'!C39)</f>
        <v>23</v>
      </c>
      <c r="D39" s="1775" t="str">
        <f>IF('[7]BASE'!D39=0,"",'[7]BASE'!D39)</f>
        <v>EZEIZA - ABASTO 1</v>
      </c>
      <c r="E39" s="1775">
        <f>IF('[7]BASE'!E39=0,"",'[7]BASE'!E39)</f>
        <v>500</v>
      </c>
      <c r="F39" s="1775">
        <f>IF('[7]BASE'!F39=0,"",'[7]BASE'!F39)</f>
        <v>58</v>
      </c>
      <c r="G39" s="1775" t="str">
        <f>IF('[5]BASE'!G39=0,"",'[5]BASE'!G39)</f>
        <v>C</v>
      </c>
      <c r="H39" s="1776">
        <f>IF('[7]BASE'!HG39=0,"",'[7]BASE'!HG39)</f>
      </c>
      <c r="I39" s="1776">
        <f>IF('[7]BASE'!HH39=0,"",'[7]BASE'!HH39)</f>
      </c>
      <c r="J39" s="1776">
        <f>IF('[7]BASE'!HI39=0,"",'[7]BASE'!HI39)</f>
      </c>
      <c r="K39" s="1776">
        <f>IF('[7]BASE'!HJ39=0,"",'[7]BASE'!HJ39)</f>
        <v>1</v>
      </c>
      <c r="L39" s="1776">
        <f>IF('[7]BASE'!HK39=0,"",'[7]BASE'!HK39)</f>
      </c>
      <c r="M39" s="1776">
        <f>IF('[7]BASE'!HL39=0,"",'[7]BASE'!HL39)</f>
      </c>
      <c r="N39" s="1776">
        <f>IF('[7]BASE'!HM39=0,"",'[7]BASE'!HM39)</f>
      </c>
      <c r="O39" s="1776">
        <f>IF('[7]BASE'!HN39=0,"",'[7]BASE'!HN39)</f>
      </c>
      <c r="P39" s="1776">
        <f>IF('[7]BASE'!HO39=0,"",'[7]BASE'!HO39)</f>
      </c>
      <c r="Q39" s="1776">
        <f>IF('[7]BASE'!HP39=0,"",'[7]BASE'!HP39)</f>
      </c>
      <c r="R39" s="1776">
        <f>IF('[7]BASE'!HQ39=0,"",'[7]BASE'!HQ39)</f>
      </c>
      <c r="S39" s="1776">
        <f>IF('[7]BASE'!HR39=0,"",'[7]BASE'!HR39)</f>
      </c>
      <c r="T39" s="1777"/>
      <c r="U39" s="1774"/>
    </row>
    <row r="40" spans="2:21" s="1768" customFormat="1" ht="19.5" customHeight="1">
      <c r="B40" s="1769"/>
      <c r="C40" s="1775">
        <f>IF('[7]BASE'!C40=0,"",'[7]BASE'!C40)</f>
        <v>24</v>
      </c>
      <c r="D40" s="1775" t="str">
        <f>IF('[7]BASE'!D40=0,"",'[7]BASE'!D40)</f>
        <v>EZEIZA - ABASTO 2</v>
      </c>
      <c r="E40" s="1775">
        <f>IF('[7]BASE'!E40=0,"",'[7]BASE'!E40)</f>
        <v>500</v>
      </c>
      <c r="F40" s="1775">
        <f>IF('[7]BASE'!F40=0,"",'[7]BASE'!F40)</f>
        <v>58</v>
      </c>
      <c r="G40" s="1775" t="str">
        <f>IF('[5]BASE'!G40=0,"",'[5]BASE'!G40)</f>
        <v>C</v>
      </c>
      <c r="H40" s="1776">
        <f>IF('[7]BASE'!HG40=0,"",'[7]BASE'!HG40)</f>
      </c>
      <c r="I40" s="1776">
        <f>IF('[7]BASE'!HH40=0,"",'[7]BASE'!HH40)</f>
      </c>
      <c r="J40" s="1776">
        <f>IF('[7]BASE'!HI40=0,"",'[7]BASE'!HI40)</f>
      </c>
      <c r="K40" s="1776">
        <f>IF('[7]BASE'!HJ40=0,"",'[7]BASE'!HJ40)</f>
      </c>
      <c r="L40" s="1776">
        <f>IF('[7]BASE'!HK40=0,"",'[7]BASE'!HK40)</f>
      </c>
      <c r="M40" s="1776">
        <f>IF('[7]BASE'!HL40=0,"",'[7]BASE'!HL40)</f>
      </c>
      <c r="N40" s="1776">
        <f>IF('[7]BASE'!HM40=0,"",'[7]BASE'!HM40)</f>
      </c>
      <c r="O40" s="1776">
        <f>IF('[7]BASE'!HN40=0,"",'[7]BASE'!HN40)</f>
      </c>
      <c r="P40" s="1776">
        <f>IF('[7]BASE'!HO40=0,"",'[7]BASE'!HO40)</f>
      </c>
      <c r="Q40" s="1776">
        <f>IF('[7]BASE'!HP40=0,"",'[7]BASE'!HP40)</f>
      </c>
      <c r="R40" s="1776">
        <f>IF('[7]BASE'!HQ40=0,"",'[7]BASE'!HQ40)</f>
      </c>
      <c r="S40" s="1776">
        <f>IF('[7]BASE'!HR40=0,"",'[7]BASE'!HR40)</f>
      </c>
      <c r="T40" s="1777"/>
      <c r="U40" s="1774"/>
    </row>
    <row r="41" spans="2:21" s="1768" customFormat="1" ht="19.5" customHeight="1">
      <c r="B41" s="1769"/>
      <c r="C41" s="1775">
        <f>IF('[7]BASE'!C41=0,"",'[7]BASE'!C41)</f>
        <v>25</v>
      </c>
      <c r="D41" s="1775" t="str">
        <f>IF('[7]BASE'!D41=0,"",'[7]BASE'!D41)</f>
        <v>EZEIZA - RODRIGUEZ 1</v>
      </c>
      <c r="E41" s="1775">
        <f>IF('[7]BASE'!E41=0,"",'[7]BASE'!E41)</f>
        <v>500</v>
      </c>
      <c r="F41" s="1775">
        <f>IF('[7]BASE'!F41=0,"",'[7]BASE'!F41)</f>
        <v>53</v>
      </c>
      <c r="G41" s="1775" t="str">
        <f>IF('[5]BASE'!G41=0,"",'[5]BASE'!G41)</f>
        <v>C</v>
      </c>
      <c r="H41" s="1776">
        <f>IF('[7]BASE'!HG41=0,"",'[7]BASE'!HG41)</f>
      </c>
      <c r="I41" s="1776">
        <f>IF('[7]BASE'!HH41=0,"",'[7]BASE'!HH41)</f>
      </c>
      <c r="J41" s="1776">
        <f>IF('[7]BASE'!HI41=0,"",'[7]BASE'!HI41)</f>
      </c>
      <c r="K41" s="1776">
        <f>IF('[7]BASE'!HJ41=0,"",'[7]BASE'!HJ41)</f>
        <v>1</v>
      </c>
      <c r="L41" s="1776">
        <f>IF('[7]BASE'!HK41=0,"",'[7]BASE'!HK41)</f>
      </c>
      <c r="M41" s="1776">
        <f>IF('[7]BASE'!HL41=0,"",'[7]BASE'!HL41)</f>
      </c>
      <c r="N41" s="1776">
        <f>IF('[7]BASE'!HM41=0,"",'[7]BASE'!HM41)</f>
      </c>
      <c r="O41" s="1776">
        <f>IF('[7]BASE'!HN41=0,"",'[7]BASE'!HN41)</f>
      </c>
      <c r="P41" s="1776">
        <f>IF('[7]BASE'!HO41=0,"",'[7]BASE'!HO41)</f>
      </c>
      <c r="Q41" s="1776">
        <f>IF('[7]BASE'!HP41=0,"",'[7]BASE'!HP41)</f>
      </c>
      <c r="R41" s="1776">
        <f>IF('[7]BASE'!HQ41=0,"",'[7]BASE'!HQ41)</f>
      </c>
      <c r="S41" s="1776">
        <f>IF('[7]BASE'!HR41=0,"",'[7]BASE'!HR41)</f>
      </c>
      <c r="T41" s="1777"/>
      <c r="U41" s="1774"/>
    </row>
    <row r="42" spans="2:21" s="1768" customFormat="1" ht="19.5" customHeight="1">
      <c r="B42" s="1769"/>
      <c r="C42" s="1775">
        <f>IF('[7]BASE'!C42=0,"",'[7]BASE'!C42)</f>
        <v>26</v>
      </c>
      <c r="D42" s="1775" t="str">
        <f>IF('[7]BASE'!D42=0,"",'[7]BASE'!D42)</f>
        <v>EZEIZA - RODRIGUEZ 2</v>
      </c>
      <c r="E42" s="1775">
        <f>IF('[7]BASE'!E42=0,"",'[7]BASE'!E42)</f>
        <v>500</v>
      </c>
      <c r="F42" s="1775">
        <f>IF('[7]BASE'!F42=0,"",'[7]BASE'!F42)</f>
        <v>53</v>
      </c>
      <c r="G42" s="1775" t="str">
        <f>IF('[5]BASE'!G42=0,"",'[5]BASE'!G42)</f>
        <v>C</v>
      </c>
      <c r="H42" s="1776">
        <f>IF('[7]BASE'!HG42=0,"",'[7]BASE'!HG42)</f>
      </c>
      <c r="I42" s="1776">
        <f>IF('[7]BASE'!HH42=0,"",'[7]BASE'!HH42)</f>
      </c>
      <c r="J42" s="1776">
        <f>IF('[7]BASE'!HI42=0,"",'[7]BASE'!HI42)</f>
      </c>
      <c r="K42" s="1776">
        <f>IF('[7]BASE'!HJ42=0,"",'[7]BASE'!HJ42)</f>
        <v>1</v>
      </c>
      <c r="L42" s="1776">
        <f>IF('[7]BASE'!HK42=0,"",'[7]BASE'!HK42)</f>
      </c>
      <c r="M42" s="1776">
        <f>IF('[7]BASE'!HL42=0,"",'[7]BASE'!HL42)</f>
      </c>
      <c r="N42" s="1776">
        <f>IF('[7]BASE'!HM42=0,"",'[7]BASE'!HM42)</f>
      </c>
      <c r="O42" s="1776">
        <f>IF('[7]BASE'!HN42=0,"",'[7]BASE'!HN42)</f>
      </c>
      <c r="P42" s="1776">
        <f>IF('[7]BASE'!HO42=0,"",'[7]BASE'!HO42)</f>
      </c>
      <c r="Q42" s="1776">
        <f>IF('[7]BASE'!HP42=0,"",'[7]BASE'!HP42)</f>
      </c>
      <c r="R42" s="1776">
        <f>IF('[7]BASE'!HQ42=0,"",'[7]BASE'!HQ42)</f>
      </c>
      <c r="S42" s="1776">
        <f>IF('[7]BASE'!HR42=0,"",'[7]BASE'!HR42)</f>
      </c>
      <c r="T42" s="1777"/>
      <c r="U42" s="1774"/>
    </row>
    <row r="43" spans="2:21" s="1768" customFormat="1" ht="19.5" customHeight="1">
      <c r="B43" s="1769"/>
      <c r="C43" s="1775">
        <f>IF('[7]BASE'!C43=0,"",'[7]BASE'!C43)</f>
        <v>27</v>
      </c>
      <c r="D43" s="1775" t="str">
        <f>IF('[7]BASE'!D43=0,"",'[7]BASE'!D43)</f>
        <v>EZEIZA- HENDERSON 1</v>
      </c>
      <c r="E43" s="1775">
        <f>IF('[7]BASE'!E43=0,"",'[7]BASE'!E43)</f>
        <v>500</v>
      </c>
      <c r="F43" s="1775">
        <f>IF('[7]BASE'!F43=0,"",'[7]BASE'!F43)</f>
        <v>313</v>
      </c>
      <c r="G43" s="1775" t="str">
        <f>IF('[5]BASE'!G43=0,"",'[5]BASE'!G43)</f>
        <v>A</v>
      </c>
      <c r="H43" s="1776">
        <f>IF('[7]BASE'!HG43=0,"",'[7]BASE'!HG43)</f>
      </c>
      <c r="I43" s="1776">
        <f>IF('[7]BASE'!HH43=0,"",'[7]BASE'!HH43)</f>
      </c>
      <c r="J43" s="1776">
        <f>IF('[7]BASE'!HI43=0,"",'[7]BASE'!HI43)</f>
      </c>
      <c r="K43" s="1776">
        <f>IF('[7]BASE'!HJ43=0,"",'[7]BASE'!HJ43)</f>
      </c>
      <c r="L43" s="1776">
        <f>IF('[7]BASE'!HK43=0,"",'[7]BASE'!HK43)</f>
      </c>
      <c r="M43" s="1776">
        <f>IF('[7]BASE'!HL43=0,"",'[7]BASE'!HL43)</f>
      </c>
      <c r="N43" s="1776">
        <f>IF('[7]BASE'!HM43=0,"",'[7]BASE'!HM43)</f>
      </c>
      <c r="O43" s="1776">
        <f>IF('[7]BASE'!HN43=0,"",'[7]BASE'!HN43)</f>
      </c>
      <c r="P43" s="1776">
        <f>IF('[7]BASE'!HO43=0,"",'[7]BASE'!HO43)</f>
      </c>
      <c r="Q43" s="1776">
        <f>IF('[7]BASE'!HP43=0,"",'[7]BASE'!HP43)</f>
      </c>
      <c r="R43" s="1776">
        <f>IF('[7]BASE'!HQ43=0,"",'[7]BASE'!HQ43)</f>
      </c>
      <c r="S43" s="1776">
        <f>IF('[7]BASE'!HR43=0,"",'[7]BASE'!HR43)</f>
      </c>
      <c r="T43" s="1777"/>
      <c r="U43" s="1774"/>
    </row>
    <row r="44" spans="2:21" s="1768" customFormat="1" ht="19.5" customHeight="1">
      <c r="B44" s="1769"/>
      <c r="C44" s="1775">
        <f>IF('[7]BASE'!C44=0,"",'[7]BASE'!C44)</f>
        <v>28</v>
      </c>
      <c r="D44" s="1775" t="str">
        <f>IF('[7]BASE'!D44=0,"",'[7]BASE'!D44)</f>
        <v>EZEIZA - HENDERSON 2</v>
      </c>
      <c r="E44" s="1775">
        <f>IF('[7]BASE'!E44=0,"",'[7]BASE'!E44)</f>
        <v>500</v>
      </c>
      <c r="F44" s="1775">
        <f>IF('[7]BASE'!F44=0,"",'[7]BASE'!F44)</f>
        <v>313</v>
      </c>
      <c r="G44" s="1775" t="str">
        <f>IF('[5]BASE'!G44=0,"",'[5]BASE'!G44)</f>
        <v>A</v>
      </c>
      <c r="H44" s="1776">
        <f>IF('[7]BASE'!HG44=0,"",'[7]BASE'!HG44)</f>
      </c>
      <c r="I44" s="1776">
        <f>IF('[7]BASE'!HH44=0,"",'[7]BASE'!HH44)</f>
      </c>
      <c r="J44" s="1776">
        <f>IF('[7]BASE'!HI44=0,"",'[7]BASE'!HI44)</f>
      </c>
      <c r="K44" s="1776">
        <f>IF('[7]BASE'!HJ44=0,"",'[7]BASE'!HJ44)</f>
      </c>
      <c r="L44" s="1776">
        <f>IF('[7]BASE'!HK44=0,"",'[7]BASE'!HK44)</f>
      </c>
      <c r="M44" s="1776">
        <f>IF('[7]BASE'!HL44=0,"",'[7]BASE'!HL44)</f>
        <v>1</v>
      </c>
      <c r="N44" s="1776">
        <f>IF('[7]BASE'!HM44=0,"",'[7]BASE'!HM44)</f>
      </c>
      <c r="O44" s="1776">
        <f>IF('[7]BASE'!HN44=0,"",'[7]BASE'!HN44)</f>
      </c>
      <c r="P44" s="1776">
        <f>IF('[7]BASE'!HO44=0,"",'[7]BASE'!HO44)</f>
        <v>1</v>
      </c>
      <c r="Q44" s="1776">
        <f>IF('[7]BASE'!HP44=0,"",'[7]BASE'!HP44)</f>
        <v>1</v>
      </c>
      <c r="R44" s="1776">
        <f>IF('[7]BASE'!HQ44=0,"",'[7]BASE'!HQ44)</f>
      </c>
      <c r="S44" s="1776">
        <f>IF('[7]BASE'!HR44=0,"",'[7]BASE'!HR44)</f>
      </c>
      <c r="T44" s="1777"/>
      <c r="U44" s="1774"/>
    </row>
    <row r="45" spans="2:21" s="1768" customFormat="1" ht="19.5" customHeight="1">
      <c r="B45" s="1769"/>
      <c r="C45" s="1775">
        <f>IF('[7]BASE'!C45=0,"",'[7]BASE'!C45)</f>
        <v>29</v>
      </c>
      <c r="D45" s="1775" t="str">
        <f>IF('[7]BASE'!D45=0,"",'[7]BASE'!D45)</f>
        <v>GRAL. RODRIGUEZ - CAMPANA </v>
      </c>
      <c r="E45" s="1775">
        <f>IF('[7]BASE'!E45=0,"",'[7]BASE'!E45)</f>
        <v>500</v>
      </c>
      <c r="F45" s="1775">
        <f>IF('[7]BASE'!F45=0,"",'[7]BASE'!F45)</f>
        <v>42</v>
      </c>
      <c r="G45" s="1775" t="str">
        <f>IF('[5]BASE'!G45=0,"",'[5]BASE'!G45)</f>
        <v>B</v>
      </c>
      <c r="H45" s="1776">
        <f>IF('[7]BASE'!HG45=0,"",'[7]BASE'!HG45)</f>
      </c>
      <c r="I45" s="1776">
        <f>IF('[7]BASE'!HH45=0,"",'[7]BASE'!HH45)</f>
      </c>
      <c r="J45" s="1776">
        <f>IF('[7]BASE'!HI45=0,"",'[7]BASE'!HI45)</f>
      </c>
      <c r="K45" s="1776">
        <f>IF('[7]BASE'!HJ45=0,"",'[7]BASE'!HJ45)</f>
      </c>
      <c r="L45" s="1776">
        <f>IF('[7]BASE'!HK45=0,"",'[7]BASE'!HK45)</f>
      </c>
      <c r="M45" s="1776">
        <f>IF('[7]BASE'!HL45=0,"",'[7]BASE'!HL45)</f>
      </c>
      <c r="N45" s="1776">
        <f>IF('[7]BASE'!HM45=0,"",'[7]BASE'!HM45)</f>
        <v>1</v>
      </c>
      <c r="O45" s="1776">
        <f>IF('[7]BASE'!HN45=0,"",'[7]BASE'!HN45)</f>
      </c>
      <c r="P45" s="1776">
        <f>IF('[7]BASE'!HO45=0,"",'[7]BASE'!HO45)</f>
      </c>
      <c r="Q45" s="1776">
        <f>IF('[7]BASE'!HP45=0,"",'[7]BASE'!HP45)</f>
      </c>
      <c r="R45" s="1776">
        <f>IF('[7]BASE'!HQ45=0,"",'[7]BASE'!HQ45)</f>
      </c>
      <c r="S45" s="1776">
        <f>IF('[7]BASE'!HR45=0,"",'[7]BASE'!HR45)</f>
      </c>
      <c r="T45" s="1777"/>
      <c r="U45" s="1774"/>
    </row>
    <row r="46" spans="2:21" s="1768" customFormat="1" ht="19.5" customHeight="1">
      <c r="B46" s="1769"/>
      <c r="C46" s="1775">
        <f>IF('[7]BASE'!C46=0,"",'[7]BASE'!C46)</f>
        <v>30</v>
      </c>
      <c r="D46" s="1775" t="str">
        <f>IF('[7]BASE'!D46=0,"",'[7]BASE'!D46)</f>
        <v>GRAL. RODRIGUEZ- ROSARIO OESTE </v>
      </c>
      <c r="E46" s="1775">
        <f>IF('[7]BASE'!E46=0,"",'[7]BASE'!E46)</f>
        <v>500</v>
      </c>
      <c r="F46" s="1775">
        <f>IF('[7]BASE'!F46=0,"",'[7]BASE'!F46)</f>
        <v>258</v>
      </c>
      <c r="G46" s="1775" t="str">
        <f>IF('[5]BASE'!G46=0,"",'[5]BASE'!G46)</f>
        <v>C</v>
      </c>
      <c r="H46" s="1776" t="str">
        <f>IF('[7]BASE'!HG46=0,"",'[7]BASE'!HG46)</f>
        <v>XXXX</v>
      </c>
      <c r="I46" s="1776" t="str">
        <f>IF('[7]BASE'!HH46=0,"",'[7]BASE'!HH46)</f>
        <v>XXXX</v>
      </c>
      <c r="J46" s="1776" t="str">
        <f>IF('[7]BASE'!HI46=0,"",'[7]BASE'!HI46)</f>
        <v>XXXX</v>
      </c>
      <c r="K46" s="1776" t="str">
        <f>IF('[7]BASE'!HJ46=0,"",'[7]BASE'!HJ46)</f>
        <v>XXXX</v>
      </c>
      <c r="L46" s="1776" t="str">
        <f>IF('[7]BASE'!HK46=0,"",'[7]BASE'!HK46)</f>
        <v>XXXX</v>
      </c>
      <c r="M46" s="1776" t="str">
        <f>IF('[7]BASE'!HL46=0,"",'[7]BASE'!HL46)</f>
        <v>XXXX</v>
      </c>
      <c r="N46" s="1776" t="str">
        <f>IF('[7]BASE'!HM46=0,"",'[7]BASE'!HM46)</f>
        <v>XXXX</v>
      </c>
      <c r="O46" s="1776" t="str">
        <f>IF('[7]BASE'!HN46=0,"",'[7]BASE'!HN46)</f>
        <v>XXXX</v>
      </c>
      <c r="P46" s="1776" t="str">
        <f>IF('[7]BASE'!HO46=0,"",'[7]BASE'!HO46)</f>
        <v>XXXX</v>
      </c>
      <c r="Q46" s="1776" t="str">
        <f>IF('[7]BASE'!HP46=0,"",'[7]BASE'!HP46)</f>
        <v>XXXX</v>
      </c>
      <c r="R46" s="1776" t="str">
        <f>IF('[7]BASE'!HQ46=0,"",'[7]BASE'!HQ46)</f>
        <v>XXXX</v>
      </c>
      <c r="S46" s="1776" t="str">
        <f>IF('[7]BASE'!HR46=0,"",'[7]BASE'!HR46)</f>
        <v>XXXX</v>
      </c>
      <c r="T46" s="1777"/>
      <c r="U46" s="1774"/>
    </row>
    <row r="47" spans="2:21" s="1768" customFormat="1" ht="19.5" customHeight="1">
      <c r="B47" s="1769"/>
      <c r="C47" s="1775">
        <f>IF('[7]BASE'!C47=0,"",'[7]BASE'!C47)</f>
        <v>31</v>
      </c>
      <c r="D47" s="1775" t="str">
        <f>IF('[7]BASE'!D47=0,"",'[7]BASE'!D47)</f>
        <v>MALVINAS ARG. - ALMAFUERTE </v>
      </c>
      <c r="E47" s="1775">
        <f>IF('[7]BASE'!E47=0,"",'[7]BASE'!E47)</f>
        <v>500</v>
      </c>
      <c r="F47" s="1775">
        <f>IF('[7]BASE'!F47=0,"",'[7]BASE'!F47)</f>
        <v>105</v>
      </c>
      <c r="G47" s="1775" t="str">
        <f>IF('[5]BASE'!G47=0,"",'[5]BASE'!G47)</f>
        <v>B</v>
      </c>
      <c r="H47" s="1776">
        <f>IF('[7]BASE'!HG47=0,"",'[7]BASE'!HG47)</f>
      </c>
      <c r="I47" s="1776">
        <f>IF('[7]BASE'!HH47=0,"",'[7]BASE'!HH47)</f>
      </c>
      <c r="J47" s="1776">
        <f>IF('[7]BASE'!HI47=0,"",'[7]BASE'!HI47)</f>
      </c>
      <c r="K47" s="1776">
        <f>IF('[7]BASE'!HJ47=0,"",'[7]BASE'!HJ47)</f>
      </c>
      <c r="L47" s="1776">
        <f>IF('[7]BASE'!HK47=0,"",'[7]BASE'!HK47)</f>
      </c>
      <c r="M47" s="1776">
        <f>IF('[7]BASE'!HL47=0,"",'[7]BASE'!HL47)</f>
      </c>
      <c r="N47" s="1776">
        <f>IF('[7]BASE'!HM47=0,"",'[7]BASE'!HM47)</f>
      </c>
      <c r="O47" s="1776">
        <f>IF('[7]BASE'!HN47=0,"",'[7]BASE'!HN47)</f>
      </c>
      <c r="P47" s="1776">
        <f>IF('[7]BASE'!HO47=0,"",'[7]BASE'!HO47)</f>
      </c>
      <c r="Q47" s="1776">
        <f>IF('[7]BASE'!HP47=0,"",'[7]BASE'!HP47)</f>
      </c>
      <c r="R47" s="1776">
        <f>IF('[7]BASE'!HQ47=0,"",'[7]BASE'!HQ47)</f>
      </c>
      <c r="S47" s="1776">
        <f>IF('[7]BASE'!HR47=0,"",'[7]BASE'!HR47)</f>
      </c>
      <c r="T47" s="1777"/>
      <c r="U47" s="1774"/>
    </row>
    <row r="48" spans="2:21" s="1768" customFormat="1" ht="19.5" customHeight="1">
      <c r="B48" s="1769"/>
      <c r="C48" s="1775">
        <f>IF('[7]BASE'!C48=0,"",'[7]BASE'!C48)</f>
        <v>32</v>
      </c>
      <c r="D48" s="1775" t="str">
        <f>IF('[7]BASE'!D48=0,"",'[7]BASE'!D48)</f>
        <v>OLAVARRIA - BAHIA BLANCA 1</v>
      </c>
      <c r="E48" s="1775">
        <f>IF('[7]BASE'!E48=0,"",'[7]BASE'!E48)</f>
        <v>500</v>
      </c>
      <c r="F48" s="1775">
        <f>IF('[7]BASE'!F48=0,"",'[7]BASE'!F48)</f>
        <v>255</v>
      </c>
      <c r="G48" s="1775" t="str">
        <f>IF('[5]BASE'!G48=0,"",'[5]BASE'!G48)</f>
        <v>B</v>
      </c>
      <c r="H48" s="1776">
        <f>IF('[7]BASE'!HG48=0,"",'[7]BASE'!HG48)</f>
      </c>
      <c r="I48" s="1776">
        <f>IF('[7]BASE'!HH48=0,"",'[7]BASE'!HH48)</f>
        <v>1</v>
      </c>
      <c r="J48" s="1776">
        <f>IF('[7]BASE'!HI48=0,"",'[7]BASE'!HI48)</f>
      </c>
      <c r="K48" s="1776">
        <f>IF('[7]BASE'!HJ48=0,"",'[7]BASE'!HJ48)</f>
      </c>
      <c r="L48" s="1776">
        <f>IF('[7]BASE'!HK48=0,"",'[7]BASE'!HK48)</f>
      </c>
      <c r="M48" s="1776">
        <f>IF('[7]BASE'!HL48=0,"",'[7]BASE'!HL48)</f>
      </c>
      <c r="N48" s="1776">
        <f>IF('[7]BASE'!HM48=0,"",'[7]BASE'!HM48)</f>
      </c>
      <c r="O48" s="1776">
        <f>IF('[7]BASE'!HN48=0,"",'[7]BASE'!HN48)</f>
      </c>
      <c r="P48" s="1776">
        <f>IF('[7]BASE'!HO48=0,"",'[7]BASE'!HO48)</f>
      </c>
      <c r="Q48" s="1776">
        <f>IF('[7]BASE'!HP48=0,"",'[7]BASE'!HP48)</f>
      </c>
      <c r="R48" s="1776">
        <f>IF('[7]BASE'!HQ48=0,"",'[7]BASE'!HQ48)</f>
      </c>
      <c r="S48" s="1776">
        <f>IF('[7]BASE'!HR48=0,"",'[7]BASE'!HR48)</f>
      </c>
      <c r="T48" s="1777"/>
      <c r="U48" s="1774"/>
    </row>
    <row r="49" spans="2:21" s="1768" customFormat="1" ht="19.5" customHeight="1">
      <c r="B49" s="1769"/>
      <c r="C49" s="1775">
        <f>IF('[7]BASE'!C49=0,"",'[7]BASE'!C49)</f>
        <v>33</v>
      </c>
      <c r="D49" s="1775" t="str">
        <f>IF('[7]BASE'!D49=0,"",'[7]BASE'!D49)</f>
        <v>OLAVARRIA - BAHIA BLANCA 2</v>
      </c>
      <c r="E49" s="1775">
        <f>IF('[7]BASE'!E49=0,"",'[7]BASE'!E49)</f>
        <v>500</v>
      </c>
      <c r="F49" s="1775">
        <f>IF('[7]BASE'!F49=0,"",'[7]BASE'!F49)</f>
        <v>254.8</v>
      </c>
      <c r="G49" s="1775" t="e">
        <f>IF('[5]BASE'!G49=0,"",'[5]BASE'!G49)</f>
        <v>#REF!</v>
      </c>
      <c r="H49" s="1776">
        <f>IF('[7]BASE'!HG49=0,"",'[7]BASE'!HG49)</f>
      </c>
      <c r="I49" s="1776">
        <f>IF('[7]BASE'!HH49=0,"",'[7]BASE'!HH49)</f>
      </c>
      <c r="J49" s="1776">
        <f>IF('[7]BASE'!HI49=0,"",'[7]BASE'!HI49)</f>
      </c>
      <c r="K49" s="1776">
        <f>IF('[7]BASE'!HJ49=0,"",'[7]BASE'!HJ49)</f>
      </c>
      <c r="L49" s="1776">
        <f>IF('[7]BASE'!HK49=0,"",'[7]BASE'!HK49)</f>
      </c>
      <c r="M49" s="1776">
        <f>IF('[7]BASE'!HL49=0,"",'[7]BASE'!HL49)</f>
      </c>
      <c r="N49" s="1776">
        <f>IF('[7]BASE'!HM49=0,"",'[7]BASE'!HM49)</f>
      </c>
      <c r="O49" s="1776">
        <f>IF('[7]BASE'!HN49=0,"",'[7]BASE'!HN49)</f>
      </c>
      <c r="P49" s="1776">
        <f>IF('[7]BASE'!HO49=0,"",'[7]BASE'!HO49)</f>
      </c>
      <c r="Q49" s="1776">
        <f>IF('[7]BASE'!HP49=0,"",'[7]BASE'!HP49)</f>
      </c>
      <c r="R49" s="1776">
        <f>IF('[7]BASE'!HQ49=0,"",'[7]BASE'!HQ49)</f>
      </c>
      <c r="S49" s="1776">
        <f>IF('[7]BASE'!HR49=0,"",'[7]BASE'!HR49)</f>
      </c>
      <c r="T49" s="1777"/>
      <c r="U49" s="1774"/>
    </row>
    <row r="50" spans="2:21" s="1768" customFormat="1" ht="19.5" customHeight="1">
      <c r="B50" s="1769"/>
      <c r="C50" s="1775">
        <f>IF('[7]BASE'!C50=0,"",'[7]BASE'!C50)</f>
        <v>34</v>
      </c>
      <c r="D50" s="1775" t="str">
        <f>IF('[7]BASE'!D50=0,"",'[7]BASE'!D50)</f>
        <v>P.del AGUILA  - CHOELE CHOEL</v>
      </c>
      <c r="E50" s="1775">
        <f>IF('[7]BASE'!E50=0,"",'[7]BASE'!E50)</f>
        <v>500</v>
      </c>
      <c r="F50" s="1775">
        <f>IF('[7]BASE'!F50=0,"",'[7]BASE'!F50)</f>
        <v>386.7</v>
      </c>
      <c r="G50" s="1775" t="e">
        <f>IF('[5]BASE'!G50=0,"",'[5]BASE'!G50)</f>
        <v>#REF!</v>
      </c>
      <c r="H50" s="1776">
        <f>IF('[7]BASE'!HG50=0,"",'[7]BASE'!HG50)</f>
      </c>
      <c r="I50" s="1776">
        <f>IF('[7]BASE'!HH50=0,"",'[7]BASE'!HH50)</f>
      </c>
      <c r="J50" s="1776">
        <f>IF('[7]BASE'!HI50=0,"",'[7]BASE'!HI50)</f>
      </c>
      <c r="K50" s="1776">
        <f>IF('[7]BASE'!HJ50=0,"",'[7]BASE'!HJ50)</f>
      </c>
      <c r="L50" s="1776">
        <f>IF('[7]BASE'!HK50=0,"",'[7]BASE'!HK50)</f>
      </c>
      <c r="M50" s="1776">
        <f>IF('[7]BASE'!HL50=0,"",'[7]BASE'!HL50)</f>
      </c>
      <c r="N50" s="1776">
        <f>IF('[7]BASE'!HM50=0,"",'[7]BASE'!HM50)</f>
      </c>
      <c r="O50" s="1776">
        <f>IF('[7]BASE'!HN50=0,"",'[7]BASE'!HN50)</f>
      </c>
      <c r="P50" s="1776">
        <f>IF('[7]BASE'!HO50=0,"",'[7]BASE'!HO50)</f>
      </c>
      <c r="Q50" s="1776">
        <f>IF('[7]BASE'!HP50=0,"",'[7]BASE'!HP50)</f>
      </c>
      <c r="R50" s="1776">
        <f>IF('[7]BASE'!HQ50=0,"",'[7]BASE'!HQ50)</f>
      </c>
      <c r="S50" s="1776">
        <f>IF('[7]BASE'!HR50=0,"",'[7]BASE'!HR50)</f>
      </c>
      <c r="T50" s="1777"/>
      <c r="U50" s="1774"/>
    </row>
    <row r="51" spans="2:21" s="1768" customFormat="1" ht="19.5" customHeight="1">
      <c r="B51" s="1769"/>
      <c r="C51" s="1775">
        <f>IF('[7]BASE'!C51=0,"",'[7]BASE'!C51)</f>
        <v>35</v>
      </c>
      <c r="D51" s="1775" t="str">
        <f>IF('[7]BASE'!D51=0,"",'[7]BASE'!D51)</f>
        <v>P.del AGUILA  - CHO. W. 1 (5GW1)</v>
      </c>
      <c r="E51" s="1775">
        <f>IF('[7]BASE'!E51=0,"",'[7]BASE'!E51)</f>
        <v>500</v>
      </c>
      <c r="F51" s="1775">
        <f>IF('[7]BASE'!F51=0,"",'[7]BASE'!F51)</f>
        <v>165</v>
      </c>
      <c r="G51" s="1775" t="str">
        <f>IF('[5]BASE'!G51=0,"",'[5]BASE'!G51)</f>
        <v>A</v>
      </c>
      <c r="H51" s="1776">
        <f>IF('[7]BASE'!HG51=0,"",'[7]BASE'!HG51)</f>
      </c>
      <c r="I51" s="1776">
        <f>IF('[7]BASE'!HH51=0,"",'[7]BASE'!HH51)</f>
      </c>
      <c r="J51" s="1776">
        <f>IF('[7]BASE'!HI51=0,"",'[7]BASE'!HI51)</f>
      </c>
      <c r="K51" s="1776">
        <f>IF('[7]BASE'!HJ51=0,"",'[7]BASE'!HJ51)</f>
      </c>
      <c r="L51" s="1776">
        <f>IF('[7]BASE'!HK51=0,"",'[7]BASE'!HK51)</f>
        <v>1</v>
      </c>
      <c r="M51" s="1776">
        <f>IF('[7]BASE'!HL51=0,"",'[7]BASE'!HL51)</f>
      </c>
      <c r="N51" s="1776">
        <f>IF('[7]BASE'!HM51=0,"",'[7]BASE'!HM51)</f>
        <v>1</v>
      </c>
      <c r="O51" s="1776">
        <f>IF('[7]BASE'!HN51=0,"",'[7]BASE'!HN51)</f>
      </c>
      <c r="P51" s="1776">
        <f>IF('[7]BASE'!HO51=0,"",'[7]BASE'!HO51)</f>
      </c>
      <c r="Q51" s="1776">
        <f>IF('[7]BASE'!HP51=0,"",'[7]BASE'!HP51)</f>
        <v>1</v>
      </c>
      <c r="R51" s="1776">
        <f>IF('[7]BASE'!HQ51=0,"",'[7]BASE'!HQ51)</f>
      </c>
      <c r="S51" s="1776">
        <f>IF('[7]BASE'!HR51=0,"",'[7]BASE'!HR51)</f>
      </c>
      <c r="T51" s="1777"/>
      <c r="U51" s="1774"/>
    </row>
    <row r="52" spans="2:21" s="1768" customFormat="1" ht="19.5" customHeight="1">
      <c r="B52" s="1769"/>
      <c r="C52" s="1775">
        <f>IF('[7]BASE'!C52=0,"",'[7]BASE'!C52)</f>
        <v>36</v>
      </c>
      <c r="D52" s="1775" t="str">
        <f>IF('[7]BASE'!D52=0,"",'[7]BASE'!D52)</f>
        <v>P.del AGUILA  - CHO. W. 2 (5GW2)</v>
      </c>
      <c r="E52" s="1775">
        <f>IF('[7]BASE'!E52=0,"",'[7]BASE'!E52)</f>
        <v>500</v>
      </c>
      <c r="F52" s="1775">
        <f>IF('[7]BASE'!F52=0,"",'[7]BASE'!F52)</f>
        <v>170</v>
      </c>
      <c r="G52" s="1775" t="str">
        <f>IF('[5]BASE'!G52=0,"",'[5]BASE'!G52)</f>
        <v>A</v>
      </c>
      <c r="H52" s="1776">
        <f>IF('[7]BASE'!HG52=0,"",'[7]BASE'!HG52)</f>
      </c>
      <c r="I52" s="1776">
        <f>IF('[7]BASE'!HH52=0,"",'[7]BASE'!HH52)</f>
      </c>
      <c r="J52" s="1776">
        <f>IF('[7]BASE'!HI52=0,"",'[7]BASE'!HI52)</f>
      </c>
      <c r="K52" s="1776">
        <f>IF('[7]BASE'!HJ52=0,"",'[7]BASE'!HJ52)</f>
      </c>
      <c r="L52" s="1776">
        <f>IF('[7]BASE'!HK52=0,"",'[7]BASE'!HK52)</f>
      </c>
      <c r="M52" s="1776">
        <f>IF('[7]BASE'!HL52=0,"",'[7]BASE'!HL52)</f>
      </c>
      <c r="N52" s="1776">
        <f>IF('[7]BASE'!HM52=0,"",'[7]BASE'!HM52)</f>
      </c>
      <c r="O52" s="1776">
        <f>IF('[7]BASE'!HN52=0,"",'[7]BASE'!HN52)</f>
      </c>
      <c r="P52" s="1776">
        <f>IF('[7]BASE'!HO52=0,"",'[7]BASE'!HO52)</f>
      </c>
      <c r="Q52" s="1776">
        <f>IF('[7]BASE'!HP52=0,"",'[7]BASE'!HP52)</f>
      </c>
      <c r="R52" s="1776">
        <f>IF('[7]BASE'!HQ52=0,"",'[7]BASE'!HQ52)</f>
      </c>
      <c r="S52" s="1776">
        <f>IF('[7]BASE'!HR52=0,"",'[7]BASE'!HR52)</f>
      </c>
      <c r="T52" s="1777"/>
      <c r="U52" s="1774"/>
    </row>
    <row r="53" spans="2:21" s="1768" customFormat="1" ht="19.5" customHeight="1">
      <c r="B53" s="1769"/>
      <c r="C53" s="1775">
        <f>IF('[7]BASE'!C53=0,"",'[7]BASE'!C53)</f>
        <v>37</v>
      </c>
      <c r="D53" s="1775" t="str">
        <f>IF('[7]BASE'!D53=0,"",'[7]BASE'!D53)</f>
        <v>PUELCHES - HENDERSON 1 (B1)</v>
      </c>
      <c r="E53" s="1775">
        <f>IF('[7]BASE'!E53=0,"",'[7]BASE'!E53)</f>
        <v>500</v>
      </c>
      <c r="F53" s="1775">
        <f>IF('[7]BASE'!F53=0,"",'[7]BASE'!F53)</f>
        <v>421</v>
      </c>
      <c r="G53" s="1775" t="str">
        <f>IF('[5]BASE'!G53=0,"",'[5]BASE'!G53)</f>
        <v>A</v>
      </c>
      <c r="H53" s="1776">
        <f>IF('[7]BASE'!HG53=0,"",'[7]BASE'!HG53)</f>
      </c>
      <c r="I53" s="1776">
        <f>IF('[7]BASE'!HH53=0,"",'[7]BASE'!HH53)</f>
      </c>
      <c r="J53" s="1776">
        <f>IF('[7]BASE'!HI53=0,"",'[7]BASE'!HI53)</f>
      </c>
      <c r="K53" s="1776">
        <f>IF('[7]BASE'!HJ53=0,"",'[7]BASE'!HJ53)</f>
      </c>
      <c r="L53" s="1776">
        <f>IF('[7]BASE'!HK53=0,"",'[7]BASE'!HK53)</f>
      </c>
      <c r="M53" s="1776">
        <f>IF('[7]BASE'!HL53=0,"",'[7]BASE'!HL53)</f>
      </c>
      <c r="N53" s="1776">
        <f>IF('[7]BASE'!HM53=0,"",'[7]BASE'!HM53)</f>
        <v>1</v>
      </c>
      <c r="O53" s="1776">
        <f>IF('[7]BASE'!HN53=0,"",'[7]BASE'!HN53)</f>
      </c>
      <c r="P53" s="1776">
        <f>IF('[7]BASE'!HO53=0,"",'[7]BASE'!HO53)</f>
      </c>
      <c r="Q53" s="1776">
        <f>IF('[7]BASE'!HP53=0,"",'[7]BASE'!HP53)</f>
      </c>
      <c r="R53" s="1776">
        <f>IF('[7]BASE'!HQ53=0,"",'[7]BASE'!HQ53)</f>
      </c>
      <c r="S53" s="1776">
        <f>IF('[7]BASE'!HR53=0,"",'[7]BASE'!HR53)</f>
        <v>1</v>
      </c>
      <c r="T53" s="1777"/>
      <c r="U53" s="1774"/>
    </row>
    <row r="54" spans="2:21" s="1768" customFormat="1" ht="19.5" customHeight="1">
      <c r="B54" s="1769"/>
      <c r="C54" s="1775">
        <f>IF('[7]BASE'!C54=0,"",'[7]BASE'!C54)</f>
        <v>38</v>
      </c>
      <c r="D54" s="1775" t="str">
        <f>IF('[7]BASE'!D54=0,"",'[7]BASE'!D54)</f>
        <v>PUELCHES - HENDERSON 2 (B2)</v>
      </c>
      <c r="E54" s="1775">
        <f>IF('[7]BASE'!E54=0,"",'[7]BASE'!E54)</f>
        <v>500</v>
      </c>
      <c r="F54" s="1775">
        <f>IF('[7]BASE'!F54=0,"",'[7]BASE'!F54)</f>
        <v>421</v>
      </c>
      <c r="G54" s="1775" t="str">
        <f>IF('[5]BASE'!G54=0,"",'[5]BASE'!G54)</f>
        <v>A</v>
      </c>
      <c r="H54" s="1776" t="str">
        <f>IF('[7]BASE'!HG54=0,"",'[7]BASE'!HG54)</f>
        <v>XXXX</v>
      </c>
      <c r="I54" s="1776" t="str">
        <f>IF('[7]BASE'!HH54=0,"",'[7]BASE'!HH54)</f>
        <v>XXXX</v>
      </c>
      <c r="J54" s="1776" t="str">
        <f>IF('[7]BASE'!HI54=0,"",'[7]BASE'!HI54)</f>
        <v>XXXX</v>
      </c>
      <c r="K54" s="1776" t="str">
        <f>IF('[7]BASE'!HJ54=0,"",'[7]BASE'!HJ54)</f>
        <v>XXXX</v>
      </c>
      <c r="L54" s="1776" t="str">
        <f>IF('[7]BASE'!HK54=0,"",'[7]BASE'!HK54)</f>
        <v>XXXX</v>
      </c>
      <c r="M54" s="1776" t="str">
        <f>IF('[7]BASE'!HL54=0,"",'[7]BASE'!HL54)</f>
        <v>XXXX</v>
      </c>
      <c r="N54" s="1776" t="str">
        <f>IF('[7]BASE'!HM54=0,"",'[7]BASE'!HM54)</f>
        <v>XXXX</v>
      </c>
      <c r="O54" s="1776" t="str">
        <f>IF('[7]BASE'!HN54=0,"",'[7]BASE'!HN54)</f>
        <v>XXXX</v>
      </c>
      <c r="P54" s="1776" t="str">
        <f>IF('[7]BASE'!HO54=0,"",'[7]BASE'!HO54)</f>
        <v>XXXX</v>
      </c>
      <c r="Q54" s="1776" t="str">
        <f>IF('[7]BASE'!HP54=0,"",'[7]BASE'!HP54)</f>
        <v>XXXX</v>
      </c>
      <c r="R54" s="1776" t="str">
        <f>IF('[7]BASE'!HQ54=0,"",'[7]BASE'!HQ54)</f>
        <v>XXXX</v>
      </c>
      <c r="S54" s="1776" t="str">
        <f>IF('[7]BASE'!HR54=0,"",'[7]BASE'!HR54)</f>
        <v>XXXX</v>
      </c>
      <c r="T54" s="1777"/>
      <c r="U54" s="1774"/>
    </row>
    <row r="55" spans="2:21" s="1768" customFormat="1" ht="19.5" customHeight="1">
      <c r="B55" s="1769"/>
      <c r="C55" s="1775">
        <f>IF('[7]BASE'!C55=0,"",'[7]BASE'!C55)</f>
        <v>39</v>
      </c>
      <c r="D55" s="1775" t="str">
        <f>IF('[7]BASE'!D55=0,"",'[7]BASE'!D55)</f>
        <v>RECREO - MALVINAS ARG. </v>
      </c>
      <c r="E55" s="1775">
        <f>IF('[7]BASE'!E55=0,"",'[7]BASE'!E55)</f>
        <v>500</v>
      </c>
      <c r="F55" s="1775">
        <f>IF('[7]BASE'!F55=0,"",'[7]BASE'!F55)</f>
        <v>259</v>
      </c>
      <c r="G55" s="1775" t="str">
        <f>IF('[5]BASE'!G55=0,"",'[5]BASE'!G55)</f>
        <v>C</v>
      </c>
      <c r="H55" s="1776">
        <f>IF('[7]BASE'!HG55=0,"",'[7]BASE'!HG55)</f>
      </c>
      <c r="I55" s="1776">
        <f>IF('[7]BASE'!HH55=0,"",'[7]BASE'!HH55)</f>
      </c>
      <c r="J55" s="1776">
        <f>IF('[7]BASE'!HI55=0,"",'[7]BASE'!HI55)</f>
      </c>
      <c r="K55" s="1776">
        <f>IF('[7]BASE'!HJ55=0,"",'[7]BASE'!HJ55)</f>
      </c>
      <c r="L55" s="1776">
        <f>IF('[7]BASE'!HK55=0,"",'[7]BASE'!HK55)</f>
      </c>
      <c r="M55" s="1776">
        <f>IF('[7]BASE'!HL55=0,"",'[7]BASE'!HL55)</f>
      </c>
      <c r="N55" s="1776">
        <f>IF('[7]BASE'!HM55=0,"",'[7]BASE'!HM55)</f>
      </c>
      <c r="O55" s="1776">
        <f>IF('[7]BASE'!HN55=0,"",'[7]BASE'!HN55)</f>
      </c>
      <c r="P55" s="1776">
        <f>IF('[7]BASE'!HO55=0,"",'[7]BASE'!HO55)</f>
      </c>
      <c r="Q55" s="1776">
        <f>IF('[7]BASE'!HP55=0,"",'[7]BASE'!HP55)</f>
      </c>
      <c r="R55" s="1776">
        <f>IF('[7]BASE'!HQ55=0,"",'[7]BASE'!HQ55)</f>
      </c>
      <c r="S55" s="1776">
        <f>IF('[7]BASE'!HR55=0,"",'[7]BASE'!HR55)</f>
      </c>
      <c r="T55" s="1777"/>
      <c r="U55" s="1774"/>
    </row>
    <row r="56" spans="2:21" s="1768" customFormat="1" ht="19.5" customHeight="1">
      <c r="B56" s="1769"/>
      <c r="C56" s="1775">
        <f>IF('[7]BASE'!C56=0,"",'[7]BASE'!C56)</f>
        <v>40</v>
      </c>
      <c r="D56" s="1775" t="str">
        <f>IF('[7]BASE'!D56=0,"",'[7]BASE'!D56)</f>
        <v>RIO GRANDE - EMBALSE</v>
      </c>
      <c r="E56" s="1775">
        <f>IF('[7]BASE'!E56=0,"",'[7]BASE'!E56)</f>
        <v>500</v>
      </c>
      <c r="F56" s="1775">
        <f>IF('[7]BASE'!F56=0,"",'[7]BASE'!F56)</f>
        <v>30</v>
      </c>
      <c r="G56" s="1775" t="str">
        <f>IF('[5]BASE'!G56=0,"",'[5]BASE'!G56)</f>
        <v>B</v>
      </c>
      <c r="H56" s="1776">
        <f>IF('[7]BASE'!HG56=0,"",'[7]BASE'!HG56)</f>
      </c>
      <c r="I56" s="1776">
        <f>IF('[7]BASE'!HH56=0,"",'[7]BASE'!HH56)</f>
      </c>
      <c r="J56" s="1776">
        <f>IF('[7]BASE'!HI56=0,"",'[7]BASE'!HI56)</f>
      </c>
      <c r="K56" s="1776">
        <f>IF('[7]BASE'!HJ56=0,"",'[7]BASE'!HJ56)</f>
      </c>
      <c r="L56" s="1776">
        <f>IF('[7]BASE'!HK56=0,"",'[7]BASE'!HK56)</f>
      </c>
      <c r="M56" s="1776">
        <f>IF('[7]BASE'!HL56=0,"",'[7]BASE'!HL56)</f>
      </c>
      <c r="N56" s="1776">
        <f>IF('[7]BASE'!HM56=0,"",'[7]BASE'!HM56)</f>
      </c>
      <c r="O56" s="1776">
        <f>IF('[7]BASE'!HN56=0,"",'[7]BASE'!HN56)</f>
      </c>
      <c r="P56" s="1776">
        <f>IF('[7]BASE'!HO56=0,"",'[7]BASE'!HO56)</f>
      </c>
      <c r="Q56" s="1776">
        <f>IF('[7]BASE'!HP56=0,"",'[7]BASE'!HP56)</f>
      </c>
      <c r="R56" s="1776">
        <f>IF('[7]BASE'!HQ56=0,"",'[7]BASE'!HQ56)</f>
      </c>
      <c r="S56" s="1776">
        <f>IF('[7]BASE'!HR56=0,"",'[7]BASE'!HR56)</f>
      </c>
      <c r="T56" s="1777"/>
      <c r="U56" s="1774"/>
    </row>
    <row r="57" spans="2:21" s="1768" customFormat="1" ht="19.5" customHeight="1">
      <c r="B57" s="1769"/>
      <c r="C57" s="1775">
        <f>IF('[7]BASE'!C57=0,"",'[7]BASE'!C57)</f>
        <v>41</v>
      </c>
      <c r="D57" s="1775" t="str">
        <f>IF('[7]BASE'!D57=0,"",'[7]BASE'!D57)</f>
        <v>RIO GRANDE - GRAN MENDOZA</v>
      </c>
      <c r="E57" s="1775">
        <f>IF('[7]BASE'!E57=0,"",'[7]BASE'!E57)</f>
        <v>500</v>
      </c>
      <c r="F57" s="1775">
        <f>IF('[7]BASE'!F57=0,"",'[7]BASE'!F57)</f>
        <v>407</v>
      </c>
      <c r="G57" s="1775" t="str">
        <f>IF('[5]BASE'!G57=0,"",'[5]BASE'!G57)</f>
        <v>B</v>
      </c>
      <c r="H57" s="1776" t="str">
        <f>IF('[7]BASE'!HG57=0,"",'[7]BASE'!HG57)</f>
        <v>XXXX</v>
      </c>
      <c r="I57" s="1776" t="str">
        <f>IF('[7]BASE'!HH57=0,"",'[7]BASE'!HH57)</f>
        <v>XXXX</v>
      </c>
      <c r="J57" s="1776" t="str">
        <f>IF('[7]BASE'!HI57=0,"",'[7]BASE'!HI57)</f>
        <v>XXXX</v>
      </c>
      <c r="K57" s="1776" t="str">
        <f>IF('[7]BASE'!HJ57=0,"",'[7]BASE'!HJ57)</f>
        <v>XXXX</v>
      </c>
      <c r="L57" s="1776" t="str">
        <f>IF('[7]BASE'!HK57=0,"",'[7]BASE'!HK57)</f>
        <v>XXXX</v>
      </c>
      <c r="M57" s="1776" t="str">
        <f>IF('[7]BASE'!HL57=0,"",'[7]BASE'!HL57)</f>
        <v>XXXX</v>
      </c>
      <c r="N57" s="1776" t="str">
        <f>IF('[7]BASE'!HM57=0,"",'[7]BASE'!HM57)</f>
        <v>XXXX</v>
      </c>
      <c r="O57" s="1776" t="str">
        <f>IF('[7]BASE'!HN57=0,"",'[7]BASE'!HN57)</f>
        <v>XXXX</v>
      </c>
      <c r="P57" s="1776" t="str">
        <f>IF('[7]BASE'!HO57=0,"",'[7]BASE'!HO57)</f>
        <v>XXXX</v>
      </c>
      <c r="Q57" s="1776" t="str">
        <f>IF('[7]BASE'!HP57=0,"",'[7]BASE'!HP57)</f>
        <v>XXXX</v>
      </c>
      <c r="R57" s="1776" t="str">
        <f>IF('[7]BASE'!HQ57=0,"",'[7]BASE'!HQ57)</f>
        <v>XXXX</v>
      </c>
      <c r="S57" s="1776" t="str">
        <f>IF('[7]BASE'!HR57=0,"",'[7]BASE'!HR57)</f>
        <v>XXXX</v>
      </c>
      <c r="T57" s="1777"/>
      <c r="U57" s="1774"/>
    </row>
    <row r="58" spans="2:21" s="1768" customFormat="1" ht="19.5" customHeight="1">
      <c r="B58" s="1769"/>
      <c r="C58" s="1775">
        <f>IF('[7]BASE'!C58=0,"",'[7]BASE'!C58)</f>
        <v>42</v>
      </c>
      <c r="D58" s="1775" t="str">
        <f>IF('[7]BASE'!D58=0,"",'[7]BASE'!D58)</f>
        <v>RIO GRANDE - LUJAN</v>
      </c>
      <c r="E58" s="1775">
        <f>IF('[7]BASE'!E58=0,"",'[7]BASE'!E58)</f>
        <v>500</v>
      </c>
      <c r="F58" s="1775">
        <f>IF('[7]BASE'!F58=0,"",'[7]BASE'!F58)</f>
        <v>150</v>
      </c>
      <c r="G58" s="1775" t="str">
        <f>IF('[5]BASE'!G58=0,"",'[5]BASE'!G58)</f>
        <v>A</v>
      </c>
      <c r="H58" s="1776">
        <f>IF('[7]BASE'!HG58=0,"",'[7]BASE'!HG58)</f>
      </c>
      <c r="I58" s="1776">
        <f>IF('[7]BASE'!HH58=0,"",'[7]BASE'!HH58)</f>
      </c>
      <c r="J58" s="1776">
        <f>IF('[7]BASE'!HI58=0,"",'[7]BASE'!HI58)</f>
      </c>
      <c r="K58" s="1776">
        <f>IF('[7]BASE'!HJ58=0,"",'[7]BASE'!HJ58)</f>
      </c>
      <c r="L58" s="1776">
        <f>IF('[7]BASE'!HK58=0,"",'[7]BASE'!HK58)</f>
      </c>
      <c r="M58" s="1776">
        <f>IF('[7]BASE'!HL58=0,"",'[7]BASE'!HL58)</f>
      </c>
      <c r="N58" s="1776">
        <f>IF('[7]BASE'!HM58=0,"",'[7]BASE'!HM58)</f>
      </c>
      <c r="O58" s="1776">
        <f>IF('[7]BASE'!HN58=0,"",'[7]BASE'!HN58)</f>
      </c>
      <c r="P58" s="1776">
        <f>IF('[7]BASE'!HO58=0,"",'[7]BASE'!HO58)</f>
      </c>
      <c r="Q58" s="1776">
        <f>IF('[7]BASE'!HP58=0,"",'[7]BASE'!HP58)</f>
      </c>
      <c r="R58" s="1776">
        <f>IF('[7]BASE'!HQ58=0,"",'[7]BASE'!HQ58)</f>
      </c>
      <c r="S58" s="1776">
        <f>IF('[7]BASE'!HR58=0,"",'[7]BASE'!HR58)</f>
      </c>
      <c r="T58" s="1777"/>
      <c r="U58" s="1774"/>
    </row>
    <row r="59" spans="2:21" s="1768" customFormat="1" ht="19.5" customHeight="1">
      <c r="B59" s="1769"/>
      <c r="C59" s="1775">
        <f>IF('[7]BASE'!C59=0,"",'[7]BASE'!C59)</f>
        <v>43</v>
      </c>
      <c r="D59" s="1775" t="str">
        <f>IF('[7]BASE'!D59=0,"",'[7]BASE'!D59)</f>
        <v>LUJAN - GRAN MENDOZA</v>
      </c>
      <c r="E59" s="1775">
        <f>IF('[7]BASE'!E59=0,"",'[7]BASE'!E59)</f>
        <v>500</v>
      </c>
      <c r="F59" s="1775">
        <f>IF('[7]BASE'!F59=0,"",'[7]BASE'!F59)</f>
        <v>257</v>
      </c>
      <c r="G59" s="1775" t="str">
        <f>IF('[5]BASE'!G59=0,"",'[5]BASE'!G59)</f>
        <v>B</v>
      </c>
      <c r="H59" s="1776">
        <f>IF('[7]BASE'!HG59=0,"",'[7]BASE'!HG59)</f>
      </c>
      <c r="I59" s="1776">
        <f>IF('[7]BASE'!HH59=0,"",'[7]BASE'!HH59)</f>
      </c>
      <c r="J59" s="1776">
        <f>IF('[7]BASE'!HI59=0,"",'[7]BASE'!HI59)</f>
      </c>
      <c r="K59" s="1776">
        <f>IF('[7]BASE'!HJ59=0,"",'[7]BASE'!HJ59)</f>
      </c>
      <c r="L59" s="1776">
        <f>IF('[7]BASE'!HK59=0,"",'[7]BASE'!HK59)</f>
      </c>
      <c r="M59" s="1776">
        <f>IF('[7]BASE'!HL59=0,"",'[7]BASE'!HL59)</f>
      </c>
      <c r="N59" s="1776">
        <f>IF('[7]BASE'!HM59=0,"",'[7]BASE'!HM59)</f>
      </c>
      <c r="O59" s="1776">
        <f>IF('[7]BASE'!HN59=0,"",'[7]BASE'!HN59)</f>
      </c>
      <c r="P59" s="1776">
        <f>IF('[7]BASE'!HO59=0,"",'[7]BASE'!HO59)</f>
        <v>1</v>
      </c>
      <c r="Q59" s="1776">
        <f>IF('[7]BASE'!HP59=0,"",'[7]BASE'!HP59)</f>
      </c>
      <c r="R59" s="1776">
        <f>IF('[7]BASE'!HQ59=0,"",'[7]BASE'!HQ59)</f>
      </c>
      <c r="S59" s="1776">
        <f>IF('[7]BASE'!HR59=0,"",'[7]BASE'!HR59)</f>
      </c>
      <c r="T59" s="1777"/>
      <c r="U59" s="1774"/>
    </row>
    <row r="60" spans="2:21" s="1768" customFormat="1" ht="19.5" customHeight="1">
      <c r="B60" s="1769"/>
      <c r="C60" s="1775">
        <f>IF('[7]BASE'!C60=0,"",'[7]BASE'!C60)</f>
        <v>44</v>
      </c>
      <c r="D60" s="1775" t="str">
        <f>IF('[7]BASE'!D60=0,"",'[7]BASE'!D60)</f>
        <v>ROMANG - RESISTENCIA</v>
      </c>
      <c r="E60" s="1775">
        <f>IF('[7]BASE'!E60=0,"",'[7]BASE'!E60)</f>
        <v>500</v>
      </c>
      <c r="F60" s="1775">
        <f>IF('[7]BASE'!F60=0,"",'[7]BASE'!F60)</f>
        <v>256</v>
      </c>
      <c r="G60" s="1775" t="str">
        <f>IF('[5]BASE'!G60=0,"",'[5]BASE'!G60)</f>
        <v>A</v>
      </c>
      <c r="H60" s="1776">
        <f>IF('[7]BASE'!HG60=0,"",'[7]BASE'!HG60)</f>
      </c>
      <c r="I60" s="1776">
        <f>IF('[7]BASE'!HH60=0,"",'[7]BASE'!HH60)</f>
      </c>
      <c r="J60" s="1776">
        <f>IF('[7]BASE'!HI60=0,"",'[7]BASE'!HI60)</f>
      </c>
      <c r="K60" s="1776">
        <f>IF('[7]BASE'!HJ60=0,"",'[7]BASE'!HJ60)</f>
        <v>1</v>
      </c>
      <c r="L60" s="1776">
        <f>IF('[7]BASE'!HK60=0,"",'[7]BASE'!HK60)</f>
      </c>
      <c r="M60" s="1776">
        <f>IF('[7]BASE'!HL60=0,"",'[7]BASE'!HL60)</f>
      </c>
      <c r="N60" s="1776">
        <f>IF('[7]BASE'!HM60=0,"",'[7]BASE'!HM60)</f>
      </c>
      <c r="O60" s="1776">
        <f>IF('[7]BASE'!HN60=0,"",'[7]BASE'!HN60)</f>
        <v>1</v>
      </c>
      <c r="P60" s="1776">
        <f>IF('[7]BASE'!HO60=0,"",'[7]BASE'!HO60)</f>
      </c>
      <c r="Q60" s="1776">
        <f>IF('[7]BASE'!HP60=0,"",'[7]BASE'!HP60)</f>
      </c>
      <c r="R60" s="1776">
        <f>IF('[7]BASE'!HQ60=0,"",'[7]BASE'!HQ60)</f>
      </c>
      <c r="S60" s="1776">
        <f>IF('[7]BASE'!HR60=0,"",'[7]BASE'!HR60)</f>
      </c>
      <c r="T60" s="1777"/>
      <c r="U60" s="1774"/>
    </row>
    <row r="61" spans="2:21" s="1768" customFormat="1" ht="19.5" customHeight="1">
      <c r="B61" s="1769"/>
      <c r="C61" s="1775">
        <f>IF('[7]BASE'!C61=0,"",'[7]BASE'!C61)</f>
        <v>45</v>
      </c>
      <c r="D61" s="1775" t="str">
        <f>IF('[7]BASE'!D61=0,"",'[7]BASE'!D61)</f>
        <v>ROSARIO OESTE -SANTO TOME</v>
      </c>
      <c r="E61" s="1775">
        <f>IF('[7]BASE'!E61=0,"",'[7]BASE'!E61)</f>
        <v>500</v>
      </c>
      <c r="F61" s="1775">
        <f>IF('[7]BASE'!F61=0,"",'[7]BASE'!F61)</f>
        <v>159</v>
      </c>
      <c r="G61" s="1775" t="str">
        <f>IF('[5]BASE'!G61=0,"",'[5]BASE'!G61)</f>
        <v>C</v>
      </c>
      <c r="H61" s="1776" t="str">
        <f>IF('[7]BASE'!HG61=0,"",'[7]BASE'!HG61)</f>
        <v>XXXX</v>
      </c>
      <c r="I61" s="1776" t="str">
        <f>IF('[7]BASE'!HH61=0,"",'[7]BASE'!HH61)</f>
        <v>XXXX</v>
      </c>
      <c r="J61" s="1776" t="str">
        <f>IF('[7]BASE'!HI61=0,"",'[7]BASE'!HI61)</f>
        <v>XXXX</v>
      </c>
      <c r="K61" s="1776" t="str">
        <f>IF('[7]BASE'!HJ61=0,"",'[7]BASE'!HJ61)</f>
        <v>XXXX</v>
      </c>
      <c r="L61" s="1776" t="str">
        <f>IF('[7]BASE'!HK61=0,"",'[7]BASE'!HK61)</f>
        <v>XXXX</v>
      </c>
      <c r="M61" s="1776" t="str">
        <f>IF('[7]BASE'!HL61=0,"",'[7]BASE'!HL61)</f>
        <v>XXXX</v>
      </c>
      <c r="N61" s="1776" t="str">
        <f>IF('[7]BASE'!HM61=0,"",'[7]BASE'!HM61)</f>
        <v>XXXX</v>
      </c>
      <c r="O61" s="1776" t="str">
        <f>IF('[7]BASE'!HN61=0,"",'[7]BASE'!HN61)</f>
        <v>XXXX</v>
      </c>
      <c r="P61" s="1776" t="str">
        <f>IF('[7]BASE'!HO61=0,"",'[7]BASE'!HO61)</f>
        <v>XXXX</v>
      </c>
      <c r="Q61" s="1776" t="str">
        <f>IF('[7]BASE'!HP61=0,"",'[7]BASE'!HP61)</f>
        <v>XXXX</v>
      </c>
      <c r="R61" s="1776" t="str">
        <f>IF('[7]BASE'!HQ61=0,"",'[7]BASE'!HQ61)</f>
        <v>XXXX</v>
      </c>
      <c r="S61" s="1776" t="str">
        <f>IF('[7]BASE'!HR61=0,"",'[7]BASE'!HR61)</f>
        <v>XXXX</v>
      </c>
      <c r="T61" s="1777"/>
      <c r="U61" s="1774"/>
    </row>
    <row r="62" spans="2:21" s="1768" customFormat="1" ht="19.5" customHeight="1">
      <c r="B62" s="1769"/>
      <c r="C62" s="1775">
        <f>IF('[7]BASE'!C62=0,"",'[7]BASE'!C62)</f>
      </c>
      <c r="D62" s="1775" t="str">
        <f>IF('[7]BASE'!D62=0,"",'[7]BASE'!D62)</f>
        <v>ROSARIO OESTE - RIO CORONDA</v>
      </c>
      <c r="E62" s="1775">
        <f>IF('[7]BASE'!E62=0,"",'[7]BASE'!E62)</f>
        <v>500</v>
      </c>
      <c r="F62" s="1775">
        <f>IF('[7]BASE'!F62=0,"",'[7]BASE'!F62)</f>
        <v>64.99</v>
      </c>
      <c r="G62" s="1775" t="str">
        <f>IF('[5]BASE'!G62=0,"",'[5]BASE'!G62)</f>
        <v>C</v>
      </c>
      <c r="H62" s="1776">
        <f>IF('[7]BASE'!HG62=0,"",'[7]BASE'!HG62)</f>
      </c>
      <c r="I62" s="1776">
        <f>IF('[7]BASE'!HH62=0,"",'[7]BASE'!HH62)</f>
      </c>
      <c r="J62" s="1776">
        <f>IF('[7]BASE'!HI62=0,"",'[7]BASE'!HI62)</f>
      </c>
      <c r="K62" s="1776">
        <f>IF('[7]BASE'!HJ62=0,"",'[7]BASE'!HJ62)</f>
      </c>
      <c r="L62" s="1776">
        <f>IF('[7]BASE'!HK62=0,"",'[7]BASE'!HK62)</f>
        <v>1</v>
      </c>
      <c r="M62" s="1776">
        <f>IF('[7]BASE'!HL62=0,"",'[7]BASE'!HL62)</f>
      </c>
      <c r="N62" s="1776">
        <f>IF('[7]BASE'!HM62=0,"",'[7]BASE'!HM62)</f>
      </c>
      <c r="O62" s="1776">
        <f>IF('[7]BASE'!HN62=0,"",'[7]BASE'!HN62)</f>
      </c>
      <c r="P62" s="1776">
        <f>IF('[7]BASE'!HO62=0,"",'[7]BASE'!HO62)</f>
      </c>
      <c r="Q62" s="1776">
        <f>IF('[7]BASE'!HP62=0,"",'[7]BASE'!HP62)</f>
      </c>
      <c r="R62" s="1776">
        <f>IF('[7]BASE'!HQ62=0,"",'[7]BASE'!HQ62)</f>
      </c>
      <c r="S62" s="1776">
        <f>IF('[7]BASE'!HR62=0,"",'[7]BASE'!HR62)</f>
      </c>
      <c r="T62" s="1777"/>
      <c r="U62" s="1774"/>
    </row>
    <row r="63" spans="2:21" s="1768" customFormat="1" ht="19.5" customHeight="1">
      <c r="B63" s="1769"/>
      <c r="C63" s="1775">
        <f>IF('[7]BASE'!C63=0,"",'[7]BASE'!C63)</f>
      </c>
      <c r="D63" s="1775" t="str">
        <f>IF('[7]BASE'!D63=0,"",'[7]BASE'!D63)</f>
        <v>RIO CORONDA - SANTO TOME</v>
      </c>
      <c r="E63" s="1775">
        <f>IF('[7]BASE'!E63=0,"",'[7]BASE'!E63)</f>
        <v>500</v>
      </c>
      <c r="F63" s="1775">
        <f>IF('[7]BASE'!F63=0,"",'[7]BASE'!F63)</f>
        <v>137.94</v>
      </c>
      <c r="G63" s="1775" t="str">
        <f>IF('[5]BASE'!G63=0,"",'[5]BASE'!G63)</f>
        <v>A</v>
      </c>
      <c r="H63" s="1776">
        <f>IF('[7]BASE'!HG63=0,"",'[7]BASE'!HG63)</f>
      </c>
      <c r="I63" s="1776">
        <f>IF('[7]BASE'!HH63=0,"",'[7]BASE'!HH63)</f>
      </c>
      <c r="J63" s="1776">
        <f>IF('[7]BASE'!HI63=0,"",'[7]BASE'!HI63)</f>
      </c>
      <c r="K63" s="1776">
        <f>IF('[7]BASE'!HJ63=0,"",'[7]BASE'!HJ63)</f>
      </c>
      <c r="L63" s="1776">
        <f>IF('[7]BASE'!HK63=0,"",'[7]BASE'!HK63)</f>
      </c>
      <c r="M63" s="1776">
        <f>IF('[7]BASE'!HL63=0,"",'[7]BASE'!HL63)</f>
      </c>
      <c r="N63" s="1776">
        <f>IF('[7]BASE'!HM63=0,"",'[7]BASE'!HM63)</f>
      </c>
      <c r="O63" s="1776">
        <f>IF('[7]BASE'!HN63=0,"",'[7]BASE'!HN63)</f>
      </c>
      <c r="P63" s="1776">
        <f>IF('[7]BASE'!HO63=0,"",'[7]BASE'!HO63)</f>
        <v>1</v>
      </c>
      <c r="Q63" s="1776">
        <f>IF('[7]BASE'!HP63=0,"",'[7]BASE'!HP63)</f>
      </c>
      <c r="R63" s="1776">
        <f>IF('[7]BASE'!HQ63=0,"",'[7]BASE'!HQ63)</f>
      </c>
      <c r="S63" s="1776">
        <f>IF('[7]BASE'!HR63=0,"",'[7]BASE'!HR63)</f>
      </c>
      <c r="T63" s="1777"/>
      <c r="U63" s="1774"/>
    </row>
    <row r="64" spans="2:21" s="1768" customFormat="1" ht="19.5" customHeight="1">
      <c r="B64" s="1769"/>
      <c r="C64" s="1775">
        <f>IF('[7]BASE'!C64=0,"",'[7]BASE'!C64)</f>
        <v>46</v>
      </c>
      <c r="D64" s="1775" t="str">
        <f>IF('[7]BASE'!D64=0,"",'[7]BASE'!D64)</f>
        <v>SALTO GRANDE - SANTO TOME </v>
      </c>
      <c r="E64" s="1775">
        <f>IF('[7]BASE'!E64=0,"",'[7]BASE'!E64)</f>
        <v>500</v>
      </c>
      <c r="F64" s="1775">
        <f>IF('[7]BASE'!F64=0,"",'[7]BASE'!F64)</f>
        <v>289</v>
      </c>
      <c r="G64" s="1775" t="str">
        <f>IF('[5]BASE'!G64=0,"",'[5]BASE'!G64)</f>
        <v>C</v>
      </c>
      <c r="H64" s="1776">
        <f>IF('[7]BASE'!HG64=0,"",'[7]BASE'!HG64)</f>
      </c>
      <c r="I64" s="1776">
        <f>IF('[7]BASE'!HH64=0,"",'[7]BASE'!HH64)</f>
      </c>
      <c r="J64" s="1776">
        <f>IF('[7]BASE'!HI64=0,"",'[7]BASE'!HI64)</f>
      </c>
      <c r="K64" s="1776">
        <f>IF('[7]BASE'!HJ64=0,"",'[7]BASE'!HJ64)</f>
      </c>
      <c r="L64" s="1776">
        <f>IF('[7]BASE'!HK64=0,"",'[7]BASE'!HK64)</f>
        <v>1</v>
      </c>
      <c r="M64" s="1776">
        <f>IF('[7]BASE'!HL64=0,"",'[7]BASE'!HL64)</f>
      </c>
      <c r="N64" s="1776">
        <f>IF('[7]BASE'!HM64=0,"",'[7]BASE'!HM64)</f>
        <v>1</v>
      </c>
      <c r="O64" s="1776">
        <f>IF('[7]BASE'!HN64=0,"",'[7]BASE'!HN64)</f>
      </c>
      <c r="P64" s="1776">
        <f>IF('[7]BASE'!HO64=0,"",'[7]BASE'!HO64)</f>
        <v>1</v>
      </c>
      <c r="Q64" s="1776">
        <f>IF('[7]BASE'!HP64=0,"",'[7]BASE'!HP64)</f>
      </c>
      <c r="R64" s="1776">
        <f>IF('[7]BASE'!HQ64=0,"",'[7]BASE'!HQ64)</f>
      </c>
      <c r="S64" s="1776">
        <f>IF('[7]BASE'!HR64=0,"",'[7]BASE'!HR64)</f>
      </c>
      <c r="T64" s="1777"/>
      <c r="U64" s="1774"/>
    </row>
    <row r="65" spans="2:21" s="1768" customFormat="1" ht="19.5" customHeight="1">
      <c r="B65" s="1769"/>
      <c r="C65" s="1775">
        <f>IF('[7]BASE'!C65=0,"",'[7]BASE'!C65)</f>
        <v>47</v>
      </c>
      <c r="D65" s="1775" t="str">
        <f>IF('[7]BASE'!D65=0,"",'[7]BASE'!D65)</f>
        <v>SANTO TOME - ROMANG </v>
      </c>
      <c r="E65" s="1775">
        <f>IF('[7]BASE'!E65=0,"",'[7]BASE'!E65)</f>
        <v>500</v>
      </c>
      <c r="F65" s="1775">
        <f>IF('[7]BASE'!F65=0,"",'[7]BASE'!F65)</f>
        <v>270</v>
      </c>
      <c r="G65" s="1775" t="str">
        <f>IF('[5]BASE'!G65=0,"",'[5]BASE'!G65)</f>
        <v>C</v>
      </c>
      <c r="H65" s="1776">
        <f>IF('[7]BASE'!HG65=0,"",'[7]BASE'!HG65)</f>
      </c>
      <c r="I65" s="1776">
        <f>IF('[7]BASE'!HH65=0,"",'[7]BASE'!HH65)</f>
      </c>
      <c r="J65" s="1776">
        <f>IF('[7]BASE'!HI65=0,"",'[7]BASE'!HI65)</f>
      </c>
      <c r="K65" s="1776">
        <f>IF('[7]BASE'!HJ65=0,"",'[7]BASE'!HJ65)</f>
      </c>
      <c r="L65" s="1776">
        <f>IF('[7]BASE'!HK65=0,"",'[7]BASE'!HK65)</f>
      </c>
      <c r="M65" s="1776">
        <f>IF('[7]BASE'!HL65=0,"",'[7]BASE'!HL65)</f>
      </c>
      <c r="N65" s="1776">
        <f>IF('[7]BASE'!HM65=0,"",'[7]BASE'!HM65)</f>
      </c>
      <c r="O65" s="1776">
        <f>IF('[7]BASE'!HN65=0,"",'[7]BASE'!HN65)</f>
      </c>
      <c r="P65" s="1776">
        <f>IF('[7]BASE'!HO65=0,"",'[7]BASE'!HO65)</f>
      </c>
      <c r="Q65" s="1776">
        <f>IF('[7]BASE'!HP65=0,"",'[7]BASE'!HP65)</f>
      </c>
      <c r="R65" s="1776">
        <f>IF('[7]BASE'!HQ65=0,"",'[7]BASE'!HQ65)</f>
      </c>
      <c r="S65" s="1776">
        <f>IF('[7]BASE'!HR65=0,"",'[7]BASE'!HR65)</f>
      </c>
      <c r="T65" s="1777"/>
      <c r="U65" s="1774"/>
    </row>
    <row r="66" spans="2:21" s="1768" customFormat="1" ht="19.5" customHeight="1">
      <c r="B66" s="1769"/>
      <c r="C66" s="1775">
        <f>IF('[7]BASE'!C66=0,"",'[7]BASE'!C66)</f>
      </c>
      <c r="D66" s="1775">
        <f>IF('[7]BASE'!D66=0,"",'[7]BASE'!D66)</f>
      </c>
      <c r="E66" s="1775">
        <f>IF('[7]BASE'!E66=0,"",'[7]BASE'!E66)</f>
      </c>
      <c r="F66" s="1775">
        <f>IF('[7]BASE'!F66=0,"",'[7]BASE'!F66)</f>
      </c>
      <c r="G66" s="1775" t="str">
        <f>IF('[5]BASE'!G66=0,"",'[5]BASE'!G66)</f>
        <v>C</v>
      </c>
      <c r="H66" s="1776">
        <f>IF('[7]BASE'!HG66=0,"",'[7]BASE'!HG66)</f>
      </c>
      <c r="I66" s="1776">
        <f>IF('[7]BASE'!HH66=0,"",'[7]BASE'!HH66)</f>
      </c>
      <c r="J66" s="1776">
        <f>IF('[7]BASE'!HI66=0,"",'[7]BASE'!HI66)</f>
      </c>
      <c r="K66" s="1776">
        <f>IF('[7]BASE'!HJ66=0,"",'[7]BASE'!HJ66)</f>
      </c>
      <c r="L66" s="1776">
        <f>IF('[7]BASE'!HK66=0,"",'[7]BASE'!HK66)</f>
      </c>
      <c r="M66" s="1776">
        <f>IF('[7]BASE'!HL66=0,"",'[7]BASE'!HL66)</f>
      </c>
      <c r="N66" s="1776">
        <f>IF('[7]BASE'!HM66=0,"",'[7]BASE'!HM66)</f>
      </c>
      <c r="O66" s="1776">
        <f>IF('[7]BASE'!HN66=0,"",'[7]BASE'!HN66)</f>
      </c>
      <c r="P66" s="1776">
        <f>IF('[7]BASE'!HO66=0,"",'[7]BASE'!HO66)</f>
      </c>
      <c r="Q66" s="1776">
        <f>IF('[7]BASE'!HP66=0,"",'[7]BASE'!HP66)</f>
      </c>
      <c r="R66" s="1776">
        <f>IF('[7]BASE'!HQ66=0,"",'[7]BASE'!HQ66)</f>
      </c>
      <c r="S66" s="1776">
        <f>IF('[7]BASE'!HR66=0,"",'[7]BASE'!HR66)</f>
      </c>
      <c r="T66" s="1777"/>
      <c r="U66" s="1774"/>
    </row>
    <row r="67" spans="2:21" s="1768" customFormat="1" ht="19.5" customHeight="1">
      <c r="B67" s="1769"/>
      <c r="C67" s="1775">
        <f>IF('[7]BASE'!C67=0,"",'[7]BASE'!C67)</f>
        <v>48</v>
      </c>
      <c r="D67" s="1775" t="str">
        <f>IF('[7]BASE'!D67=0,"",'[7]BASE'!D67)</f>
        <v>GRAL. RODRIGUEZ - VILLA  LIA 1</v>
      </c>
      <c r="E67" s="1775">
        <f>IF('[7]BASE'!E67=0,"",'[7]BASE'!E67)</f>
        <v>220</v>
      </c>
      <c r="F67" s="1775">
        <f>IF('[7]BASE'!F67=0,"",'[7]BASE'!F67)</f>
        <v>61</v>
      </c>
      <c r="G67" s="1775" t="str">
        <f>IF('[5]BASE'!G67=0,"",'[5]BASE'!G67)</f>
        <v>C</v>
      </c>
      <c r="H67" s="1776">
        <f>IF('[7]BASE'!HG67=0,"",'[7]BASE'!HG67)</f>
      </c>
      <c r="I67" s="1776">
        <f>IF('[7]BASE'!HH67=0,"",'[7]BASE'!HH67)</f>
      </c>
      <c r="J67" s="1776">
        <f>IF('[7]BASE'!HI67=0,"",'[7]BASE'!HI67)</f>
      </c>
      <c r="K67" s="1776">
        <f>IF('[7]BASE'!HJ67=0,"",'[7]BASE'!HJ67)</f>
      </c>
      <c r="L67" s="1776">
        <f>IF('[7]BASE'!HK67=0,"",'[7]BASE'!HK67)</f>
        <v>1</v>
      </c>
      <c r="M67" s="1776">
        <f>IF('[7]BASE'!HL67=0,"",'[7]BASE'!HL67)</f>
      </c>
      <c r="N67" s="1776">
        <f>IF('[7]BASE'!HM67=0,"",'[7]BASE'!HM67)</f>
      </c>
      <c r="O67" s="1776">
        <f>IF('[7]BASE'!HN67=0,"",'[7]BASE'!HN67)</f>
      </c>
      <c r="P67" s="1776">
        <f>IF('[7]BASE'!HO67=0,"",'[7]BASE'!HO67)</f>
      </c>
      <c r="Q67" s="1776">
        <f>IF('[7]BASE'!HP67=0,"",'[7]BASE'!HP67)</f>
      </c>
      <c r="R67" s="1776">
        <f>IF('[7]BASE'!HQ67=0,"",'[7]BASE'!HQ67)</f>
        <v>1</v>
      </c>
      <c r="S67" s="1776">
        <f>IF('[7]BASE'!HR67=0,"",'[7]BASE'!HR67)</f>
      </c>
      <c r="T67" s="1777"/>
      <c r="U67" s="1774"/>
    </row>
    <row r="68" spans="2:21" s="1768" customFormat="1" ht="19.5" customHeight="1">
      <c r="B68" s="1769"/>
      <c r="C68" s="1775">
        <f>IF('[7]BASE'!C68=0,"",'[7]BASE'!C68)</f>
        <v>49</v>
      </c>
      <c r="D68" s="1775" t="str">
        <f>IF('[7]BASE'!D68=0,"",'[7]BASE'!D68)</f>
        <v>GRAL. RODRIGUEZ - VILLA  LIA 2</v>
      </c>
      <c r="E68" s="1775">
        <f>IF('[7]BASE'!E68=0,"",'[7]BASE'!E68)</f>
        <v>220</v>
      </c>
      <c r="F68" s="1775">
        <f>IF('[7]BASE'!F68=0,"",'[7]BASE'!F68)</f>
        <v>61</v>
      </c>
      <c r="G68" s="1775" t="str">
        <f>IF('[5]BASE'!G68=0,"",'[5]BASE'!G68)</f>
        <v>C</v>
      </c>
      <c r="H68" s="1776">
        <f>IF('[7]BASE'!HG68=0,"",'[7]BASE'!HG68)</f>
      </c>
      <c r="I68" s="1776">
        <f>IF('[7]BASE'!HH68=0,"",'[7]BASE'!HH68)</f>
      </c>
      <c r="J68" s="1776">
        <f>IF('[7]BASE'!HI68=0,"",'[7]BASE'!HI68)</f>
      </c>
      <c r="K68" s="1776">
        <f>IF('[7]BASE'!HJ68=0,"",'[7]BASE'!HJ68)</f>
      </c>
      <c r="L68" s="1776">
        <f>IF('[7]BASE'!HK68=0,"",'[7]BASE'!HK68)</f>
      </c>
      <c r="M68" s="1776">
        <f>IF('[7]BASE'!HL68=0,"",'[7]BASE'!HL68)</f>
      </c>
      <c r="N68" s="1776">
        <f>IF('[7]BASE'!HM68=0,"",'[7]BASE'!HM68)</f>
      </c>
      <c r="O68" s="1776">
        <f>IF('[7]BASE'!HN68=0,"",'[7]BASE'!HN68)</f>
      </c>
      <c r="P68" s="1776">
        <f>IF('[7]BASE'!HO68=0,"",'[7]BASE'!HO68)</f>
      </c>
      <c r="Q68" s="1776">
        <f>IF('[7]BASE'!HP68=0,"",'[7]BASE'!HP68)</f>
      </c>
      <c r="R68" s="1776">
        <f>IF('[7]BASE'!HQ68=0,"",'[7]BASE'!HQ68)</f>
      </c>
      <c r="S68" s="1776">
        <f>IF('[7]BASE'!HR68=0,"",'[7]BASE'!HR68)</f>
      </c>
      <c r="T68" s="1777"/>
      <c r="U68" s="1774"/>
    </row>
    <row r="69" spans="2:21" s="1768" customFormat="1" ht="19.5" customHeight="1">
      <c r="B69" s="1769"/>
      <c r="C69" s="1775">
        <f>IF('[7]BASE'!C69=0,"",'[7]BASE'!C69)</f>
        <v>50</v>
      </c>
      <c r="D69" s="1775" t="str">
        <f>IF('[7]BASE'!D69=0,"",'[7]BASE'!D69)</f>
        <v>RAMALLO - SAN NICOLAS (2)</v>
      </c>
      <c r="E69" s="1775">
        <f>IF('[7]BASE'!E69=0,"",'[7]BASE'!E69)</f>
        <v>220</v>
      </c>
      <c r="F69" s="1775">
        <f>IF('[7]BASE'!F69=0,"",'[7]BASE'!F69)</f>
        <v>6</v>
      </c>
      <c r="G69" s="1775" t="str">
        <f>IF('[5]BASE'!G69=0,"",'[5]BASE'!G69)</f>
        <v>C</v>
      </c>
      <c r="H69" s="1776">
        <f>IF('[7]BASE'!HG69=0,"",'[7]BASE'!HG69)</f>
      </c>
      <c r="I69" s="1776">
        <f>IF('[7]BASE'!HH69=0,"",'[7]BASE'!HH69)</f>
      </c>
      <c r="J69" s="1776">
        <f>IF('[7]BASE'!HI69=0,"",'[7]BASE'!HI69)</f>
      </c>
      <c r="K69" s="1776">
        <f>IF('[7]BASE'!HJ69=0,"",'[7]BASE'!HJ69)</f>
      </c>
      <c r="L69" s="1776">
        <f>IF('[7]BASE'!HK69=0,"",'[7]BASE'!HK69)</f>
      </c>
      <c r="M69" s="1776">
        <f>IF('[7]BASE'!HL69=0,"",'[7]BASE'!HL69)</f>
      </c>
      <c r="N69" s="1776">
        <f>IF('[7]BASE'!HM69=0,"",'[7]BASE'!HM69)</f>
      </c>
      <c r="O69" s="1776">
        <f>IF('[7]BASE'!HN69=0,"",'[7]BASE'!HN69)</f>
      </c>
      <c r="P69" s="1776">
        <f>IF('[7]BASE'!HO69=0,"",'[7]BASE'!HO69)</f>
      </c>
      <c r="Q69" s="1776">
        <f>IF('[7]BASE'!HP69=0,"",'[7]BASE'!HP69)</f>
      </c>
      <c r="R69" s="1776">
        <f>IF('[7]BASE'!HQ69=0,"",'[7]BASE'!HQ69)</f>
      </c>
      <c r="S69" s="1776">
        <f>IF('[7]BASE'!HR69=0,"",'[7]BASE'!HR69)</f>
      </c>
      <c r="T69" s="1777"/>
      <c r="U69" s="1774"/>
    </row>
    <row r="70" spans="2:21" s="1768" customFormat="1" ht="19.5" customHeight="1">
      <c r="B70" s="1769"/>
      <c r="C70" s="1775">
        <f>IF('[7]BASE'!C70=0,"",'[7]BASE'!C70)</f>
        <v>51</v>
      </c>
      <c r="D70" s="1775" t="str">
        <f>IF('[7]BASE'!D70=0,"",'[7]BASE'!D70)</f>
        <v>RAMALLO - SAN NICOLAS (1)</v>
      </c>
      <c r="E70" s="1775">
        <f>IF('[7]BASE'!E70=0,"",'[7]BASE'!E70)</f>
        <v>220</v>
      </c>
      <c r="F70" s="1775">
        <f>IF('[7]BASE'!F70=0,"",'[7]BASE'!F70)</f>
        <v>6</v>
      </c>
      <c r="G70" s="1775" t="str">
        <f>IF('[5]BASE'!G70=0,"",'[5]BASE'!G70)</f>
        <v>C</v>
      </c>
      <c r="H70" s="1776">
        <f>IF('[7]BASE'!HG70=0,"",'[7]BASE'!HG70)</f>
      </c>
      <c r="I70" s="1776">
        <f>IF('[7]BASE'!HH70=0,"",'[7]BASE'!HH70)</f>
      </c>
      <c r="J70" s="1776">
        <f>IF('[7]BASE'!HI70=0,"",'[7]BASE'!HI70)</f>
      </c>
      <c r="K70" s="1776">
        <f>IF('[7]BASE'!HJ70=0,"",'[7]BASE'!HJ70)</f>
      </c>
      <c r="L70" s="1776">
        <f>IF('[7]BASE'!HK70=0,"",'[7]BASE'!HK70)</f>
      </c>
      <c r="M70" s="1776">
        <f>IF('[7]BASE'!HL70=0,"",'[7]BASE'!HL70)</f>
      </c>
      <c r="N70" s="1776">
        <f>IF('[7]BASE'!HM70=0,"",'[7]BASE'!HM70)</f>
      </c>
      <c r="O70" s="1776">
        <f>IF('[7]BASE'!HN70=0,"",'[7]BASE'!HN70)</f>
      </c>
      <c r="P70" s="1776">
        <f>IF('[7]BASE'!HO70=0,"",'[7]BASE'!HO70)</f>
      </c>
      <c r="Q70" s="1776">
        <f>IF('[7]BASE'!HP70=0,"",'[7]BASE'!HP70)</f>
      </c>
      <c r="R70" s="1776">
        <f>IF('[7]BASE'!HQ70=0,"",'[7]BASE'!HQ70)</f>
      </c>
      <c r="S70" s="1776">
        <f>IF('[7]BASE'!HR70=0,"",'[7]BASE'!HR70)</f>
      </c>
      <c r="T70" s="1777"/>
      <c r="U70" s="1774"/>
    </row>
    <row r="71" spans="2:21" s="1768" customFormat="1" ht="19.5" customHeight="1">
      <c r="B71" s="1769"/>
      <c r="C71" s="1775">
        <f>IF('[7]BASE'!C71=0,"",'[7]BASE'!C71)</f>
        <v>52</v>
      </c>
      <c r="D71" s="1775" t="str">
        <f>IF('[7]BASE'!D71=0,"",'[7]BASE'!D71)</f>
        <v>RAMALLO - VILLA LIA  1</v>
      </c>
      <c r="E71" s="1775">
        <f>IF('[7]BASE'!E71=0,"",'[7]BASE'!E71)</f>
        <v>220</v>
      </c>
      <c r="F71" s="1775">
        <f>IF('[7]BASE'!F71=0,"",'[7]BASE'!F71)</f>
        <v>114</v>
      </c>
      <c r="G71" s="1775" t="str">
        <f>IF('[5]BASE'!G71=0,"",'[5]BASE'!G71)</f>
        <v>C</v>
      </c>
      <c r="H71" s="1776">
        <f>IF('[7]BASE'!HG71=0,"",'[7]BASE'!HG71)</f>
      </c>
      <c r="I71" s="1776">
        <f>IF('[7]BASE'!HH71=0,"",'[7]BASE'!HH71)</f>
      </c>
      <c r="J71" s="1776">
        <f>IF('[7]BASE'!HI71=0,"",'[7]BASE'!HI71)</f>
      </c>
      <c r="K71" s="1776">
        <f>IF('[7]BASE'!HJ71=0,"",'[7]BASE'!HJ71)</f>
      </c>
      <c r="L71" s="1776">
        <f>IF('[7]BASE'!HK71=0,"",'[7]BASE'!HK71)</f>
      </c>
      <c r="M71" s="1776">
        <f>IF('[7]BASE'!HL71=0,"",'[7]BASE'!HL71)</f>
      </c>
      <c r="N71" s="1776">
        <f>IF('[7]BASE'!HM71=0,"",'[7]BASE'!HM71)</f>
      </c>
      <c r="O71" s="1776">
        <f>IF('[7]BASE'!HN71=0,"",'[7]BASE'!HN71)</f>
      </c>
      <c r="P71" s="1776">
        <f>IF('[7]BASE'!HO71=0,"",'[7]BASE'!HO71)</f>
      </c>
      <c r="Q71" s="1776">
        <f>IF('[7]BASE'!HP71=0,"",'[7]BASE'!HP71)</f>
      </c>
      <c r="R71" s="1776">
        <f>IF('[7]BASE'!HQ71=0,"",'[7]BASE'!HQ71)</f>
      </c>
      <c r="S71" s="1776">
        <f>IF('[7]BASE'!HR71=0,"",'[7]BASE'!HR71)</f>
        <v>1</v>
      </c>
      <c r="T71" s="1777"/>
      <c r="U71" s="1774"/>
    </row>
    <row r="72" spans="2:21" s="1768" customFormat="1" ht="19.5" customHeight="1">
      <c r="B72" s="1769"/>
      <c r="C72" s="1775">
        <f>IF('[7]BASE'!C72=0,"",'[7]BASE'!C72)</f>
        <v>53</v>
      </c>
      <c r="D72" s="1775" t="str">
        <f>IF('[7]BASE'!D72=0,"",'[7]BASE'!D72)</f>
        <v>RAMALLO - VILLA LIA  2</v>
      </c>
      <c r="E72" s="1775">
        <f>IF('[7]BASE'!E72=0,"",'[7]BASE'!E72)</f>
        <v>220</v>
      </c>
      <c r="F72" s="1775">
        <f>IF('[7]BASE'!F72=0,"",'[7]BASE'!F72)</f>
        <v>114</v>
      </c>
      <c r="G72" s="1775" t="str">
        <f>IF('[5]BASE'!G72=0,"",'[5]BASE'!G72)</f>
        <v>C</v>
      </c>
      <c r="H72" s="1776">
        <f>IF('[7]BASE'!HG72=0,"",'[7]BASE'!HG72)</f>
      </c>
      <c r="I72" s="1776">
        <f>IF('[7]BASE'!HH72=0,"",'[7]BASE'!HH72)</f>
      </c>
      <c r="J72" s="1776">
        <f>IF('[7]BASE'!HI72=0,"",'[7]BASE'!HI72)</f>
      </c>
      <c r="K72" s="1776">
        <f>IF('[7]BASE'!HJ72=0,"",'[7]BASE'!HJ72)</f>
      </c>
      <c r="L72" s="1776">
        <f>IF('[7]BASE'!HK72=0,"",'[7]BASE'!HK72)</f>
      </c>
      <c r="M72" s="1776">
        <f>IF('[7]BASE'!HL72=0,"",'[7]BASE'!HL72)</f>
      </c>
      <c r="N72" s="1776">
        <f>IF('[7]BASE'!HM72=0,"",'[7]BASE'!HM72)</f>
      </c>
      <c r="O72" s="1776">
        <f>IF('[7]BASE'!HN72=0,"",'[7]BASE'!HN72)</f>
      </c>
      <c r="P72" s="1776">
        <f>IF('[7]BASE'!HO72=0,"",'[7]BASE'!HO72)</f>
      </c>
      <c r="Q72" s="1776">
        <f>IF('[7]BASE'!HP72=0,"",'[7]BASE'!HP72)</f>
      </c>
      <c r="R72" s="1776">
        <f>IF('[7]BASE'!HQ72=0,"",'[7]BASE'!HQ72)</f>
      </c>
      <c r="S72" s="1776">
        <f>IF('[7]BASE'!HR72=0,"",'[7]BASE'!HR72)</f>
      </c>
      <c r="T72" s="1777"/>
      <c r="U72" s="1774"/>
    </row>
    <row r="73" spans="2:21" s="1768" customFormat="1" ht="19.5" customHeight="1">
      <c r="B73" s="1769"/>
      <c r="C73" s="1775">
        <f>IF('[7]BASE'!C73=0,"",'[7]BASE'!C73)</f>
        <v>54</v>
      </c>
      <c r="D73" s="1775" t="str">
        <f>IF('[7]BASE'!D73=0,"",'[7]BASE'!D73)</f>
        <v>ROSARIO OESTE - RAMALLO  1</v>
      </c>
      <c r="E73" s="1775">
        <f>IF('[7]BASE'!E73=0,"",'[7]BASE'!E73)</f>
        <v>220</v>
      </c>
      <c r="F73" s="1775">
        <f>IF('[7]BASE'!F73=0,"",'[7]BASE'!F73)</f>
        <v>77</v>
      </c>
      <c r="G73" s="1775" t="str">
        <f>IF('[5]BASE'!G73=0,"",'[5]BASE'!G73)</f>
        <v>C</v>
      </c>
      <c r="H73" s="1776">
        <f>IF('[7]BASE'!HG73=0,"",'[7]BASE'!HG73)</f>
      </c>
      <c r="I73" s="1776">
        <f>IF('[7]BASE'!HH73=0,"",'[7]BASE'!HH73)</f>
      </c>
      <c r="J73" s="1776">
        <f>IF('[7]BASE'!HI73=0,"",'[7]BASE'!HI73)</f>
      </c>
      <c r="K73" s="1776">
        <f>IF('[7]BASE'!HJ73=0,"",'[7]BASE'!HJ73)</f>
      </c>
      <c r="L73" s="1776">
        <f>IF('[7]BASE'!HK73=0,"",'[7]BASE'!HK73)</f>
      </c>
      <c r="M73" s="1776">
        <f>IF('[7]BASE'!HL73=0,"",'[7]BASE'!HL73)</f>
      </c>
      <c r="N73" s="1776">
        <f>IF('[7]BASE'!HM73=0,"",'[7]BASE'!HM73)</f>
      </c>
      <c r="O73" s="1776">
        <f>IF('[7]BASE'!HN73=0,"",'[7]BASE'!HN73)</f>
      </c>
      <c r="P73" s="1776">
        <f>IF('[7]BASE'!HO73=0,"",'[7]BASE'!HO73)</f>
      </c>
      <c r="Q73" s="1776">
        <f>IF('[7]BASE'!HP73=0,"",'[7]BASE'!HP73)</f>
      </c>
      <c r="R73" s="1776">
        <f>IF('[7]BASE'!HQ73=0,"",'[7]BASE'!HQ73)</f>
      </c>
      <c r="S73" s="1776">
        <f>IF('[7]BASE'!HR73=0,"",'[7]BASE'!HR73)</f>
      </c>
      <c r="T73" s="1777"/>
      <c r="U73" s="1774"/>
    </row>
    <row r="74" spans="2:21" s="1768" customFormat="1" ht="19.5" customHeight="1">
      <c r="B74" s="1769"/>
      <c r="C74" s="1775">
        <f>IF('[7]BASE'!C74=0,"",'[7]BASE'!C74)</f>
        <v>55</v>
      </c>
      <c r="D74" s="1775" t="str">
        <f>IF('[7]BASE'!D74=0,"",'[7]BASE'!D74)</f>
        <v>ROSARIO OESTE - RAMALLO  2</v>
      </c>
      <c r="E74" s="1775">
        <f>IF('[7]BASE'!E74=0,"",'[7]BASE'!E74)</f>
        <v>220</v>
      </c>
      <c r="F74" s="1775">
        <f>IF('[7]BASE'!F74=0,"",'[7]BASE'!F74)</f>
        <v>77</v>
      </c>
      <c r="G74" s="1775" t="str">
        <f>IF('[5]BASE'!G74=0,"",'[5]BASE'!G74)</f>
        <v>C</v>
      </c>
      <c r="H74" s="1776">
        <f>IF('[7]BASE'!HG74=0,"",'[7]BASE'!HG74)</f>
      </c>
      <c r="I74" s="1776">
        <f>IF('[7]BASE'!HH74=0,"",'[7]BASE'!HH74)</f>
      </c>
      <c r="J74" s="1776">
        <f>IF('[7]BASE'!HI74=0,"",'[7]BASE'!HI74)</f>
        <v>1</v>
      </c>
      <c r="K74" s="1776">
        <f>IF('[7]BASE'!HJ74=0,"",'[7]BASE'!HJ74)</f>
      </c>
      <c r="L74" s="1776">
        <f>IF('[7]BASE'!HK74=0,"",'[7]BASE'!HK74)</f>
      </c>
      <c r="M74" s="1776">
        <f>IF('[7]BASE'!HL74=0,"",'[7]BASE'!HL74)</f>
      </c>
      <c r="N74" s="1776">
        <f>IF('[7]BASE'!HM74=0,"",'[7]BASE'!HM74)</f>
      </c>
      <c r="O74" s="1776">
        <f>IF('[7]BASE'!HN74=0,"",'[7]BASE'!HN74)</f>
      </c>
      <c r="P74" s="1776">
        <f>IF('[7]BASE'!HO74=0,"",'[7]BASE'!HO74)</f>
      </c>
      <c r="Q74" s="1776">
        <f>IF('[7]BASE'!HP74=0,"",'[7]BASE'!HP74)</f>
      </c>
      <c r="R74" s="1776">
        <f>IF('[7]BASE'!HQ74=0,"",'[7]BASE'!HQ74)</f>
      </c>
      <c r="S74" s="1776">
        <f>IF('[7]BASE'!HR74=0,"",'[7]BASE'!HR74)</f>
      </c>
      <c r="T74" s="1777"/>
      <c r="U74" s="1774"/>
    </row>
    <row r="75" spans="2:21" s="1768" customFormat="1" ht="19.5" customHeight="1">
      <c r="B75" s="1769"/>
      <c r="C75" s="1775">
        <f>IF('[7]BASE'!C75=0,"",'[7]BASE'!C75)</f>
        <v>56</v>
      </c>
      <c r="D75" s="1775" t="str">
        <f>IF('[7]BASE'!D75=0,"",'[7]BASE'!D75)</f>
        <v>VILLA LIA - ATUCHA 1</v>
      </c>
      <c r="E75" s="1775">
        <f>IF('[7]BASE'!E75=0,"",'[7]BASE'!E75)</f>
        <v>220</v>
      </c>
      <c r="F75" s="1775">
        <f>IF('[7]BASE'!F75=0,"",'[7]BASE'!F75)</f>
        <v>26</v>
      </c>
      <c r="G75" s="1775" t="str">
        <f>IF('[5]BASE'!G75=0,"",'[5]BASE'!G75)</f>
        <v>C</v>
      </c>
      <c r="H75" s="1776">
        <f>IF('[7]BASE'!HG75=0,"",'[7]BASE'!HG75)</f>
      </c>
      <c r="I75" s="1776">
        <f>IF('[7]BASE'!HH75=0,"",'[7]BASE'!HH75)</f>
      </c>
      <c r="J75" s="1776">
        <f>IF('[7]BASE'!HI75=0,"",'[7]BASE'!HI75)</f>
      </c>
      <c r="K75" s="1776">
        <f>IF('[7]BASE'!HJ75=0,"",'[7]BASE'!HJ75)</f>
      </c>
      <c r="L75" s="1776">
        <f>IF('[7]BASE'!HK75=0,"",'[7]BASE'!HK75)</f>
      </c>
      <c r="M75" s="1776">
        <f>IF('[7]BASE'!HL75=0,"",'[7]BASE'!HL75)</f>
      </c>
      <c r="N75" s="1776">
        <f>IF('[7]BASE'!HM75=0,"",'[7]BASE'!HM75)</f>
      </c>
      <c r="O75" s="1776">
        <f>IF('[7]BASE'!HN75=0,"",'[7]BASE'!HN75)</f>
      </c>
      <c r="P75" s="1776">
        <f>IF('[7]BASE'!HO75=0,"",'[7]BASE'!HO75)</f>
      </c>
      <c r="Q75" s="1776">
        <f>IF('[7]BASE'!HP75=0,"",'[7]BASE'!HP75)</f>
      </c>
      <c r="R75" s="1776">
        <f>IF('[7]BASE'!HQ75=0,"",'[7]BASE'!HQ75)</f>
      </c>
      <c r="S75" s="1776">
        <f>IF('[7]BASE'!HR75=0,"",'[7]BASE'!HR75)</f>
      </c>
      <c r="T75" s="1777"/>
      <c r="U75" s="1774"/>
    </row>
    <row r="76" spans="2:21" s="1768" customFormat="1" ht="19.5" customHeight="1">
      <c r="B76" s="1769"/>
      <c r="C76" s="1775">
        <f>IF('[7]BASE'!C76=0,"",'[7]BASE'!C76)</f>
        <v>57</v>
      </c>
      <c r="D76" s="1775" t="str">
        <f>IF('[7]BASE'!D76=0,"",'[7]BASE'!D76)</f>
        <v>VILLA LIA - ATUCHA 2</v>
      </c>
      <c r="E76" s="1775">
        <f>IF('[7]BASE'!E76=0,"",'[7]BASE'!E76)</f>
        <v>220</v>
      </c>
      <c r="F76" s="1775">
        <f>IF('[7]BASE'!F76=0,"",'[7]BASE'!F76)</f>
        <v>26</v>
      </c>
      <c r="G76" s="1775" t="str">
        <f>IF('[5]BASE'!G76=0,"",'[5]BASE'!G76)</f>
        <v>C</v>
      </c>
      <c r="H76" s="1776">
        <f>IF('[7]BASE'!HG76=0,"",'[7]BASE'!HG76)</f>
      </c>
      <c r="I76" s="1776">
        <f>IF('[7]BASE'!HH76=0,"",'[7]BASE'!HH76)</f>
      </c>
      <c r="J76" s="1776">
        <f>IF('[7]BASE'!HI76=0,"",'[7]BASE'!HI76)</f>
      </c>
      <c r="K76" s="1776">
        <f>IF('[7]BASE'!HJ76=0,"",'[7]BASE'!HJ76)</f>
      </c>
      <c r="L76" s="1776">
        <f>IF('[7]BASE'!HK76=0,"",'[7]BASE'!HK76)</f>
        <v>1</v>
      </c>
      <c r="M76" s="1776">
        <f>IF('[7]BASE'!HL76=0,"",'[7]BASE'!HL76)</f>
      </c>
      <c r="N76" s="1776">
        <f>IF('[7]BASE'!HM76=0,"",'[7]BASE'!HM76)</f>
      </c>
      <c r="O76" s="1776">
        <f>IF('[7]BASE'!HN76=0,"",'[7]BASE'!HN76)</f>
      </c>
      <c r="P76" s="1776">
        <f>IF('[7]BASE'!HO76=0,"",'[7]BASE'!HO76)</f>
      </c>
      <c r="Q76" s="1776">
        <f>IF('[7]BASE'!HP76=0,"",'[7]BASE'!HP76)</f>
      </c>
      <c r="R76" s="1776">
        <f>IF('[7]BASE'!HQ76=0,"",'[7]BASE'!HQ76)</f>
      </c>
      <c r="S76" s="1776">
        <f>IF('[7]BASE'!HR76=0,"",'[7]BASE'!HR76)</f>
      </c>
      <c r="T76" s="1777"/>
      <c r="U76" s="1774"/>
    </row>
    <row r="77" spans="2:21" s="1768" customFormat="1" ht="19.5" customHeight="1">
      <c r="B77" s="1769"/>
      <c r="C77" s="1775">
        <f>IF('[7]BASE'!C77=0,"",'[7]BASE'!C77)</f>
      </c>
      <c r="D77" s="1775">
        <f>IF('[7]BASE'!D77=0,"",'[7]BASE'!D77)</f>
      </c>
      <c r="E77" s="1775">
        <f>IF('[7]BASE'!E77=0,"",'[7]BASE'!E77)</f>
      </c>
      <c r="F77" s="1775">
        <f>IF('[7]BASE'!F77=0,"",'[7]BASE'!F77)</f>
      </c>
      <c r="G77" s="1775" t="str">
        <f>IF('[5]BASE'!G77=0,"",'[5]BASE'!G77)</f>
        <v>C</v>
      </c>
      <c r="H77" s="1776">
        <f>IF('[7]BASE'!HG77=0,"",'[7]BASE'!HG77)</f>
      </c>
      <c r="I77" s="1776">
        <f>IF('[7]BASE'!HH77=0,"",'[7]BASE'!HH77)</f>
      </c>
      <c r="J77" s="1776">
        <f>IF('[7]BASE'!HI77=0,"",'[7]BASE'!HI77)</f>
      </c>
      <c r="K77" s="1776">
        <f>IF('[7]BASE'!HJ77=0,"",'[7]BASE'!HJ77)</f>
      </c>
      <c r="L77" s="1776">
        <f>IF('[7]BASE'!HK77=0,"",'[7]BASE'!HK77)</f>
      </c>
      <c r="M77" s="1776">
        <f>IF('[7]BASE'!HL77=0,"",'[7]BASE'!HL77)</f>
      </c>
      <c r="N77" s="1776">
        <f>IF('[7]BASE'!HM77=0,"",'[7]BASE'!HM77)</f>
      </c>
      <c r="O77" s="1776">
        <f>IF('[7]BASE'!HN77=0,"",'[7]BASE'!HN77)</f>
      </c>
      <c r="P77" s="1776">
        <f>IF('[7]BASE'!HO77=0,"",'[7]BASE'!HO77)</f>
      </c>
      <c r="Q77" s="1776">
        <f>IF('[7]BASE'!HP77=0,"",'[7]BASE'!HP77)</f>
      </c>
      <c r="R77" s="1776">
        <f>IF('[7]BASE'!HQ77=0,"",'[7]BASE'!HQ77)</f>
      </c>
      <c r="S77" s="1776">
        <f>IF('[7]BASE'!HR77=0,"",'[7]BASE'!HR77)</f>
      </c>
      <c r="T77" s="1777"/>
      <c r="U77" s="1774"/>
    </row>
    <row r="78" spans="2:21" s="1768" customFormat="1" ht="19.5" customHeight="1">
      <c r="B78" s="1769"/>
      <c r="C78" s="1775">
        <f>IF('[7]BASE'!C78=0,"",'[7]BASE'!C78)</f>
        <v>58</v>
      </c>
      <c r="D78" s="1775" t="str">
        <f>IF('[7]BASE'!D78=0,"",'[7]BASE'!D78)</f>
        <v>GRAL RODRIGUEZ - RAMALLO</v>
      </c>
      <c r="E78" s="1775">
        <f>IF('[7]BASE'!E78=0,"",'[7]BASE'!E78)</f>
        <v>500</v>
      </c>
      <c r="F78" s="1775">
        <f>IF('[7]BASE'!F78=0,"",'[7]BASE'!F78)</f>
        <v>183.9</v>
      </c>
      <c r="G78" s="1775" t="str">
        <f>IF('[5]BASE'!G78=0,"",'[5]BASE'!G78)</f>
        <v>A</v>
      </c>
      <c r="H78" s="1776">
        <f>IF('[7]BASE'!HG78=0,"",'[7]BASE'!HG78)</f>
        <v>1</v>
      </c>
      <c r="I78" s="1776">
        <f>IF('[7]BASE'!HH78=0,"",'[7]BASE'!HH78)</f>
      </c>
      <c r="J78" s="1776">
        <f>IF('[7]BASE'!HI78=0,"",'[7]BASE'!HI78)</f>
      </c>
      <c r="K78" s="1776">
        <f>IF('[7]BASE'!HJ78=0,"",'[7]BASE'!HJ78)</f>
        <v>1</v>
      </c>
      <c r="L78" s="1776">
        <f>IF('[7]BASE'!HK78=0,"",'[7]BASE'!HK78)</f>
        <v>1</v>
      </c>
      <c r="M78" s="1776">
        <f>IF('[7]BASE'!HL78=0,"",'[7]BASE'!HL78)</f>
      </c>
      <c r="N78" s="1776">
        <f>IF('[7]BASE'!HM78=0,"",'[7]BASE'!HM78)</f>
      </c>
      <c r="O78" s="1776">
        <f>IF('[7]BASE'!HN78=0,"",'[7]BASE'!HN78)</f>
      </c>
      <c r="P78" s="1776">
        <f>IF('[7]BASE'!HO78=0,"",'[7]BASE'!HO78)</f>
      </c>
      <c r="Q78" s="1776">
        <f>IF('[7]BASE'!HP78=0,"",'[7]BASE'!HP78)</f>
        <v>1</v>
      </c>
      <c r="R78" s="1776">
        <f>IF('[7]BASE'!HQ78=0,"",'[7]BASE'!HQ78)</f>
      </c>
      <c r="S78" s="1776">
        <f>IF('[7]BASE'!HR78=0,"",'[7]BASE'!HR78)</f>
      </c>
      <c r="T78" s="1777"/>
      <c r="U78" s="1774"/>
    </row>
    <row r="79" spans="2:21" s="1768" customFormat="1" ht="19.5" customHeight="1">
      <c r="B79" s="1769"/>
      <c r="C79" s="1775">
        <f>IF('[7]BASE'!C79=0,"",'[7]BASE'!C79)</f>
        <v>59</v>
      </c>
      <c r="D79" s="1775" t="str">
        <f>IF('[7]BASE'!D79=0,"",'[7]BASE'!D79)</f>
        <v>RAMALLO - ROSARIO OESTE</v>
      </c>
      <c r="E79" s="1775">
        <f>IF('[7]BASE'!E79=0,"",'[7]BASE'!E79)</f>
        <v>500</v>
      </c>
      <c r="F79" s="1775">
        <f>IF('[7]BASE'!F79=0,"",'[7]BASE'!F79)</f>
        <v>77</v>
      </c>
      <c r="G79" s="1775" t="str">
        <f>IF('[5]BASE'!G79=0,"",'[5]BASE'!G79)</f>
        <v>A</v>
      </c>
      <c r="H79" s="1776">
        <f>IF('[7]BASE'!HG79=0,"",'[7]BASE'!HG79)</f>
      </c>
      <c r="I79" s="1776">
        <f>IF('[7]BASE'!HH79=0,"",'[7]BASE'!HH79)</f>
      </c>
      <c r="J79" s="1776">
        <f>IF('[7]BASE'!HI79=0,"",'[7]BASE'!HI79)</f>
      </c>
      <c r="K79" s="1776">
        <f>IF('[7]BASE'!HJ79=0,"",'[7]BASE'!HJ79)</f>
      </c>
      <c r="L79" s="1776">
        <f>IF('[7]BASE'!HK79=0,"",'[7]BASE'!HK79)</f>
      </c>
      <c r="M79" s="1776">
        <f>IF('[7]BASE'!HL79=0,"",'[7]BASE'!HL79)</f>
      </c>
      <c r="N79" s="1776">
        <f>IF('[7]BASE'!HM79=0,"",'[7]BASE'!HM79)</f>
      </c>
      <c r="O79" s="1776">
        <f>IF('[7]BASE'!HN79=0,"",'[7]BASE'!HN79)</f>
      </c>
      <c r="P79" s="1776">
        <f>IF('[7]BASE'!HO79=0,"",'[7]BASE'!HO79)</f>
      </c>
      <c r="Q79" s="1776">
        <f>IF('[7]BASE'!HP79=0,"",'[7]BASE'!HP79)</f>
      </c>
      <c r="R79" s="1776">
        <f>IF('[7]BASE'!HQ79=0,"",'[7]BASE'!HQ79)</f>
      </c>
      <c r="S79" s="1776">
        <f>IF('[7]BASE'!HR79=0,"",'[7]BASE'!HR79)</f>
      </c>
      <c r="T79" s="1777"/>
      <c r="U79" s="1774"/>
    </row>
    <row r="80" spans="2:21" s="1768" customFormat="1" ht="19.5" customHeight="1">
      <c r="B80" s="1769"/>
      <c r="C80" s="1775">
        <f>IF('[7]BASE'!C80=0,"",'[7]BASE'!C80)</f>
        <v>60</v>
      </c>
      <c r="D80" s="1775" t="str">
        <f>IF('[7]BASE'!D80=0,"",'[7]BASE'!D80)</f>
        <v>MACACHIN - HENDERSON</v>
      </c>
      <c r="E80" s="1775">
        <f>IF('[7]BASE'!E80=0,"",'[7]BASE'!E80)</f>
        <v>500</v>
      </c>
      <c r="F80" s="1775">
        <f>IF('[7]BASE'!F80=0,"",'[7]BASE'!F80)</f>
        <v>194</v>
      </c>
      <c r="G80" s="1775" t="str">
        <f>IF('[5]BASE'!G80=0,"",'[5]BASE'!G80)</f>
        <v>A</v>
      </c>
      <c r="H80" s="1776">
        <f>IF('[7]BASE'!HG80=0,"",'[7]BASE'!HG80)</f>
      </c>
      <c r="I80" s="1776">
        <f>IF('[7]BASE'!HH80=0,"",'[7]BASE'!HH80)</f>
      </c>
      <c r="J80" s="1776">
        <f>IF('[7]BASE'!HI80=0,"",'[7]BASE'!HI80)</f>
      </c>
      <c r="K80" s="1776">
        <f>IF('[7]BASE'!HJ80=0,"",'[7]BASE'!HJ80)</f>
      </c>
      <c r="L80" s="1776">
        <f>IF('[7]BASE'!HK80=0,"",'[7]BASE'!HK80)</f>
      </c>
      <c r="M80" s="1776">
        <f>IF('[7]BASE'!HL80=0,"",'[7]BASE'!HL80)</f>
      </c>
      <c r="N80" s="1776">
        <f>IF('[7]BASE'!HM80=0,"",'[7]BASE'!HM80)</f>
      </c>
      <c r="O80" s="1776">
        <f>IF('[7]BASE'!HN80=0,"",'[7]BASE'!HN80)</f>
      </c>
      <c r="P80" s="1776">
        <f>IF('[7]BASE'!HO80=0,"",'[7]BASE'!HO80)</f>
      </c>
      <c r="Q80" s="1776">
        <f>IF('[7]BASE'!HP80=0,"",'[7]BASE'!HP80)</f>
      </c>
      <c r="R80" s="1776">
        <f>IF('[7]BASE'!HQ80=0,"",'[7]BASE'!HQ80)</f>
      </c>
      <c r="S80" s="1776">
        <f>IF('[7]BASE'!HR80=0,"",'[7]BASE'!HR80)</f>
      </c>
      <c r="T80" s="1777"/>
      <c r="U80" s="1774"/>
    </row>
    <row r="81" spans="2:21" s="1768" customFormat="1" ht="19.5" customHeight="1">
      <c r="B81" s="1769"/>
      <c r="C81" s="1775">
        <f>IF('[7]BASE'!C81=0,"",'[7]BASE'!C81)</f>
        <v>61</v>
      </c>
      <c r="D81" s="1775" t="str">
        <f>IF('[7]BASE'!D81=0,"",'[7]BASE'!D81)</f>
        <v>PUELCHES - MACACHIN</v>
      </c>
      <c r="E81" s="1775">
        <f>IF('[7]BASE'!E81=0,"",'[7]BASE'!E81)</f>
        <v>500</v>
      </c>
      <c r="F81" s="1775">
        <f>IF('[7]BASE'!F81=0,"",'[7]BASE'!F81)</f>
        <v>227</v>
      </c>
      <c r="G81" s="1775" t="str">
        <f>IF('[5]BASE'!G81=0,"",'[5]BASE'!G81)</f>
        <v>A</v>
      </c>
      <c r="H81" s="1776">
        <f>IF('[7]BASE'!HG81=0,"",'[7]BASE'!HG81)</f>
      </c>
      <c r="I81" s="1776">
        <f>IF('[7]BASE'!HH81=0,"",'[7]BASE'!HH81)</f>
      </c>
      <c r="J81" s="1776">
        <f>IF('[7]BASE'!HI81=0,"",'[7]BASE'!HI81)</f>
      </c>
      <c r="K81" s="1776">
        <f>IF('[7]BASE'!HJ81=0,"",'[7]BASE'!HJ81)</f>
      </c>
      <c r="L81" s="1776">
        <f>IF('[7]BASE'!HK81=0,"",'[7]BASE'!HK81)</f>
      </c>
      <c r="M81" s="1776">
        <f>IF('[7]BASE'!HL81=0,"",'[7]BASE'!HL81)</f>
      </c>
      <c r="N81" s="1776">
        <f>IF('[7]BASE'!HM81=0,"",'[7]BASE'!HM81)</f>
      </c>
      <c r="O81" s="1776">
        <f>IF('[7]BASE'!HN81=0,"",'[7]BASE'!HN81)</f>
      </c>
      <c r="P81" s="1776">
        <f>IF('[7]BASE'!HO81=0,"",'[7]BASE'!HO81)</f>
      </c>
      <c r="Q81" s="1776">
        <f>IF('[7]BASE'!HP81=0,"",'[7]BASE'!HP81)</f>
      </c>
      <c r="R81" s="1776">
        <f>IF('[7]BASE'!HQ81=0,"",'[7]BASE'!HQ81)</f>
      </c>
      <c r="S81" s="1776">
        <f>IF('[7]BASE'!HR81=0,"",'[7]BASE'!HR81)</f>
      </c>
      <c r="T81" s="1777"/>
      <c r="U81" s="1774"/>
    </row>
    <row r="82" spans="2:21" s="1768" customFormat="1" ht="19.5" customHeight="1">
      <c r="B82" s="1769"/>
      <c r="C82" s="1775">
        <f>IF('[7]BASE'!C82=0,"",'[7]BASE'!C82)</f>
      </c>
      <c r="D82" s="1775">
        <f>IF('[7]BASE'!D82=0,"",'[7]BASE'!D82)</f>
      </c>
      <c r="E82" s="1775">
        <f>IF('[7]BASE'!E82=0,"",'[7]BASE'!E82)</f>
      </c>
      <c r="F82" s="1775">
        <f>IF('[7]BASE'!F82=0,"",'[7]BASE'!F82)</f>
      </c>
      <c r="G82" s="1775" t="str">
        <f>IF('[5]BASE'!G82=0,"",'[5]BASE'!G82)</f>
        <v>B</v>
      </c>
      <c r="H82" s="1776">
        <f>IF('[7]BASE'!HG82=0,"",'[7]BASE'!HG82)</f>
      </c>
      <c r="I82" s="1776">
        <f>IF('[7]BASE'!HH82=0,"",'[7]BASE'!HH82)</f>
      </c>
      <c r="J82" s="1776">
        <f>IF('[7]BASE'!HI82=0,"",'[7]BASE'!HI82)</f>
      </c>
      <c r="K82" s="1776">
        <f>IF('[7]BASE'!HJ82=0,"",'[7]BASE'!HJ82)</f>
      </c>
      <c r="L82" s="1776">
        <f>IF('[7]BASE'!HK82=0,"",'[7]BASE'!HK82)</f>
      </c>
      <c r="M82" s="1776">
        <f>IF('[7]BASE'!HL82=0,"",'[7]BASE'!HL82)</f>
      </c>
      <c r="N82" s="1776">
        <f>IF('[7]BASE'!HM82=0,"",'[7]BASE'!HM82)</f>
      </c>
      <c r="O82" s="1776">
        <f>IF('[7]BASE'!HN82=0,"",'[7]BASE'!HN82)</f>
      </c>
      <c r="P82" s="1776">
        <f>IF('[7]BASE'!HO82=0,"",'[7]BASE'!HO82)</f>
      </c>
      <c r="Q82" s="1776">
        <f>IF('[7]BASE'!HP82=0,"",'[7]BASE'!HP82)</f>
      </c>
      <c r="R82" s="1776">
        <f>IF('[7]BASE'!HQ82=0,"",'[7]BASE'!HQ82)</f>
      </c>
      <c r="S82" s="1776">
        <f>IF('[7]BASE'!HR82=0,"",'[7]BASE'!HR82)</f>
      </c>
      <c r="T82" s="1777"/>
      <c r="U82" s="1774"/>
    </row>
    <row r="83" spans="2:21" s="1768" customFormat="1" ht="19.5" customHeight="1">
      <c r="B83" s="1769"/>
      <c r="C83" s="1775">
        <f>IF('[7]BASE'!C83=0,"",'[7]BASE'!C83)</f>
      </c>
      <c r="D83" s="1775">
        <f>IF('[7]BASE'!D83=0,"",'[7]BASE'!D83)</f>
      </c>
      <c r="E83" s="1775">
        <f>IF('[7]BASE'!E83=0,"",'[7]BASE'!E83)</f>
      </c>
      <c r="F83" s="1775">
        <f>IF('[7]BASE'!F83=0,"",'[7]BASE'!F83)</f>
      </c>
      <c r="G83" s="1775" t="str">
        <f>IF('[5]BASE'!G83=0,"",'[5]BASE'!G83)</f>
        <v>B</v>
      </c>
      <c r="H83" s="1776">
        <f>IF('[7]BASE'!HG83=0,"",'[7]BASE'!HG83)</f>
      </c>
      <c r="I83" s="1776">
        <f>IF('[7]BASE'!HH83=0,"",'[7]BASE'!HH83)</f>
      </c>
      <c r="J83" s="1776">
        <f>IF('[7]BASE'!HI83=0,"",'[7]BASE'!HI83)</f>
      </c>
      <c r="K83" s="1776">
        <f>IF('[7]BASE'!HJ83=0,"",'[7]BASE'!HJ83)</f>
      </c>
      <c r="L83" s="1776">
        <f>IF('[7]BASE'!HK83=0,"",'[7]BASE'!HK83)</f>
      </c>
      <c r="M83" s="1776">
        <f>IF('[7]BASE'!HL83=0,"",'[7]BASE'!HL83)</f>
      </c>
      <c r="N83" s="1776">
        <f>IF('[7]BASE'!HM83=0,"",'[7]BASE'!HM83)</f>
      </c>
      <c r="O83" s="1776">
        <f>IF('[7]BASE'!HN83=0,"",'[7]BASE'!HN83)</f>
      </c>
      <c r="P83" s="1776">
        <f>IF('[7]BASE'!HO83=0,"",'[7]BASE'!HO83)</f>
      </c>
      <c r="Q83" s="1776">
        <f>IF('[7]BASE'!HP83=0,"",'[7]BASE'!HP83)</f>
      </c>
      <c r="R83" s="1776">
        <f>IF('[7]BASE'!HQ83=0,"",'[7]BASE'!HQ83)</f>
      </c>
      <c r="S83" s="1776">
        <f>IF('[7]BASE'!HR83=0,"",'[7]BASE'!HR83)</f>
      </c>
      <c r="T83" s="1777"/>
      <c r="U83" s="1774"/>
    </row>
    <row r="84" spans="2:21" s="1768" customFormat="1" ht="19.5" customHeight="1">
      <c r="B84" s="1769"/>
      <c r="C84" s="1775">
        <f>IF('[7]BASE'!C84=0,"",'[7]BASE'!C84)</f>
        <v>62</v>
      </c>
      <c r="D84" s="1775" t="str">
        <f>IF('[7]BASE'!D84=0,"",'[7]BASE'!D84)</f>
        <v>YACYRETÁ - RINCON I</v>
      </c>
      <c r="E84" s="1775">
        <f>IF('[7]BASE'!E84=0,"",'[7]BASE'!E84)</f>
        <v>500</v>
      </c>
      <c r="F84" s="1775">
        <f>IF('[7]BASE'!F84=0,"",'[7]BASE'!F84)</f>
        <v>3.6</v>
      </c>
      <c r="G84" s="1775" t="str">
        <f>IF('[5]BASE'!G84=0,"",'[5]BASE'!G84)</f>
        <v>B</v>
      </c>
      <c r="H84" s="1776">
        <f>IF('[7]BASE'!HG84=0,"",'[7]BASE'!HG84)</f>
      </c>
      <c r="I84" s="1776">
        <f>IF('[7]BASE'!HH84=0,"",'[7]BASE'!HH84)</f>
      </c>
      <c r="J84" s="1776">
        <f>IF('[7]BASE'!HI84=0,"",'[7]BASE'!HI84)</f>
      </c>
      <c r="K84" s="1776">
        <f>IF('[7]BASE'!HJ84=0,"",'[7]BASE'!HJ84)</f>
      </c>
      <c r="L84" s="1776">
        <f>IF('[7]BASE'!HK84=0,"",'[7]BASE'!HK84)</f>
      </c>
      <c r="M84" s="1776">
        <f>IF('[7]BASE'!HL84=0,"",'[7]BASE'!HL84)</f>
      </c>
      <c r="N84" s="1776">
        <f>IF('[7]BASE'!HM84=0,"",'[7]BASE'!HM84)</f>
      </c>
      <c r="O84" s="1776">
        <f>IF('[7]BASE'!HN84=0,"",'[7]BASE'!HN84)</f>
      </c>
      <c r="P84" s="1776">
        <f>IF('[7]BASE'!HO84=0,"",'[7]BASE'!HO84)</f>
      </c>
      <c r="Q84" s="1776">
        <f>IF('[7]BASE'!HP84=0,"",'[7]BASE'!HP84)</f>
      </c>
      <c r="R84" s="1776">
        <f>IF('[7]BASE'!HQ84=0,"",'[7]BASE'!HQ84)</f>
      </c>
      <c r="S84" s="1776">
        <f>IF('[7]BASE'!HR84=0,"",'[7]BASE'!HR84)</f>
      </c>
      <c r="T84" s="1777"/>
      <c r="U84" s="1774"/>
    </row>
    <row r="85" spans="2:21" s="1768" customFormat="1" ht="19.5" customHeight="1">
      <c r="B85" s="1769"/>
      <c r="C85" s="1775">
        <f>IF('[7]BASE'!C85=0,"",'[7]BASE'!C85)</f>
        <v>63</v>
      </c>
      <c r="D85" s="1775" t="str">
        <f>IF('[7]BASE'!D85=0,"",'[7]BASE'!D85)</f>
        <v>YACYRETÁ - RINCON II</v>
      </c>
      <c r="E85" s="1775">
        <f>IF('[7]BASE'!E85=0,"",'[7]BASE'!E85)</f>
        <v>500</v>
      </c>
      <c r="F85" s="1775">
        <f>IF('[7]BASE'!F85=0,"",'[7]BASE'!F85)</f>
        <v>3.6</v>
      </c>
      <c r="G85" s="1775" t="str">
        <f>IF('[5]BASE'!G85=0,"",'[5]BASE'!G85)</f>
        <v>A</v>
      </c>
      <c r="H85" s="1776">
        <f>IF('[7]BASE'!HG85=0,"",'[7]BASE'!HG85)</f>
      </c>
      <c r="I85" s="1776">
        <f>IF('[7]BASE'!HH85=0,"",'[7]BASE'!HH85)</f>
      </c>
      <c r="J85" s="1776">
        <f>IF('[7]BASE'!HI85=0,"",'[7]BASE'!HI85)</f>
      </c>
      <c r="K85" s="1776">
        <f>IF('[7]BASE'!HJ85=0,"",'[7]BASE'!HJ85)</f>
      </c>
      <c r="L85" s="1776">
        <f>IF('[7]BASE'!HK85=0,"",'[7]BASE'!HK85)</f>
      </c>
      <c r="M85" s="1776">
        <f>IF('[7]BASE'!HL85=0,"",'[7]BASE'!HL85)</f>
      </c>
      <c r="N85" s="1776">
        <f>IF('[7]BASE'!HM85=0,"",'[7]BASE'!HM85)</f>
      </c>
      <c r="O85" s="1776">
        <f>IF('[7]BASE'!HN85=0,"",'[7]BASE'!HN85)</f>
      </c>
      <c r="P85" s="1776">
        <f>IF('[7]BASE'!HO85=0,"",'[7]BASE'!HO85)</f>
      </c>
      <c r="Q85" s="1776">
        <f>IF('[7]BASE'!HP85=0,"",'[7]BASE'!HP85)</f>
      </c>
      <c r="R85" s="1776">
        <f>IF('[7]BASE'!HQ85=0,"",'[7]BASE'!HQ85)</f>
      </c>
      <c r="S85" s="1776">
        <f>IF('[7]BASE'!HR85=0,"",'[7]BASE'!HR85)</f>
      </c>
      <c r="T85" s="1777"/>
      <c r="U85" s="1774"/>
    </row>
    <row r="86" spans="2:21" s="1768" customFormat="1" ht="19.5" customHeight="1">
      <c r="B86" s="1769"/>
      <c r="C86" s="1775">
        <f>IF('[7]BASE'!C86=0,"",'[7]BASE'!C86)</f>
        <v>64</v>
      </c>
      <c r="D86" s="1775" t="str">
        <f>IF('[7]BASE'!D86=0,"",'[7]BASE'!D86)</f>
        <v>YACYRETÁ - RINCON III</v>
      </c>
      <c r="E86" s="1775">
        <f>IF('[7]BASE'!E86=0,"",'[7]BASE'!E86)</f>
        <v>500</v>
      </c>
      <c r="F86" s="1775">
        <f>IF('[7]BASE'!F86=0,"",'[7]BASE'!F86)</f>
        <v>3.6</v>
      </c>
      <c r="G86" s="1775" t="str">
        <f>IF('[5]BASE'!G86=0,"",'[5]BASE'!G86)</f>
        <v>C</v>
      </c>
      <c r="H86" s="1776">
        <f>IF('[7]BASE'!HG86=0,"",'[7]BASE'!HG86)</f>
      </c>
      <c r="I86" s="1776">
        <f>IF('[7]BASE'!HH86=0,"",'[7]BASE'!HH86)</f>
      </c>
      <c r="J86" s="1776">
        <f>IF('[7]BASE'!HI86=0,"",'[7]BASE'!HI86)</f>
      </c>
      <c r="K86" s="1776">
        <f>IF('[7]BASE'!HJ86=0,"",'[7]BASE'!HJ86)</f>
      </c>
      <c r="L86" s="1776">
        <f>IF('[7]BASE'!HK86=0,"",'[7]BASE'!HK86)</f>
      </c>
      <c r="M86" s="1776">
        <f>IF('[7]BASE'!HL86=0,"",'[7]BASE'!HL86)</f>
      </c>
      <c r="N86" s="1776">
        <f>IF('[7]BASE'!HM86=0,"",'[7]BASE'!HM86)</f>
      </c>
      <c r="O86" s="1776">
        <f>IF('[7]BASE'!HN86=0,"",'[7]BASE'!HN86)</f>
      </c>
      <c r="P86" s="1776">
        <f>IF('[7]BASE'!HO86=0,"",'[7]BASE'!HO86)</f>
      </c>
      <c r="Q86" s="1776">
        <f>IF('[7]BASE'!HP86=0,"",'[7]BASE'!HP86)</f>
      </c>
      <c r="R86" s="1776">
        <f>IF('[7]BASE'!HQ86=0,"",'[7]BASE'!HQ86)</f>
      </c>
      <c r="S86" s="1776">
        <f>IF('[7]BASE'!HR86=0,"",'[7]BASE'!HR86)</f>
      </c>
      <c r="T86" s="1777"/>
      <c r="U86" s="1774"/>
    </row>
    <row r="87" spans="2:21" s="1768" customFormat="1" ht="19.5" customHeight="1">
      <c r="B87" s="1769"/>
      <c r="C87" s="1775">
        <f>IF('[7]BASE'!C87=0,"",'[7]BASE'!C87)</f>
        <v>65</v>
      </c>
      <c r="D87" s="1775" t="str">
        <f>IF('[7]BASE'!D87=0,"",'[7]BASE'!D87)</f>
        <v>RINCON - PASO DE LA PATRIA</v>
      </c>
      <c r="E87" s="1775">
        <f>IF('[7]BASE'!E87=0,"",'[7]BASE'!E87)</f>
        <v>500</v>
      </c>
      <c r="F87" s="1775">
        <f>IF('[7]BASE'!F87=0,"",'[7]BASE'!F87)</f>
        <v>227</v>
      </c>
      <c r="G87" s="1775" t="str">
        <f>IF('[5]BASE'!G87=0,"",'[5]BASE'!G87)</f>
        <v>B</v>
      </c>
      <c r="H87" s="1776">
        <f>IF('[7]BASE'!HG87=0,"",'[7]BASE'!HG87)</f>
      </c>
      <c r="I87" s="1776">
        <f>IF('[7]BASE'!HH87=0,"",'[7]BASE'!HH87)</f>
      </c>
      <c r="J87" s="1776">
        <f>IF('[7]BASE'!HI87=0,"",'[7]BASE'!HI87)</f>
      </c>
      <c r="K87" s="1776">
        <f>IF('[7]BASE'!HJ87=0,"",'[7]BASE'!HJ87)</f>
      </c>
      <c r="L87" s="1776">
        <f>IF('[7]BASE'!HK87=0,"",'[7]BASE'!HK87)</f>
      </c>
      <c r="M87" s="1776">
        <f>IF('[7]BASE'!HL87=0,"",'[7]BASE'!HL87)</f>
      </c>
      <c r="N87" s="1776">
        <f>IF('[7]BASE'!HM87=0,"",'[7]BASE'!HM87)</f>
      </c>
      <c r="O87" s="1776">
        <f>IF('[7]BASE'!HN87=0,"",'[7]BASE'!HN87)</f>
      </c>
      <c r="P87" s="1776">
        <f>IF('[7]BASE'!HO87=0,"",'[7]BASE'!HO87)</f>
      </c>
      <c r="Q87" s="1776">
        <f>IF('[7]BASE'!HP87=0,"",'[7]BASE'!HP87)</f>
      </c>
      <c r="R87" s="1776">
        <f>IF('[7]BASE'!HQ87=0,"",'[7]BASE'!HQ87)</f>
      </c>
      <c r="S87" s="1776">
        <f>IF('[7]BASE'!HR87=0,"",'[7]BASE'!HR87)</f>
      </c>
      <c r="T87" s="1777"/>
      <c r="U87" s="1774"/>
    </row>
    <row r="88" spans="2:21" s="1768" customFormat="1" ht="19.5" customHeight="1">
      <c r="B88" s="1769"/>
      <c r="C88" s="1775">
        <f>IF('[7]BASE'!C88=0,"",'[7]BASE'!C88)</f>
        <v>66</v>
      </c>
      <c r="D88" s="1775" t="str">
        <f>IF('[7]BASE'!D88=0,"",'[7]BASE'!D88)</f>
        <v>PASO DE LA PATRIA - RESISTENCIA</v>
      </c>
      <c r="E88" s="1775">
        <f>IF('[7]BASE'!E88=0,"",'[7]BASE'!E88)</f>
        <v>500</v>
      </c>
      <c r="F88" s="1775">
        <f>IF('[7]BASE'!F88=0,"",'[7]BASE'!F88)</f>
        <v>40</v>
      </c>
      <c r="G88" s="1775" t="str">
        <f>IF('[5]BASE'!G88=0,"",'[5]BASE'!G88)</f>
        <v>C</v>
      </c>
      <c r="H88" s="1776">
        <f>IF('[7]BASE'!HG88=0,"",'[7]BASE'!HG88)</f>
      </c>
      <c r="I88" s="1776">
        <f>IF('[7]BASE'!HH88=0,"",'[7]BASE'!HH88)</f>
      </c>
      <c r="J88" s="1776">
        <f>IF('[7]BASE'!HI88=0,"",'[7]BASE'!HI88)</f>
      </c>
      <c r="K88" s="1776">
        <f>IF('[7]BASE'!HJ88=0,"",'[7]BASE'!HJ88)</f>
      </c>
      <c r="L88" s="1776">
        <f>IF('[7]BASE'!HK88=0,"",'[7]BASE'!HK88)</f>
      </c>
      <c r="M88" s="1776">
        <f>IF('[7]BASE'!HL88=0,"",'[7]BASE'!HL88)</f>
      </c>
      <c r="N88" s="1776">
        <f>IF('[7]BASE'!HM88=0,"",'[7]BASE'!HM88)</f>
      </c>
      <c r="O88" s="1776">
        <f>IF('[7]BASE'!HN88=0,"",'[7]BASE'!HN88)</f>
      </c>
      <c r="P88" s="1776">
        <f>IF('[7]BASE'!HO88=0,"",'[7]BASE'!HO88)</f>
      </c>
      <c r="Q88" s="1776">
        <f>IF('[7]BASE'!HP88=0,"",'[7]BASE'!HP88)</f>
      </c>
      <c r="R88" s="1776">
        <f>IF('[7]BASE'!HQ88=0,"",'[7]BASE'!HQ88)</f>
      </c>
      <c r="S88" s="1776">
        <f>IF('[7]BASE'!HR88=0,"",'[7]BASE'!HR88)</f>
      </c>
      <c r="T88" s="1777"/>
      <c r="U88" s="1774"/>
    </row>
    <row r="89" spans="2:21" s="1768" customFormat="1" ht="19.5" customHeight="1">
      <c r="B89" s="1769"/>
      <c r="C89" s="1775">
        <f>IF('[7]BASE'!C89=0,"",'[7]BASE'!C89)</f>
        <v>67</v>
      </c>
      <c r="D89" s="1775" t="str">
        <f>IF('[7]BASE'!D89=0,"",'[7]BASE'!D89)</f>
        <v>RINCON - RESISTENCIA</v>
      </c>
      <c r="E89" s="1775">
        <f>IF('[7]BASE'!E89=0,"",'[7]BASE'!E89)</f>
        <v>500</v>
      </c>
      <c r="F89" s="1775">
        <f>IF('[7]BASE'!F89=0,"",'[7]BASE'!F89)</f>
        <v>267</v>
      </c>
      <c r="G89" s="1775" t="str">
        <f>IF('[5]BASE'!G89=0,"",'[5]BASE'!G89)</f>
        <v>A</v>
      </c>
      <c r="H89" s="1776" t="str">
        <f>IF('[7]BASE'!HG89=0,"",'[7]BASE'!HG89)</f>
        <v>XXXX</v>
      </c>
      <c r="I89" s="1776" t="str">
        <f>IF('[7]BASE'!HH89=0,"",'[7]BASE'!HH89)</f>
        <v>XXXX</v>
      </c>
      <c r="J89" s="1776" t="str">
        <f>IF('[7]BASE'!HI89=0,"",'[7]BASE'!HI89)</f>
        <v>XXXX</v>
      </c>
      <c r="K89" s="1776" t="str">
        <f>IF('[7]BASE'!HJ89=0,"",'[7]BASE'!HJ89)</f>
        <v>XXXX</v>
      </c>
      <c r="L89" s="1776" t="str">
        <f>IF('[7]BASE'!HK89=0,"",'[7]BASE'!HK89)</f>
        <v>XXXX</v>
      </c>
      <c r="M89" s="1776" t="str">
        <f>IF('[7]BASE'!HL89=0,"",'[7]BASE'!HL89)</f>
        <v>XXXX</v>
      </c>
      <c r="N89" s="1776" t="str">
        <f>IF('[7]BASE'!HM89=0,"",'[7]BASE'!HM89)</f>
        <v>XXXX</v>
      </c>
      <c r="O89" s="1776" t="str">
        <f>IF('[7]BASE'!HN89=0,"",'[7]BASE'!HN89)</f>
        <v>XXXX</v>
      </c>
      <c r="P89" s="1776" t="str">
        <f>IF('[7]BASE'!HO89=0,"",'[7]BASE'!HO89)</f>
        <v>XXXX</v>
      </c>
      <c r="Q89" s="1776" t="str">
        <f>IF('[7]BASE'!HP89=0,"",'[7]BASE'!HP89)</f>
        <v>XXXX</v>
      </c>
      <c r="R89" s="1776" t="str">
        <f>IF('[7]BASE'!HQ89=0,"",'[7]BASE'!HQ89)</f>
        <v>XXXX</v>
      </c>
      <c r="S89" s="1776" t="str">
        <f>IF('[7]BASE'!HR89=0,"",'[7]BASE'!HR89)</f>
        <v>XXXX</v>
      </c>
      <c r="T89" s="1777"/>
      <c r="U89" s="1774"/>
    </row>
    <row r="90" spans="2:21" s="1768" customFormat="1" ht="19.5" customHeight="1">
      <c r="B90" s="1769"/>
      <c r="C90" s="1775">
        <f>IF('[7]BASE'!C90=0,"",'[7]BASE'!C90)</f>
      </c>
      <c r="D90" s="1775">
        <f>IF('[7]BASE'!D90=0,"",'[7]BASE'!D90)</f>
      </c>
      <c r="E90" s="1775">
        <f>IF('[7]BASE'!E90=0,"",'[7]BASE'!E90)</f>
      </c>
      <c r="F90" s="1775">
        <f>IF('[7]BASE'!F90=0,"",'[7]BASE'!F90)</f>
      </c>
      <c r="G90" s="1775" t="str">
        <f>IF('[5]BASE'!G90=0,"",'[5]BASE'!G90)</f>
        <v>C</v>
      </c>
      <c r="H90" s="1776">
        <f>IF('[7]BASE'!HG90=0,"",'[7]BASE'!HG90)</f>
      </c>
      <c r="I90" s="1776">
        <f>IF('[7]BASE'!HH90=0,"",'[7]BASE'!HH90)</f>
      </c>
      <c r="J90" s="1776">
        <f>IF('[7]BASE'!HI90=0,"",'[7]BASE'!HI90)</f>
      </c>
      <c r="K90" s="1776">
        <f>IF('[7]BASE'!HJ90=0,"",'[7]BASE'!HJ90)</f>
      </c>
      <c r="L90" s="1776">
        <f>IF('[7]BASE'!HK90=0,"",'[7]BASE'!HK90)</f>
      </c>
      <c r="M90" s="1776">
        <f>IF('[7]BASE'!HL90=0,"",'[7]BASE'!HL90)</f>
      </c>
      <c r="N90" s="1776">
        <f>IF('[7]BASE'!HM90=0,"",'[7]BASE'!HM90)</f>
      </c>
      <c r="O90" s="1776">
        <f>IF('[7]BASE'!HN90=0,"",'[7]BASE'!HN90)</f>
      </c>
      <c r="P90" s="1776">
        <f>IF('[7]BASE'!HO90=0,"",'[7]BASE'!HO90)</f>
      </c>
      <c r="Q90" s="1776">
        <f>IF('[7]BASE'!HP90=0,"",'[7]BASE'!HP90)</f>
      </c>
      <c r="R90" s="1776">
        <f>IF('[7]BASE'!HQ90=0,"",'[7]BASE'!HQ90)</f>
      </c>
      <c r="S90" s="1776">
        <f>IF('[7]BASE'!HR90=0,"",'[7]BASE'!HR90)</f>
      </c>
      <c r="T90" s="1777"/>
      <c r="U90" s="1774"/>
    </row>
    <row r="91" spans="2:21" s="1768" customFormat="1" ht="19.5" customHeight="1">
      <c r="B91" s="1769"/>
      <c r="C91" s="1775">
        <f>IF('[7]BASE'!C91=0,"",'[7]BASE'!C91)</f>
        <v>68</v>
      </c>
      <c r="D91" s="1775" t="str">
        <f>IF('[7]BASE'!D91=0,"",'[7]BASE'!D91)</f>
        <v>RINCON - SALTO GRANDE</v>
      </c>
      <c r="E91" s="1775">
        <f>IF('[7]BASE'!E91=0,"",'[7]BASE'!E91)</f>
        <v>500</v>
      </c>
      <c r="F91" s="1775">
        <f>IF('[7]BASE'!F91=0,"",'[7]BASE'!F91)</f>
        <v>506</v>
      </c>
      <c r="G91" s="1775" t="str">
        <f>IF('[5]BASE'!G91=0,"",'[5]BASE'!G91)</f>
        <v>A</v>
      </c>
      <c r="H91" s="1776">
        <f>IF('[7]BASE'!HG91=0,"",'[7]BASE'!HG91)</f>
      </c>
      <c r="I91" s="1776">
        <f>IF('[7]BASE'!HH91=0,"",'[7]BASE'!HH91)</f>
      </c>
      <c r="J91" s="1776">
        <f>IF('[7]BASE'!HI91=0,"",'[7]BASE'!HI91)</f>
      </c>
      <c r="K91" s="1776">
        <f>IF('[7]BASE'!HJ91=0,"",'[7]BASE'!HJ91)</f>
      </c>
      <c r="L91" s="1776">
        <f>IF('[7]BASE'!HK91=0,"",'[7]BASE'!HK91)</f>
      </c>
      <c r="M91" s="1776">
        <f>IF('[7]BASE'!HL91=0,"",'[7]BASE'!HL91)</f>
      </c>
      <c r="N91" s="1776">
        <f>IF('[7]BASE'!HM91=0,"",'[7]BASE'!HM91)</f>
      </c>
      <c r="O91" s="1776">
        <f>IF('[7]BASE'!HN91=0,"",'[7]BASE'!HN91)</f>
      </c>
      <c r="P91" s="1776">
        <f>IF('[7]BASE'!HO91=0,"",'[7]BASE'!HO91)</f>
      </c>
      <c r="Q91" s="1776">
        <f>IF('[7]BASE'!HP91=0,"",'[7]BASE'!HP91)</f>
      </c>
      <c r="R91" s="1776">
        <f>IF('[7]BASE'!HQ91=0,"",'[7]BASE'!HQ91)</f>
      </c>
      <c r="S91" s="1776">
        <f>IF('[7]BASE'!HR91=0,"",'[7]BASE'!HR91)</f>
      </c>
      <c r="T91" s="1777"/>
      <c r="U91" s="1774"/>
    </row>
    <row r="92" spans="2:21" s="1768" customFormat="1" ht="19.5" customHeight="1">
      <c r="B92" s="1769"/>
      <c r="C92" s="1775">
        <f>IF('[7]BASE'!C92=0,"",'[7]BASE'!C92)</f>
        <v>69</v>
      </c>
      <c r="D92" s="1775" t="str">
        <f>IF('[7]BASE'!D92=0,"",'[7]BASE'!D92)</f>
        <v>RINCON - SAN ISIDRO</v>
      </c>
      <c r="E92" s="1775">
        <f>IF('[7]BASE'!E92=0,"",'[7]BASE'!E92)</f>
        <v>500</v>
      </c>
      <c r="F92" s="1775">
        <f>IF('[7]BASE'!F92=0,"",'[7]BASE'!F92)</f>
        <v>85</v>
      </c>
      <c r="G92" s="1775" t="str">
        <f>IF('[5]BASE'!G92=0,"",'[5]BASE'!G92)</f>
        <v>C</v>
      </c>
      <c r="H92" s="1776">
        <f>IF('[7]BASE'!HG92=0,"",'[7]BASE'!HG92)</f>
      </c>
      <c r="I92" s="1776">
        <f>IF('[7]BASE'!HH92=0,"",'[7]BASE'!HH92)</f>
      </c>
      <c r="J92" s="1776">
        <f>IF('[7]BASE'!HI92=0,"",'[7]BASE'!HI92)</f>
      </c>
      <c r="K92" s="1776">
        <f>IF('[7]BASE'!HJ92=0,"",'[7]BASE'!HJ92)</f>
      </c>
      <c r="L92" s="1776">
        <f>IF('[7]BASE'!HK92=0,"",'[7]BASE'!HK92)</f>
      </c>
      <c r="M92" s="1776">
        <f>IF('[7]BASE'!HL92=0,"",'[7]BASE'!HL92)</f>
      </c>
      <c r="N92" s="1776">
        <f>IF('[7]BASE'!HM92=0,"",'[7]BASE'!HM92)</f>
      </c>
      <c r="O92" s="1776">
        <f>IF('[7]BASE'!HN92=0,"",'[7]BASE'!HN92)</f>
      </c>
      <c r="P92" s="1776">
        <f>IF('[7]BASE'!HO92=0,"",'[7]BASE'!HO92)</f>
      </c>
      <c r="Q92" s="1776">
        <f>IF('[7]BASE'!HP92=0,"",'[7]BASE'!HP92)</f>
      </c>
      <c r="R92" s="1776">
        <f>IF('[7]BASE'!HQ92=0,"",'[7]BASE'!HQ92)</f>
      </c>
      <c r="S92" s="1776">
        <f>IF('[7]BASE'!HR92=0,"",'[7]BASE'!HR92)</f>
      </c>
      <c r="T92" s="1777"/>
      <c r="U92" s="1774"/>
    </row>
    <row r="93" spans="2:21" s="1768" customFormat="1" ht="19.5" customHeight="1">
      <c r="B93" s="1769"/>
      <c r="C93" s="1775">
        <f>IF('[7]BASE'!C93=0,"",'[7]BASE'!C93)</f>
      </c>
      <c r="D93" s="1775">
        <f>IF('[7]BASE'!D93=0,"",'[7]BASE'!D93)</f>
      </c>
      <c r="E93" s="1775">
        <f>IF('[7]BASE'!E93=0,"",'[7]BASE'!E93)</f>
      </c>
      <c r="F93" s="1775">
        <f>IF('[7]BASE'!F93=0,"",'[7]BASE'!F93)</f>
      </c>
      <c r="G93" s="1775" t="e">
        <f>IF('[5]BASE'!G93=0,"",'[5]BASE'!G93)</f>
        <v>#REF!</v>
      </c>
      <c r="H93" s="1776">
        <f>IF('[7]BASE'!HG93=0,"",'[7]BASE'!HG93)</f>
      </c>
      <c r="I93" s="1776">
        <f>IF('[7]BASE'!HH93=0,"",'[7]BASE'!HH93)</f>
      </c>
      <c r="J93" s="1776">
        <f>IF('[7]BASE'!HI93=0,"",'[7]BASE'!HI93)</f>
      </c>
      <c r="K93" s="1776">
        <f>IF('[7]BASE'!HJ93=0,"",'[7]BASE'!HJ93)</f>
      </c>
      <c r="L93" s="1776">
        <f>IF('[7]BASE'!HK93=0,"",'[7]BASE'!HK93)</f>
      </c>
      <c r="M93" s="1776">
        <f>IF('[7]BASE'!HL93=0,"",'[7]BASE'!HL93)</f>
      </c>
      <c r="N93" s="1776">
        <f>IF('[7]BASE'!HM93=0,"",'[7]BASE'!HM93)</f>
      </c>
      <c r="O93" s="1776">
        <f>IF('[7]BASE'!HN93=0,"",'[7]BASE'!HN93)</f>
      </c>
      <c r="P93" s="1776">
        <f>IF('[7]BASE'!HO93=0,"",'[7]BASE'!HO93)</f>
      </c>
      <c r="Q93" s="1776">
        <f>IF('[7]BASE'!HP93=0,"",'[7]BASE'!HP93)</f>
      </c>
      <c r="R93" s="1776">
        <f>IF('[7]BASE'!HQ93=0,"",'[7]BASE'!HQ93)</f>
      </c>
      <c r="S93" s="1776">
        <f>IF('[7]BASE'!HR93=0,"",'[7]BASE'!HR93)</f>
      </c>
      <c r="T93" s="1777"/>
      <c r="U93" s="1774"/>
    </row>
    <row r="94" spans="2:21" s="1768" customFormat="1" ht="19.5" customHeight="1">
      <c r="B94" s="1769"/>
      <c r="C94" s="1775">
        <f>IF('[7]BASE'!C94=0,"",'[7]BASE'!C94)</f>
        <v>70</v>
      </c>
      <c r="D94" s="1775" t="str">
        <f>IF('[7]BASE'!D94=0,"",'[7]BASE'!D94)</f>
        <v>RECREO - LA RIOJA SUR</v>
      </c>
      <c r="E94" s="1775">
        <f>IF('[7]BASE'!E94=0,"",'[7]BASE'!E94)</f>
        <v>500</v>
      </c>
      <c r="F94" s="1775">
        <f>IF('[7]BASE'!F94=0,"",'[7]BASE'!F94)</f>
        <v>150.3</v>
      </c>
      <c r="G94" s="1775" t="str">
        <f>IF('[5]BASE'!G94=0,"",'[5]BASE'!G94)</f>
        <v>C</v>
      </c>
      <c r="H94" s="1776">
        <f>IF('[7]BASE'!HG94=0,"",'[7]BASE'!HG94)</f>
      </c>
      <c r="I94" s="1776">
        <f>IF('[7]BASE'!HH94=0,"",'[7]BASE'!HH94)</f>
      </c>
      <c r="J94" s="1776">
        <f>IF('[7]BASE'!HI94=0,"",'[7]BASE'!HI94)</f>
      </c>
      <c r="K94" s="1776">
        <f>IF('[7]BASE'!HJ94=0,"",'[7]BASE'!HJ94)</f>
      </c>
      <c r="L94" s="1776">
        <f>IF('[7]BASE'!HK94=0,"",'[7]BASE'!HK94)</f>
      </c>
      <c r="M94" s="1776">
        <f>IF('[7]BASE'!HL94=0,"",'[7]BASE'!HL94)</f>
      </c>
      <c r="N94" s="1776">
        <f>IF('[7]BASE'!HM94=0,"",'[7]BASE'!HM94)</f>
      </c>
      <c r="O94" s="1776">
        <f>IF('[7]BASE'!HN94=0,"",'[7]BASE'!HN94)</f>
      </c>
      <c r="P94" s="1776">
        <f>IF('[7]BASE'!HO94=0,"",'[7]BASE'!HO94)</f>
      </c>
      <c r="Q94" s="1776">
        <f>IF('[7]BASE'!HP94=0,"",'[7]BASE'!HP94)</f>
      </c>
      <c r="R94" s="1776">
        <f>IF('[7]BASE'!HQ94=0,"",'[7]BASE'!HQ94)</f>
      </c>
      <c r="S94" s="1776">
        <f>IF('[7]BASE'!HR94=0,"",'[7]BASE'!HR94)</f>
      </c>
      <c r="T94" s="1777"/>
      <c r="U94" s="1774"/>
    </row>
    <row r="95" spans="2:21" s="1768" customFormat="1" ht="19.5" customHeight="1">
      <c r="B95" s="1769"/>
      <c r="C95" s="1775">
        <f>IF('[7]BASE'!C95=0,"",'[7]BASE'!C95)</f>
        <v>71</v>
      </c>
      <c r="D95" s="1775" t="str">
        <f>IF('[7]BASE'!D95=0,"",'[7]BASE'!D95)</f>
        <v>M.BELGRANO - G.RODRIGUEZ</v>
      </c>
      <c r="E95" s="1775">
        <f>IF('[7]BASE'!E95=0,"",'[7]BASE'!E95)</f>
        <v>500</v>
      </c>
      <c r="F95" s="1775">
        <f>IF('[7]BASE'!F95=0,"",'[7]BASE'!F95)</f>
        <v>41.4</v>
      </c>
      <c r="G95" s="1775" t="str">
        <f>IF('[5]BASE'!G95=0,"",'[5]BASE'!G95)</f>
        <v>C</v>
      </c>
      <c r="H95" s="1776">
        <f>IF('[7]BASE'!HG95=0,"",'[7]BASE'!HG95)</f>
      </c>
      <c r="I95" s="1776">
        <f>IF('[7]BASE'!HH95=0,"",'[7]BASE'!HH95)</f>
      </c>
      <c r="J95" s="1776">
        <f>IF('[7]BASE'!HI95=0,"",'[7]BASE'!HI95)</f>
      </c>
      <c r="K95" s="1776">
        <f>IF('[7]BASE'!HJ95=0,"",'[7]BASE'!HJ95)</f>
      </c>
      <c r="L95" s="1776">
        <f>IF('[7]BASE'!HK95=0,"",'[7]BASE'!HK95)</f>
      </c>
      <c r="M95" s="1776">
        <f>IF('[7]BASE'!HL95=0,"",'[7]BASE'!HL95)</f>
      </c>
      <c r="N95" s="1776">
        <f>IF('[7]BASE'!HM95=0,"",'[7]BASE'!HM95)</f>
      </c>
      <c r="O95" s="1776">
        <f>IF('[7]BASE'!HN95=0,"",'[7]BASE'!HN95)</f>
      </c>
      <c r="P95" s="1776">
        <f>IF('[7]BASE'!HO95=0,"",'[7]BASE'!HO95)</f>
      </c>
      <c r="Q95" s="1776">
        <f>IF('[7]BASE'!HP95=0,"",'[7]BASE'!HP95)</f>
      </c>
      <c r="R95" s="1776">
        <f>IF('[7]BASE'!HQ95=0,"",'[7]BASE'!HQ95)</f>
      </c>
      <c r="S95" s="1776">
        <f>IF('[7]BASE'!HR95=0,"",'[7]BASE'!HR95)</f>
      </c>
      <c r="T95" s="1777"/>
      <c r="U95" s="1774"/>
    </row>
    <row r="96" spans="2:21" s="1768" customFormat="1" ht="25.5" customHeight="1" thickBot="1">
      <c r="B96" s="1769"/>
      <c r="C96" s="1778"/>
      <c r="D96" s="1778"/>
      <c r="E96" s="1778"/>
      <c r="F96" s="1779"/>
      <c r="G96" s="1780" t="e">
        <f>IF('[5]BASE'!G96=0,"",'[5]BASE'!G96)</f>
        <v>#REF!</v>
      </c>
      <c r="H96" s="1781"/>
      <c r="I96" s="1781"/>
      <c r="J96" s="1781"/>
      <c r="K96" s="1781"/>
      <c r="L96" s="1781"/>
      <c r="M96" s="1781"/>
      <c r="N96" s="1781"/>
      <c r="O96" s="1781"/>
      <c r="P96" s="1781"/>
      <c r="Q96" s="1781"/>
      <c r="R96" s="1781"/>
      <c r="S96" s="1781"/>
      <c r="T96" s="1777"/>
      <c r="U96" s="1774"/>
    </row>
    <row r="97" spans="2:21" s="1768" customFormat="1" ht="19.5" customHeight="1" thickBot="1" thickTop="1">
      <c r="B97" s="1769"/>
      <c r="C97" s="1782"/>
      <c r="D97" s="1783"/>
      <c r="E97" s="1784" t="s">
        <v>476</v>
      </c>
      <c r="F97" s="1785">
        <f>SUM(F17:F95)-F46-F54-F57-F61-F89</f>
        <v>9902.33</v>
      </c>
      <c r="G97" s="1786"/>
      <c r="H97" s="1787"/>
      <c r="I97" s="1787"/>
      <c r="J97" s="1787"/>
      <c r="K97" s="1787"/>
      <c r="L97" s="1787"/>
      <c r="M97" s="1787"/>
      <c r="N97" s="1787"/>
      <c r="O97" s="1787"/>
      <c r="P97" s="1787"/>
      <c r="Q97" s="1787"/>
      <c r="R97" s="1787"/>
      <c r="S97" s="1787"/>
      <c r="T97" s="1777"/>
      <c r="U97" s="1774"/>
    </row>
    <row r="98" spans="2:21" s="1768" customFormat="1" ht="19.5" customHeight="1" thickBot="1" thickTop="1">
      <c r="B98" s="1769"/>
      <c r="C98" s="1788"/>
      <c r="D98" s="1789"/>
      <c r="E98" s="1790"/>
      <c r="F98" s="1791" t="s">
        <v>477</v>
      </c>
      <c r="H98" s="1792">
        <f>SUM(H17:H95)</f>
        <v>1</v>
      </c>
      <c r="I98" s="1792">
        <f aca="true" t="shared" si="0" ref="I98:S98">SUM(I17:I95)</f>
        <v>1</v>
      </c>
      <c r="J98" s="1792">
        <f t="shared" si="0"/>
        <v>2</v>
      </c>
      <c r="K98" s="1792">
        <f t="shared" si="0"/>
        <v>5</v>
      </c>
      <c r="L98" s="1792">
        <f t="shared" si="0"/>
        <v>6</v>
      </c>
      <c r="M98" s="1792">
        <f t="shared" si="0"/>
        <v>2</v>
      </c>
      <c r="N98" s="1792">
        <f t="shared" si="0"/>
        <v>4</v>
      </c>
      <c r="O98" s="1792">
        <f t="shared" si="0"/>
        <v>1</v>
      </c>
      <c r="P98" s="1792">
        <f t="shared" si="0"/>
        <v>4</v>
      </c>
      <c r="Q98" s="1792">
        <f t="shared" si="0"/>
        <v>6</v>
      </c>
      <c r="R98" s="1792">
        <f t="shared" si="0"/>
        <v>4</v>
      </c>
      <c r="S98" s="1792">
        <f t="shared" si="0"/>
        <v>6</v>
      </c>
      <c r="T98" s="1793"/>
      <c r="U98" s="1774"/>
    </row>
    <row r="99" spans="2:21" s="1768" customFormat="1" ht="19.5" customHeight="1" thickBot="1" thickTop="1">
      <c r="B99" s="1769"/>
      <c r="E99" s="1790"/>
      <c r="F99" s="1791" t="s">
        <v>478</v>
      </c>
      <c r="H99" s="1794">
        <f>'[7]BASE'!HG104</f>
        <v>0.24</v>
      </c>
      <c r="I99" s="1794">
        <f>'[7]BASE'!HH104</f>
        <v>0.22</v>
      </c>
      <c r="J99" s="1794">
        <f>'[7]BASE'!HI104</f>
        <v>0.22</v>
      </c>
      <c r="K99" s="1794">
        <f>'[7]BASE'!HJ104</f>
        <v>0.24</v>
      </c>
      <c r="L99" s="1794">
        <f>'[7]BASE'!HK104</f>
        <v>0.28</v>
      </c>
      <c r="M99" s="1794">
        <f>'[7]BASE'!HL104</f>
        <v>0.34</v>
      </c>
      <c r="N99" s="1794">
        <f>'[7]BASE'!HM104</f>
        <v>0.29</v>
      </c>
      <c r="O99" s="1794">
        <f>'[7]BASE'!HN104</f>
        <v>0.33</v>
      </c>
      <c r="P99" s="1794">
        <f>'[7]BASE'!HO104</f>
        <v>0.32</v>
      </c>
      <c r="Q99" s="1794">
        <f>'[7]BASE'!HP104</f>
        <v>0.32</v>
      </c>
      <c r="R99" s="1794">
        <f>'[7]BASE'!HQ104</f>
        <v>0.34</v>
      </c>
      <c r="S99" s="1794">
        <f>'[7]BASE'!HR104</f>
        <v>0.38</v>
      </c>
      <c r="T99" s="1794">
        <f>'[7]BASE'!HS104</f>
        <v>0.42</v>
      </c>
      <c r="U99" s="1774"/>
    </row>
    <row r="100" spans="2:21" s="1768" customFormat="1" ht="19.5" customHeight="1" thickTop="1">
      <c r="B100" s="1769"/>
      <c r="C100" s="781"/>
      <c r="D100" s="1795"/>
      <c r="E100" s="1796"/>
      <c r="F100" s="1797"/>
      <c r="G100" s="781"/>
      <c r="H100" s="1798"/>
      <c r="I100" s="1798"/>
      <c r="J100" s="1798"/>
      <c r="K100" s="1798"/>
      <c r="L100" s="1798"/>
      <c r="M100" s="1798"/>
      <c r="N100" s="1798"/>
      <c r="O100" s="1798"/>
      <c r="P100" s="1798"/>
      <c r="Q100" s="1798"/>
      <c r="R100" s="1798"/>
      <c r="S100" s="1798"/>
      <c r="T100" s="1798"/>
      <c r="U100" s="1774"/>
    </row>
    <row r="101" spans="2:21" s="1768" customFormat="1" ht="19.5" customHeight="1" thickBot="1">
      <c r="B101" s="1769"/>
      <c r="C101" s="781"/>
      <c r="D101" s="793"/>
      <c r="E101" s="776"/>
      <c r="F101" s="776"/>
      <c r="G101" s="1365"/>
      <c r="H101" s="776"/>
      <c r="I101" s="776"/>
      <c r="J101" s="776"/>
      <c r="K101" s="776"/>
      <c r="L101" s="776"/>
      <c r="M101" s="776"/>
      <c r="N101" s="776"/>
      <c r="O101" s="776"/>
      <c r="P101" s="776"/>
      <c r="Q101" s="776"/>
      <c r="R101" s="776"/>
      <c r="S101" s="776"/>
      <c r="T101" s="776"/>
      <c r="U101" s="1774"/>
    </row>
    <row r="102" spans="2:21" s="1768" customFormat="1" ht="19.5" customHeight="1" thickBot="1" thickTop="1">
      <c r="B102" s="1769"/>
      <c r="C102" s="1365"/>
      <c r="D102" s="776"/>
      <c r="E102" s="760"/>
      <c r="F102" s="760"/>
      <c r="G102" s="760"/>
      <c r="H102" s="1799" t="s">
        <v>479</v>
      </c>
      <c r="I102" s="1800"/>
      <c r="J102" s="1801">
        <f>T99</f>
        <v>0.42</v>
      </c>
      <c r="K102" s="1802" t="s">
        <v>480</v>
      </c>
      <c r="L102" s="1803"/>
      <c r="M102" s="1804"/>
      <c r="N102" s="776"/>
      <c r="O102" s="776"/>
      <c r="P102" s="776"/>
      <c r="Q102" s="776"/>
      <c r="R102" s="776"/>
      <c r="S102" s="776"/>
      <c r="T102" s="776"/>
      <c r="U102" s="1774"/>
    </row>
    <row r="103" spans="2:21" s="1807" customFormat="1" ht="9.75" customHeight="1" thickTop="1">
      <c r="B103" s="1805"/>
      <c r="C103" s="781"/>
      <c r="D103" s="1795"/>
      <c r="E103" s="1796"/>
      <c r="F103" s="1797"/>
      <c r="G103" s="781"/>
      <c r="H103" s="1798"/>
      <c r="I103" s="1798"/>
      <c r="J103" s="1798"/>
      <c r="K103" s="1798"/>
      <c r="L103" s="1798"/>
      <c r="M103" s="1798"/>
      <c r="N103" s="1798"/>
      <c r="O103" s="1798"/>
      <c r="P103" s="1798"/>
      <c r="Q103" s="1798"/>
      <c r="R103" s="1798"/>
      <c r="S103" s="1798"/>
      <c r="T103" s="1798"/>
      <c r="U103" s="1806"/>
    </row>
    <row r="104" spans="2:21" s="1371" customFormat="1" ht="9.75" customHeight="1" thickBot="1">
      <c r="B104" s="1654"/>
      <c r="C104" s="1808"/>
      <c r="D104" s="1655"/>
      <c r="E104" s="1655"/>
      <c r="F104" s="1808"/>
      <c r="G104" s="1808"/>
      <c r="H104" s="1655"/>
      <c r="I104" s="1655"/>
      <c r="J104" s="1655"/>
      <c r="K104" s="1655"/>
      <c r="L104" s="1655"/>
      <c r="M104" s="1655"/>
      <c r="N104" s="1655"/>
      <c r="O104" s="1655"/>
      <c r="P104" s="1655"/>
      <c r="Q104" s="1655"/>
      <c r="R104" s="1655"/>
      <c r="S104" s="1655"/>
      <c r="T104" s="1655"/>
      <c r="U104" s="1809"/>
    </row>
    <row r="105" spans="3:7" ht="13.5" thickTop="1">
      <c r="C105" s="1810"/>
      <c r="F105" s="1810"/>
      <c r="G105" s="1810"/>
    </row>
    <row r="106" spans="3:194" ht="12.75">
      <c r="C106" s="1810"/>
      <c r="D106" s="1365"/>
      <c r="E106" s="1365"/>
      <c r="F106" s="1365"/>
      <c r="G106" s="1365"/>
      <c r="H106" s="1811"/>
      <c r="I106" s="1811"/>
      <c r="J106" s="1811"/>
      <c r="K106" s="1811"/>
      <c r="L106" s="1811"/>
      <c r="M106" s="1811"/>
      <c r="N106" s="1811"/>
      <c r="O106" s="1811"/>
      <c r="P106" s="1811"/>
      <c r="Q106" s="1811"/>
      <c r="R106" s="1811"/>
      <c r="S106" s="1811"/>
      <c r="T106" s="1811"/>
      <c r="U106" s="776"/>
      <c r="V106" s="776"/>
      <c r="W106" s="776"/>
      <c r="X106" s="776"/>
      <c r="Y106" s="776"/>
      <c r="Z106" s="776"/>
      <c r="AA106" s="776"/>
      <c r="AB106" s="776"/>
      <c r="AC106" s="776"/>
      <c r="AD106" s="776"/>
      <c r="AE106" s="776"/>
      <c r="AF106" s="776"/>
      <c r="AG106" s="776"/>
      <c r="AH106" s="776"/>
      <c r="AI106" s="776"/>
      <c r="AJ106" s="776"/>
      <c r="AK106" s="776"/>
      <c r="AL106" s="776"/>
      <c r="AM106" s="776"/>
      <c r="AN106" s="776"/>
      <c r="AO106" s="776"/>
      <c r="AP106" s="776"/>
      <c r="AQ106" s="776"/>
      <c r="AR106" s="776"/>
      <c r="AS106" s="776"/>
      <c r="AT106" s="776"/>
      <c r="AU106" s="776"/>
      <c r="AV106" s="776"/>
      <c r="AW106" s="776"/>
      <c r="AX106" s="776"/>
      <c r="AY106" s="776"/>
      <c r="AZ106" s="776"/>
      <c r="BA106" s="776"/>
      <c r="BB106" s="776"/>
      <c r="BC106" s="776"/>
      <c r="BD106" s="776"/>
      <c r="BE106" s="776"/>
      <c r="BF106" s="776"/>
      <c r="BG106" s="776"/>
      <c r="BH106" s="776"/>
      <c r="BI106" s="776"/>
      <c r="BJ106" s="776"/>
      <c r="BK106" s="776"/>
      <c r="BL106" s="776"/>
      <c r="BM106" s="776"/>
      <c r="BN106" s="776"/>
      <c r="BO106" s="776"/>
      <c r="BP106" s="776"/>
      <c r="BQ106" s="776"/>
      <c r="BR106" s="776"/>
      <c r="BS106" s="776"/>
      <c r="BT106" s="776"/>
      <c r="BU106" s="776"/>
      <c r="BV106" s="776"/>
      <c r="BW106" s="776"/>
      <c r="BX106" s="776"/>
      <c r="BY106" s="776"/>
      <c r="BZ106" s="776"/>
      <c r="CA106" s="776"/>
      <c r="CB106" s="776"/>
      <c r="CC106" s="776"/>
      <c r="CD106" s="776"/>
      <c r="CE106" s="776"/>
      <c r="CF106" s="776"/>
      <c r="CG106" s="776"/>
      <c r="CH106" s="776"/>
      <c r="CI106" s="776"/>
      <c r="CJ106" s="776"/>
      <c r="CK106" s="776"/>
      <c r="CL106" s="776"/>
      <c r="CM106" s="776"/>
      <c r="CN106" s="776"/>
      <c r="CO106" s="776"/>
      <c r="CP106" s="776"/>
      <c r="CQ106" s="776"/>
      <c r="CR106" s="776"/>
      <c r="CS106" s="776"/>
      <c r="CT106" s="776"/>
      <c r="CU106" s="776"/>
      <c r="CV106" s="776"/>
      <c r="CW106" s="776"/>
      <c r="CX106" s="776"/>
      <c r="CY106" s="776"/>
      <c r="CZ106" s="776"/>
      <c r="DA106" s="776"/>
      <c r="DB106" s="776"/>
      <c r="DC106" s="776"/>
      <c r="DD106" s="776"/>
      <c r="DE106" s="776"/>
      <c r="DF106" s="776"/>
      <c r="DG106" s="776"/>
      <c r="DH106" s="776"/>
      <c r="DI106" s="776"/>
      <c r="DJ106" s="776"/>
      <c r="DK106" s="776"/>
      <c r="DL106" s="776"/>
      <c r="DM106" s="776"/>
      <c r="DN106" s="776"/>
      <c r="DO106" s="776"/>
      <c r="DP106" s="776"/>
      <c r="DQ106" s="776"/>
      <c r="DR106" s="776"/>
      <c r="DS106" s="776"/>
      <c r="DT106" s="776"/>
      <c r="DU106" s="776"/>
      <c r="DV106" s="776"/>
      <c r="DW106" s="776"/>
      <c r="DX106" s="776"/>
      <c r="DY106" s="776"/>
      <c r="DZ106" s="776"/>
      <c r="EA106" s="776"/>
      <c r="EB106" s="776"/>
      <c r="EC106" s="776"/>
      <c r="ED106" s="776"/>
      <c r="EE106" s="776"/>
      <c r="EF106" s="776"/>
      <c r="EG106" s="776"/>
      <c r="EH106" s="776"/>
      <c r="EI106" s="776"/>
      <c r="EJ106" s="776"/>
      <c r="EK106" s="776"/>
      <c r="EL106" s="776"/>
      <c r="EM106" s="776"/>
      <c r="EN106" s="776"/>
      <c r="EO106" s="776"/>
      <c r="EP106" s="776"/>
      <c r="EQ106" s="776"/>
      <c r="ER106" s="776"/>
      <c r="ES106" s="776"/>
      <c r="ET106" s="776"/>
      <c r="EU106" s="776"/>
      <c r="EV106" s="776"/>
      <c r="EW106" s="776"/>
      <c r="EX106" s="776"/>
      <c r="EY106" s="776"/>
      <c r="EZ106" s="776"/>
      <c r="FA106" s="776"/>
      <c r="FB106" s="776"/>
      <c r="FC106" s="776"/>
      <c r="FD106" s="776"/>
      <c r="FE106" s="776"/>
      <c r="FF106" s="776"/>
      <c r="FG106" s="776"/>
      <c r="FH106" s="776"/>
      <c r="FI106" s="776"/>
      <c r="FJ106" s="776"/>
      <c r="FK106" s="776"/>
      <c r="FL106" s="776"/>
      <c r="FM106" s="776"/>
      <c r="FN106" s="776"/>
      <c r="FO106" s="776"/>
      <c r="FP106" s="776"/>
      <c r="FQ106" s="776"/>
      <c r="FR106" s="776"/>
      <c r="FS106" s="776"/>
      <c r="FT106" s="776"/>
      <c r="FU106" s="776"/>
      <c r="FV106" s="776"/>
      <c r="FW106" s="776"/>
      <c r="FX106" s="776"/>
      <c r="FY106" s="776"/>
      <c r="FZ106" s="776"/>
      <c r="GA106" s="776"/>
      <c r="GB106" s="776"/>
      <c r="GC106" s="776"/>
      <c r="GD106" s="776"/>
      <c r="GE106" s="776"/>
      <c r="GF106" s="776"/>
      <c r="GG106" s="776"/>
      <c r="GH106" s="776"/>
      <c r="GI106" s="776"/>
      <c r="GJ106" s="776"/>
      <c r="GK106" s="776"/>
      <c r="GL106" s="776"/>
    </row>
    <row r="107" spans="3:194" ht="12.75">
      <c r="C107" s="1810"/>
      <c r="D107" s="1365"/>
      <c r="E107" s="1365"/>
      <c r="F107" s="1365"/>
      <c r="G107" s="1365"/>
      <c r="H107" s="1811"/>
      <c r="I107" s="1811"/>
      <c r="J107" s="1811"/>
      <c r="K107" s="1811"/>
      <c r="L107" s="1811"/>
      <c r="M107" s="1811"/>
      <c r="N107" s="1811"/>
      <c r="O107" s="1811"/>
      <c r="P107" s="1811"/>
      <c r="Q107" s="1811"/>
      <c r="R107" s="1811"/>
      <c r="S107" s="1811"/>
      <c r="T107" s="1811"/>
      <c r="U107" s="776"/>
      <c r="V107" s="776"/>
      <c r="W107" s="776"/>
      <c r="X107" s="776"/>
      <c r="Y107" s="776"/>
      <c r="Z107" s="776"/>
      <c r="AA107" s="776"/>
      <c r="AB107" s="776"/>
      <c r="AC107" s="776"/>
      <c r="AD107" s="776"/>
      <c r="AE107" s="776"/>
      <c r="AF107" s="776"/>
      <c r="AG107" s="776"/>
      <c r="AH107" s="776"/>
      <c r="AI107" s="776"/>
      <c r="AJ107" s="776"/>
      <c r="AK107" s="776"/>
      <c r="AL107" s="776"/>
      <c r="AM107" s="776"/>
      <c r="AN107" s="776"/>
      <c r="AO107" s="776"/>
      <c r="AP107" s="776"/>
      <c r="AQ107" s="776"/>
      <c r="AR107" s="776"/>
      <c r="AS107" s="776"/>
      <c r="AT107" s="776"/>
      <c r="AU107" s="776"/>
      <c r="AV107" s="776"/>
      <c r="AW107" s="776"/>
      <c r="AX107" s="776"/>
      <c r="AY107" s="776"/>
      <c r="AZ107" s="776"/>
      <c r="BA107" s="776"/>
      <c r="BB107" s="776"/>
      <c r="BC107" s="776"/>
      <c r="BD107" s="776"/>
      <c r="BE107" s="776"/>
      <c r="BF107" s="776"/>
      <c r="BG107" s="776"/>
      <c r="BH107" s="776"/>
      <c r="BI107" s="776"/>
      <c r="BJ107" s="776"/>
      <c r="BK107" s="776"/>
      <c r="BL107" s="776"/>
      <c r="BM107" s="776"/>
      <c r="BN107" s="776"/>
      <c r="BO107" s="776"/>
      <c r="BP107" s="776"/>
      <c r="BQ107" s="776"/>
      <c r="BR107" s="776"/>
      <c r="BS107" s="776"/>
      <c r="BT107" s="776"/>
      <c r="BU107" s="776"/>
      <c r="BV107" s="776"/>
      <c r="BW107" s="776"/>
      <c r="BX107" s="776"/>
      <c r="BY107" s="776"/>
      <c r="BZ107" s="776"/>
      <c r="CA107" s="776"/>
      <c r="CB107" s="776"/>
      <c r="CC107" s="776"/>
      <c r="CD107" s="776"/>
      <c r="CE107" s="776"/>
      <c r="CF107" s="776"/>
      <c r="CG107" s="776"/>
      <c r="CH107" s="776"/>
      <c r="CI107" s="776"/>
      <c r="CJ107" s="776"/>
      <c r="CK107" s="776"/>
      <c r="CL107" s="776"/>
      <c r="CM107" s="776"/>
      <c r="CN107" s="776"/>
      <c r="CO107" s="776"/>
      <c r="CP107" s="776"/>
      <c r="CQ107" s="776"/>
      <c r="CR107" s="776"/>
      <c r="CS107" s="776"/>
      <c r="CT107" s="776"/>
      <c r="CU107" s="776"/>
      <c r="CV107" s="776"/>
      <c r="CW107" s="776"/>
      <c r="CX107" s="776"/>
      <c r="CY107" s="776"/>
      <c r="CZ107" s="776"/>
      <c r="DA107" s="776"/>
      <c r="DB107" s="776"/>
      <c r="DC107" s="776"/>
      <c r="DD107" s="776"/>
      <c r="DE107" s="776"/>
      <c r="DF107" s="776"/>
      <c r="DG107" s="776"/>
      <c r="DH107" s="776"/>
      <c r="DI107" s="776"/>
      <c r="DJ107" s="776"/>
      <c r="DK107" s="776"/>
      <c r="DL107" s="776"/>
      <c r="DM107" s="776"/>
      <c r="DN107" s="776"/>
      <c r="DO107" s="776"/>
      <c r="DP107" s="776"/>
      <c r="DQ107" s="776"/>
      <c r="DR107" s="776"/>
      <c r="DS107" s="776"/>
      <c r="DT107" s="776"/>
      <c r="DU107" s="776"/>
      <c r="DV107" s="776"/>
      <c r="DW107" s="776"/>
      <c r="DX107" s="776"/>
      <c r="DY107" s="776"/>
      <c r="DZ107" s="776"/>
      <c r="EA107" s="776"/>
      <c r="EB107" s="776"/>
      <c r="EC107" s="776"/>
      <c r="ED107" s="776"/>
      <c r="EE107" s="776"/>
      <c r="EF107" s="776"/>
      <c r="EG107" s="776"/>
      <c r="EH107" s="776"/>
      <c r="EI107" s="776"/>
      <c r="EJ107" s="776"/>
      <c r="EK107" s="776"/>
      <c r="EL107" s="776"/>
      <c r="EM107" s="776"/>
      <c r="EN107" s="776"/>
      <c r="EO107" s="776"/>
      <c r="EP107" s="776"/>
      <c r="EQ107" s="776"/>
      <c r="ER107" s="776"/>
      <c r="ES107" s="776"/>
      <c r="ET107" s="776"/>
      <c r="EU107" s="776"/>
      <c r="EV107" s="776"/>
      <c r="EW107" s="776"/>
      <c r="EX107" s="776"/>
      <c r="EY107" s="776"/>
      <c r="EZ107" s="776"/>
      <c r="FA107" s="776"/>
      <c r="FB107" s="776"/>
      <c r="FC107" s="776"/>
      <c r="FD107" s="776"/>
      <c r="FE107" s="776"/>
      <c r="FF107" s="776"/>
      <c r="FG107" s="776"/>
      <c r="FH107" s="776"/>
      <c r="FI107" s="776"/>
      <c r="FJ107" s="776"/>
      <c r="FK107" s="776"/>
      <c r="FL107" s="776"/>
      <c r="FM107" s="776"/>
      <c r="FN107" s="776"/>
      <c r="FO107" s="776"/>
      <c r="FP107" s="776"/>
      <c r="FQ107" s="776"/>
      <c r="FR107" s="776"/>
      <c r="FS107" s="776"/>
      <c r="FT107" s="776"/>
      <c r="FU107" s="776"/>
      <c r="FV107" s="776"/>
      <c r="FW107" s="776"/>
      <c r="FX107" s="776"/>
      <c r="FY107" s="776"/>
      <c r="FZ107" s="776"/>
      <c r="GA107" s="776"/>
      <c r="GB107" s="776"/>
      <c r="GC107" s="776"/>
      <c r="GD107" s="776"/>
      <c r="GE107" s="776"/>
      <c r="GF107" s="776"/>
      <c r="GG107" s="776"/>
      <c r="GH107" s="776"/>
      <c r="GI107" s="776"/>
      <c r="GJ107" s="776"/>
      <c r="GK107" s="776"/>
      <c r="GL107" s="776"/>
    </row>
    <row r="108" spans="3:194" ht="12.75">
      <c r="C108" s="1810"/>
      <c r="D108" s="1365"/>
      <c r="E108" s="1365"/>
      <c r="F108" s="1365"/>
      <c r="G108" s="1365"/>
      <c r="H108" s="1812"/>
      <c r="I108" s="1812"/>
      <c r="J108" s="1812"/>
      <c r="K108" s="1812"/>
      <c r="L108" s="1812"/>
      <c r="M108" s="1812"/>
      <c r="N108" s="1812"/>
      <c r="O108" s="1812"/>
      <c r="P108" s="1812"/>
      <c r="Q108" s="1812"/>
      <c r="R108" s="1812"/>
      <c r="S108" s="1812"/>
      <c r="T108" s="1812"/>
      <c r="U108" s="776"/>
      <c r="V108" s="776"/>
      <c r="W108" s="776"/>
      <c r="X108" s="776"/>
      <c r="Y108" s="776"/>
      <c r="Z108" s="776"/>
      <c r="AA108" s="776"/>
      <c r="AB108" s="776"/>
      <c r="AC108" s="776"/>
      <c r="AD108" s="776"/>
      <c r="AE108" s="776"/>
      <c r="AF108" s="776"/>
      <c r="AG108" s="776"/>
      <c r="AH108" s="776"/>
      <c r="AI108" s="776"/>
      <c r="AJ108" s="776"/>
      <c r="AK108" s="776"/>
      <c r="AL108" s="776"/>
      <c r="AM108" s="776"/>
      <c r="AN108" s="776"/>
      <c r="AO108" s="776"/>
      <c r="AP108" s="776"/>
      <c r="AQ108" s="776"/>
      <c r="AR108" s="776"/>
      <c r="AS108" s="776"/>
      <c r="AT108" s="776"/>
      <c r="AU108" s="776"/>
      <c r="AV108" s="776"/>
      <c r="AW108" s="776"/>
      <c r="AX108" s="776"/>
      <c r="AY108" s="776"/>
      <c r="AZ108" s="776"/>
      <c r="BA108" s="776"/>
      <c r="BB108" s="776"/>
      <c r="BC108" s="776"/>
      <c r="BD108" s="776"/>
      <c r="BE108" s="776"/>
      <c r="BF108" s="776"/>
      <c r="BG108" s="776"/>
      <c r="BH108" s="776"/>
      <c r="BI108" s="776"/>
      <c r="BJ108" s="776"/>
      <c r="BK108" s="776"/>
      <c r="BL108" s="776"/>
      <c r="BM108" s="776"/>
      <c r="BN108" s="776"/>
      <c r="BO108" s="776"/>
      <c r="BP108" s="776"/>
      <c r="BQ108" s="776"/>
      <c r="BR108" s="776"/>
      <c r="BS108" s="776"/>
      <c r="BT108" s="776"/>
      <c r="BU108" s="776"/>
      <c r="BV108" s="776"/>
      <c r="BW108" s="776"/>
      <c r="BX108" s="776"/>
      <c r="BY108" s="776"/>
      <c r="BZ108" s="776"/>
      <c r="CA108" s="776"/>
      <c r="CB108" s="776"/>
      <c r="CC108" s="776"/>
      <c r="CD108" s="776"/>
      <c r="CE108" s="776"/>
      <c r="CF108" s="776"/>
      <c r="CG108" s="776"/>
      <c r="CH108" s="776"/>
      <c r="CI108" s="776"/>
      <c r="CJ108" s="776"/>
      <c r="CK108" s="776"/>
      <c r="CL108" s="776"/>
      <c r="CM108" s="776"/>
      <c r="CN108" s="776"/>
      <c r="CO108" s="776"/>
      <c r="CP108" s="776"/>
      <c r="CQ108" s="776"/>
      <c r="CR108" s="776"/>
      <c r="CS108" s="776"/>
      <c r="CT108" s="776"/>
      <c r="CU108" s="776"/>
      <c r="CV108" s="776"/>
      <c r="CW108" s="776"/>
      <c r="CX108" s="776"/>
      <c r="CY108" s="776"/>
      <c r="CZ108" s="776"/>
      <c r="DA108" s="776"/>
      <c r="DB108" s="776"/>
      <c r="DC108" s="776"/>
      <c r="DD108" s="776"/>
      <c r="DE108" s="776"/>
      <c r="DF108" s="776"/>
      <c r="DG108" s="776"/>
      <c r="DH108" s="776"/>
      <c r="DI108" s="776"/>
      <c r="DJ108" s="776"/>
      <c r="DK108" s="776"/>
      <c r="DL108" s="776"/>
      <c r="DM108" s="776"/>
      <c r="DN108" s="776"/>
      <c r="DO108" s="776"/>
      <c r="DP108" s="776"/>
      <c r="DQ108" s="776"/>
      <c r="DR108" s="776"/>
      <c r="DS108" s="776"/>
      <c r="DT108" s="776"/>
      <c r="DU108" s="776"/>
      <c r="DV108" s="776"/>
      <c r="DW108" s="776"/>
      <c r="DX108" s="776"/>
      <c r="DY108" s="776"/>
      <c r="DZ108" s="776"/>
      <c r="EA108" s="776"/>
      <c r="EB108" s="776"/>
      <c r="EC108" s="776"/>
      <c r="ED108" s="776"/>
      <c r="EE108" s="776"/>
      <c r="EF108" s="776"/>
      <c r="EG108" s="776"/>
      <c r="EH108" s="776"/>
      <c r="EI108" s="776"/>
      <c r="EJ108" s="776"/>
      <c r="EK108" s="776"/>
      <c r="EL108" s="776"/>
      <c r="EM108" s="776"/>
      <c r="EN108" s="776"/>
      <c r="EO108" s="776"/>
      <c r="EP108" s="776"/>
      <c r="EQ108" s="776"/>
      <c r="ER108" s="776"/>
      <c r="ES108" s="776"/>
      <c r="ET108" s="776"/>
      <c r="EU108" s="776"/>
      <c r="EV108" s="776"/>
      <c r="EW108" s="776"/>
      <c r="EX108" s="776"/>
      <c r="EY108" s="776"/>
      <c r="EZ108" s="776"/>
      <c r="FA108" s="776"/>
      <c r="FB108" s="776"/>
      <c r="FC108" s="776"/>
      <c r="FD108" s="776"/>
      <c r="FE108" s="776"/>
      <c r="FF108" s="776"/>
      <c r="FG108" s="776"/>
      <c r="FH108" s="776"/>
      <c r="FI108" s="776"/>
      <c r="FJ108" s="776"/>
      <c r="FK108" s="776"/>
      <c r="FL108" s="776"/>
      <c r="FM108" s="776"/>
      <c r="FN108" s="776"/>
      <c r="FO108" s="776"/>
      <c r="FP108" s="776"/>
      <c r="FQ108" s="776"/>
      <c r="FR108" s="776"/>
      <c r="FS108" s="776"/>
      <c r="FT108" s="776"/>
      <c r="FU108" s="776"/>
      <c r="FV108" s="776"/>
      <c r="FW108" s="776"/>
      <c r="FX108" s="776"/>
      <c r="FY108" s="776"/>
      <c r="FZ108" s="776"/>
      <c r="GA108" s="776"/>
      <c r="GB108" s="776"/>
      <c r="GC108" s="776"/>
      <c r="GD108" s="776"/>
      <c r="GE108" s="776"/>
      <c r="GF108" s="776"/>
      <c r="GG108" s="776"/>
      <c r="GH108" s="776"/>
      <c r="GI108" s="776"/>
      <c r="GJ108" s="776"/>
      <c r="GK108" s="776"/>
      <c r="GL108" s="776"/>
    </row>
    <row r="109" spans="3:194" ht="12.75">
      <c r="C109" s="1810"/>
      <c r="D109" s="1365"/>
      <c r="E109" s="1365"/>
      <c r="F109" s="1365"/>
      <c r="G109" s="1365"/>
      <c r="H109" s="1811"/>
      <c r="I109" s="1811"/>
      <c r="J109" s="1811"/>
      <c r="K109" s="1811"/>
      <c r="L109" s="1811"/>
      <c r="M109" s="1811"/>
      <c r="N109" s="1811"/>
      <c r="O109" s="1811"/>
      <c r="P109" s="1811"/>
      <c r="Q109" s="1811"/>
      <c r="R109" s="1811"/>
      <c r="S109" s="1811"/>
      <c r="T109" s="1811"/>
      <c r="U109" s="776"/>
      <c r="V109" s="776"/>
      <c r="W109" s="776"/>
      <c r="X109" s="776"/>
      <c r="Y109" s="776"/>
      <c r="Z109" s="776"/>
      <c r="AA109" s="776"/>
      <c r="AB109" s="776"/>
      <c r="AC109" s="776"/>
      <c r="AD109" s="776"/>
      <c r="AE109" s="776"/>
      <c r="AF109" s="776"/>
      <c r="AG109" s="776"/>
      <c r="AH109" s="776"/>
      <c r="AI109" s="776"/>
      <c r="AJ109" s="776"/>
      <c r="AK109" s="776"/>
      <c r="AL109" s="776"/>
      <c r="AM109" s="776"/>
      <c r="AN109" s="776"/>
      <c r="AO109" s="776"/>
      <c r="AP109" s="776"/>
      <c r="AQ109" s="776"/>
      <c r="AR109" s="776"/>
      <c r="AS109" s="776"/>
      <c r="AT109" s="776"/>
      <c r="AU109" s="776"/>
      <c r="AV109" s="776"/>
      <c r="AW109" s="776"/>
      <c r="AX109" s="776"/>
      <c r="AY109" s="776"/>
      <c r="AZ109" s="776"/>
      <c r="BA109" s="776"/>
      <c r="BB109" s="776"/>
      <c r="BC109" s="776"/>
      <c r="BD109" s="776"/>
      <c r="BE109" s="776"/>
      <c r="BF109" s="776"/>
      <c r="BG109" s="776"/>
      <c r="BH109" s="776"/>
      <c r="BI109" s="776"/>
      <c r="BJ109" s="776"/>
      <c r="BK109" s="776"/>
      <c r="BL109" s="776"/>
      <c r="BM109" s="776"/>
      <c r="BN109" s="776"/>
      <c r="BO109" s="776"/>
      <c r="BP109" s="776"/>
      <c r="BQ109" s="776"/>
      <c r="BR109" s="776"/>
      <c r="BS109" s="776"/>
      <c r="BT109" s="776"/>
      <c r="BU109" s="776"/>
      <c r="BV109" s="776"/>
      <c r="BW109" s="776"/>
      <c r="BX109" s="776"/>
      <c r="BY109" s="776"/>
      <c r="BZ109" s="776"/>
      <c r="CA109" s="776"/>
      <c r="CB109" s="776"/>
      <c r="CC109" s="776"/>
      <c r="CD109" s="776"/>
      <c r="CE109" s="776"/>
      <c r="CF109" s="776"/>
      <c r="CG109" s="776"/>
      <c r="CH109" s="776"/>
      <c r="CI109" s="776"/>
      <c r="CJ109" s="776"/>
      <c r="CK109" s="776"/>
      <c r="CL109" s="776"/>
      <c r="CM109" s="776"/>
      <c r="CN109" s="776"/>
      <c r="CO109" s="776"/>
      <c r="CP109" s="776"/>
      <c r="CQ109" s="776"/>
      <c r="CR109" s="776"/>
      <c r="CS109" s="776"/>
      <c r="CT109" s="776"/>
      <c r="CU109" s="776"/>
      <c r="CV109" s="776"/>
      <c r="CW109" s="776"/>
      <c r="CX109" s="776"/>
      <c r="CY109" s="776"/>
      <c r="CZ109" s="776"/>
      <c r="DA109" s="776"/>
      <c r="DB109" s="776"/>
      <c r="DC109" s="776"/>
      <c r="DD109" s="776"/>
      <c r="DE109" s="776"/>
      <c r="DF109" s="776"/>
      <c r="DG109" s="776"/>
      <c r="DH109" s="776"/>
      <c r="DI109" s="776"/>
      <c r="DJ109" s="776"/>
      <c r="DK109" s="776"/>
      <c r="DL109" s="776"/>
      <c r="DM109" s="776"/>
      <c r="DN109" s="776"/>
      <c r="DO109" s="776"/>
      <c r="DP109" s="776"/>
      <c r="DQ109" s="776"/>
      <c r="DR109" s="776"/>
      <c r="DS109" s="776"/>
      <c r="DT109" s="776"/>
      <c r="DU109" s="776"/>
      <c r="DV109" s="776"/>
      <c r="DW109" s="776"/>
      <c r="DX109" s="776"/>
      <c r="DY109" s="776"/>
      <c r="DZ109" s="776"/>
      <c r="EA109" s="776"/>
      <c r="EB109" s="776"/>
      <c r="EC109" s="776"/>
      <c r="ED109" s="776"/>
      <c r="EE109" s="776"/>
      <c r="EF109" s="776"/>
      <c r="EG109" s="776"/>
      <c r="EH109" s="776"/>
      <c r="EI109" s="776"/>
      <c r="EJ109" s="776"/>
      <c r="EK109" s="776"/>
      <c r="EL109" s="776"/>
      <c r="EM109" s="776"/>
      <c r="EN109" s="776"/>
      <c r="EO109" s="776"/>
      <c r="EP109" s="776"/>
      <c r="EQ109" s="776"/>
      <c r="ER109" s="776"/>
      <c r="ES109" s="776"/>
      <c r="ET109" s="776"/>
      <c r="EU109" s="776"/>
      <c r="EV109" s="776"/>
      <c r="EW109" s="776"/>
      <c r="EX109" s="776"/>
      <c r="EY109" s="776"/>
      <c r="EZ109" s="776"/>
      <c r="FA109" s="776"/>
      <c r="FB109" s="776"/>
      <c r="FC109" s="776"/>
      <c r="FD109" s="776"/>
      <c r="FE109" s="776"/>
      <c r="FF109" s="776"/>
      <c r="FG109" s="776"/>
      <c r="FH109" s="776"/>
      <c r="FI109" s="776"/>
      <c r="FJ109" s="776"/>
      <c r="FK109" s="776"/>
      <c r="FL109" s="776"/>
      <c r="FM109" s="776"/>
      <c r="FN109" s="776"/>
      <c r="FO109" s="776"/>
      <c r="FP109" s="776"/>
      <c r="FQ109" s="776"/>
      <c r="FR109" s="776"/>
      <c r="FS109" s="776"/>
      <c r="FT109" s="776"/>
      <c r="FU109" s="776"/>
      <c r="FV109" s="776"/>
      <c r="FW109" s="776"/>
      <c r="FX109" s="776"/>
      <c r="FY109" s="776"/>
      <c r="FZ109" s="776"/>
      <c r="GA109" s="776"/>
      <c r="GB109" s="776"/>
      <c r="GC109" s="776"/>
      <c r="GD109" s="776"/>
      <c r="GE109" s="776"/>
      <c r="GF109" s="776"/>
      <c r="GG109" s="776"/>
      <c r="GH109" s="776"/>
      <c r="GI109" s="776"/>
      <c r="GJ109" s="776"/>
      <c r="GK109" s="776"/>
      <c r="GL109" s="776"/>
    </row>
    <row r="110" spans="3:194" ht="12.75">
      <c r="C110" s="1810"/>
      <c r="D110" s="1365"/>
      <c r="E110" s="1365"/>
      <c r="F110" s="1365"/>
      <c r="G110" s="1365"/>
      <c r="H110" s="1811"/>
      <c r="I110" s="1811"/>
      <c r="J110" s="1811"/>
      <c r="K110" s="1811"/>
      <c r="L110" s="1811"/>
      <c r="M110" s="1811"/>
      <c r="N110" s="1811"/>
      <c r="O110" s="1811"/>
      <c r="P110" s="1811"/>
      <c r="Q110" s="1811"/>
      <c r="R110" s="1811"/>
      <c r="S110" s="1811"/>
      <c r="T110" s="1811"/>
      <c r="U110" s="776"/>
      <c r="V110" s="776"/>
      <c r="W110" s="776"/>
      <c r="X110" s="776"/>
      <c r="Y110" s="776"/>
      <c r="Z110" s="776"/>
      <c r="AA110" s="776"/>
      <c r="AB110" s="776"/>
      <c r="AC110" s="776"/>
      <c r="AD110" s="776"/>
      <c r="AE110" s="776"/>
      <c r="AF110" s="776"/>
      <c r="AG110" s="776"/>
      <c r="AH110" s="776"/>
      <c r="AI110" s="776"/>
      <c r="AJ110" s="776"/>
      <c r="AK110" s="776"/>
      <c r="AL110" s="776"/>
      <c r="AM110" s="776"/>
      <c r="AN110" s="776"/>
      <c r="AO110" s="776"/>
      <c r="AP110" s="776"/>
      <c r="AQ110" s="776"/>
      <c r="AR110" s="776"/>
      <c r="AS110" s="776"/>
      <c r="AT110" s="776"/>
      <c r="AU110" s="776"/>
      <c r="AV110" s="776"/>
      <c r="AW110" s="776"/>
      <c r="AX110" s="776"/>
      <c r="AY110" s="776"/>
      <c r="AZ110" s="776"/>
      <c r="BA110" s="776"/>
      <c r="BB110" s="776"/>
      <c r="BC110" s="776"/>
      <c r="BD110" s="776"/>
      <c r="BE110" s="776"/>
      <c r="BF110" s="776"/>
      <c r="BG110" s="776"/>
      <c r="BH110" s="776"/>
      <c r="BI110" s="776"/>
      <c r="BJ110" s="776"/>
      <c r="BK110" s="776"/>
      <c r="BL110" s="776"/>
      <c r="BM110" s="776"/>
      <c r="BN110" s="776"/>
      <c r="BO110" s="776"/>
      <c r="BP110" s="776"/>
      <c r="BQ110" s="776"/>
      <c r="BR110" s="776"/>
      <c r="BS110" s="776"/>
      <c r="BT110" s="776"/>
      <c r="BU110" s="776"/>
      <c r="BV110" s="776"/>
      <c r="BW110" s="776"/>
      <c r="BX110" s="776"/>
      <c r="BY110" s="776"/>
      <c r="BZ110" s="776"/>
      <c r="CA110" s="776"/>
      <c r="CB110" s="776"/>
      <c r="CC110" s="776"/>
      <c r="CD110" s="776"/>
      <c r="CE110" s="776"/>
      <c r="CF110" s="776"/>
      <c r="CG110" s="776"/>
      <c r="CH110" s="776"/>
      <c r="CI110" s="776"/>
      <c r="CJ110" s="776"/>
      <c r="CK110" s="776"/>
      <c r="CL110" s="776"/>
      <c r="CM110" s="776"/>
      <c r="CN110" s="776"/>
      <c r="CO110" s="776"/>
      <c r="CP110" s="776"/>
      <c r="CQ110" s="776"/>
      <c r="CR110" s="776"/>
      <c r="CS110" s="776"/>
      <c r="CT110" s="776"/>
      <c r="CU110" s="776"/>
      <c r="CV110" s="776"/>
      <c r="CW110" s="776"/>
      <c r="CX110" s="776"/>
      <c r="CY110" s="776"/>
      <c r="CZ110" s="776"/>
      <c r="DA110" s="776"/>
      <c r="DB110" s="776"/>
      <c r="DC110" s="776"/>
      <c r="DD110" s="776"/>
      <c r="DE110" s="776"/>
      <c r="DF110" s="776"/>
      <c r="DG110" s="776"/>
      <c r="DH110" s="776"/>
      <c r="DI110" s="776"/>
      <c r="DJ110" s="776"/>
      <c r="DK110" s="776"/>
      <c r="DL110" s="776"/>
      <c r="DM110" s="776"/>
      <c r="DN110" s="776"/>
      <c r="DO110" s="776"/>
      <c r="DP110" s="776"/>
      <c r="DQ110" s="776"/>
      <c r="DR110" s="776"/>
      <c r="DS110" s="776"/>
      <c r="DT110" s="776"/>
      <c r="DU110" s="776"/>
      <c r="DV110" s="776"/>
      <c r="DW110" s="776"/>
      <c r="DX110" s="776"/>
      <c r="DY110" s="776"/>
      <c r="DZ110" s="776"/>
      <c r="EA110" s="776"/>
      <c r="EB110" s="776"/>
      <c r="EC110" s="776"/>
      <c r="ED110" s="776"/>
      <c r="EE110" s="776"/>
      <c r="EF110" s="776"/>
      <c r="EG110" s="776"/>
      <c r="EH110" s="776"/>
      <c r="EI110" s="776"/>
      <c r="EJ110" s="776"/>
      <c r="EK110" s="776"/>
      <c r="EL110" s="776"/>
      <c r="EM110" s="776"/>
      <c r="EN110" s="776"/>
      <c r="EO110" s="776"/>
      <c r="EP110" s="776"/>
      <c r="EQ110" s="776"/>
      <c r="ER110" s="776"/>
      <c r="ES110" s="776"/>
      <c r="ET110" s="776"/>
      <c r="EU110" s="776"/>
      <c r="EV110" s="776"/>
      <c r="EW110" s="776"/>
      <c r="EX110" s="776"/>
      <c r="EY110" s="776"/>
      <c r="EZ110" s="776"/>
      <c r="FA110" s="776"/>
      <c r="FB110" s="776"/>
      <c r="FC110" s="776"/>
      <c r="FD110" s="776"/>
      <c r="FE110" s="776"/>
      <c r="FF110" s="776"/>
      <c r="FG110" s="776"/>
      <c r="FH110" s="776"/>
      <c r="FI110" s="776"/>
      <c r="FJ110" s="776"/>
      <c r="FK110" s="776"/>
      <c r="FL110" s="776"/>
      <c r="FM110" s="776"/>
      <c r="FN110" s="776"/>
      <c r="FO110" s="776"/>
      <c r="FP110" s="776"/>
      <c r="FQ110" s="776"/>
      <c r="FR110" s="776"/>
      <c r="FS110" s="776"/>
      <c r="FT110" s="776"/>
      <c r="FU110" s="776"/>
      <c r="FV110" s="776"/>
      <c r="FW110" s="776"/>
      <c r="FX110" s="776"/>
      <c r="FY110" s="776"/>
      <c r="FZ110" s="776"/>
      <c r="GA110" s="776"/>
      <c r="GB110" s="776"/>
      <c r="GC110" s="776"/>
      <c r="GD110" s="776"/>
      <c r="GE110" s="776"/>
      <c r="GF110" s="776"/>
      <c r="GG110" s="776"/>
      <c r="GH110" s="776"/>
      <c r="GI110" s="776"/>
      <c r="GJ110" s="776"/>
      <c r="GK110" s="776"/>
      <c r="GL110" s="776"/>
    </row>
    <row r="111" spans="3:194" ht="12.75">
      <c r="C111" s="1810"/>
      <c r="D111" s="1365"/>
      <c r="E111" s="1365"/>
      <c r="F111" s="1365"/>
      <c r="G111" s="1365"/>
      <c r="H111" s="1811"/>
      <c r="I111" s="1811"/>
      <c r="J111" s="1811"/>
      <c r="K111" s="1811"/>
      <c r="L111" s="1811"/>
      <c r="M111" s="1811"/>
      <c r="N111" s="1811"/>
      <c r="O111" s="1811"/>
      <c r="P111" s="1811"/>
      <c r="Q111" s="1811"/>
      <c r="R111" s="1811"/>
      <c r="S111" s="1811"/>
      <c r="T111" s="1811"/>
      <c r="U111" s="776"/>
      <c r="V111" s="776"/>
      <c r="W111" s="776"/>
      <c r="X111" s="776"/>
      <c r="Y111" s="776"/>
      <c r="Z111" s="776"/>
      <c r="AA111" s="776"/>
      <c r="AB111" s="776"/>
      <c r="AC111" s="776"/>
      <c r="AD111" s="776"/>
      <c r="AE111" s="776"/>
      <c r="AF111" s="776"/>
      <c r="AG111" s="776"/>
      <c r="AH111" s="776"/>
      <c r="AI111" s="776"/>
      <c r="AJ111" s="776"/>
      <c r="AK111" s="776"/>
      <c r="AL111" s="776"/>
      <c r="AM111" s="776"/>
      <c r="AN111" s="776"/>
      <c r="AO111" s="776"/>
      <c r="AP111" s="776"/>
      <c r="AQ111" s="776"/>
      <c r="AR111" s="776"/>
      <c r="AS111" s="776"/>
      <c r="AT111" s="776"/>
      <c r="AU111" s="776"/>
      <c r="AV111" s="776"/>
      <c r="AW111" s="776"/>
      <c r="AX111" s="776"/>
      <c r="AY111" s="776"/>
      <c r="AZ111" s="776"/>
      <c r="BA111" s="776"/>
      <c r="BB111" s="776"/>
      <c r="BC111" s="776"/>
      <c r="BD111" s="776"/>
      <c r="BE111" s="776"/>
      <c r="BF111" s="776"/>
      <c r="BG111" s="776"/>
      <c r="BH111" s="776"/>
      <c r="BI111" s="776"/>
      <c r="BJ111" s="776"/>
      <c r="BK111" s="776"/>
      <c r="BL111" s="776"/>
      <c r="BM111" s="776"/>
      <c r="BN111" s="776"/>
      <c r="BO111" s="776"/>
      <c r="BP111" s="776"/>
      <c r="BQ111" s="776"/>
      <c r="BR111" s="776"/>
      <c r="BS111" s="776"/>
      <c r="BT111" s="776"/>
      <c r="BU111" s="776"/>
      <c r="BV111" s="776"/>
      <c r="BW111" s="776"/>
      <c r="BX111" s="776"/>
      <c r="BY111" s="776"/>
      <c r="BZ111" s="776"/>
      <c r="CA111" s="776"/>
      <c r="CB111" s="776"/>
      <c r="CC111" s="776"/>
      <c r="CD111" s="776"/>
      <c r="CE111" s="776"/>
      <c r="CF111" s="776"/>
      <c r="CG111" s="776"/>
      <c r="CH111" s="776"/>
      <c r="CI111" s="776"/>
      <c r="CJ111" s="776"/>
      <c r="CK111" s="776"/>
      <c r="CL111" s="776"/>
      <c r="CM111" s="776"/>
      <c r="CN111" s="776"/>
      <c r="CO111" s="776"/>
      <c r="CP111" s="776"/>
      <c r="CQ111" s="776"/>
      <c r="CR111" s="776"/>
      <c r="CS111" s="776"/>
      <c r="CT111" s="776"/>
      <c r="CU111" s="776"/>
      <c r="CV111" s="776"/>
      <c r="CW111" s="776"/>
      <c r="CX111" s="776"/>
      <c r="CY111" s="776"/>
      <c r="CZ111" s="776"/>
      <c r="DA111" s="776"/>
      <c r="DB111" s="776"/>
      <c r="DC111" s="776"/>
      <c r="DD111" s="776"/>
      <c r="DE111" s="776"/>
      <c r="DF111" s="776"/>
      <c r="DG111" s="776"/>
      <c r="DH111" s="776"/>
      <c r="DI111" s="776"/>
      <c r="DJ111" s="776"/>
      <c r="DK111" s="776"/>
      <c r="DL111" s="776"/>
      <c r="DM111" s="776"/>
      <c r="DN111" s="776"/>
      <c r="DO111" s="776"/>
      <c r="DP111" s="776"/>
      <c r="DQ111" s="776"/>
      <c r="DR111" s="776"/>
      <c r="DS111" s="776"/>
      <c r="DT111" s="776"/>
      <c r="DU111" s="776"/>
      <c r="DV111" s="776"/>
      <c r="DW111" s="776"/>
      <c r="DX111" s="776"/>
      <c r="DY111" s="776"/>
      <c r="DZ111" s="776"/>
      <c r="EA111" s="776"/>
      <c r="EB111" s="776"/>
      <c r="EC111" s="776"/>
      <c r="ED111" s="776"/>
      <c r="EE111" s="776"/>
      <c r="EF111" s="776"/>
      <c r="EG111" s="776"/>
      <c r="EH111" s="776"/>
      <c r="EI111" s="776"/>
      <c r="EJ111" s="776"/>
      <c r="EK111" s="776"/>
      <c r="EL111" s="776"/>
      <c r="EM111" s="776"/>
      <c r="EN111" s="776"/>
      <c r="EO111" s="776"/>
      <c r="EP111" s="776"/>
      <c r="EQ111" s="776"/>
      <c r="ER111" s="776"/>
      <c r="ES111" s="776"/>
      <c r="ET111" s="776"/>
      <c r="EU111" s="776"/>
      <c r="EV111" s="776"/>
      <c r="EW111" s="776"/>
      <c r="EX111" s="776"/>
      <c r="EY111" s="776"/>
      <c r="EZ111" s="776"/>
      <c r="FA111" s="776"/>
      <c r="FB111" s="776"/>
      <c r="FC111" s="776"/>
      <c r="FD111" s="776"/>
      <c r="FE111" s="776"/>
      <c r="FF111" s="776"/>
      <c r="FG111" s="776"/>
      <c r="FH111" s="776"/>
      <c r="FI111" s="776"/>
      <c r="FJ111" s="776"/>
      <c r="FK111" s="776"/>
      <c r="FL111" s="776"/>
      <c r="FM111" s="776"/>
      <c r="FN111" s="776"/>
      <c r="FO111" s="776"/>
      <c r="FP111" s="776"/>
      <c r="FQ111" s="776"/>
      <c r="FR111" s="776"/>
      <c r="FS111" s="776"/>
      <c r="FT111" s="776"/>
      <c r="FU111" s="776"/>
      <c r="FV111" s="776"/>
      <c r="FW111" s="776"/>
      <c r="FX111" s="776"/>
      <c r="FY111" s="776"/>
      <c r="FZ111" s="776"/>
      <c r="GA111" s="776"/>
      <c r="GB111" s="776"/>
      <c r="GC111" s="776"/>
      <c r="GD111" s="776"/>
      <c r="GE111" s="776"/>
      <c r="GF111" s="776"/>
      <c r="GG111" s="776"/>
      <c r="GH111" s="776"/>
      <c r="GI111" s="776"/>
      <c r="GJ111" s="776"/>
      <c r="GK111" s="776"/>
      <c r="GL111" s="776"/>
    </row>
    <row r="112" spans="3:194" ht="12.75">
      <c r="C112" s="1810"/>
      <c r="D112" s="1365"/>
      <c r="E112" s="1365"/>
      <c r="F112" s="1365"/>
      <c r="G112" s="1365"/>
      <c r="H112" s="1811"/>
      <c r="I112" s="1811"/>
      <c r="J112" s="1811"/>
      <c r="K112" s="1811"/>
      <c r="L112" s="1811"/>
      <c r="M112" s="1811"/>
      <c r="N112" s="1811"/>
      <c r="O112" s="1811"/>
      <c r="P112" s="1811"/>
      <c r="Q112" s="1811"/>
      <c r="R112" s="1811"/>
      <c r="S112" s="1811"/>
      <c r="T112" s="1811"/>
      <c r="U112" s="776"/>
      <c r="V112" s="776"/>
      <c r="W112" s="776"/>
      <c r="X112" s="776"/>
      <c r="Y112" s="776"/>
      <c r="Z112" s="776"/>
      <c r="AA112" s="776"/>
      <c r="AB112" s="776"/>
      <c r="AC112" s="776"/>
      <c r="AD112" s="776"/>
      <c r="AE112" s="776"/>
      <c r="AF112" s="776"/>
      <c r="AG112" s="776"/>
      <c r="AH112" s="776"/>
      <c r="AI112" s="776"/>
      <c r="AJ112" s="776"/>
      <c r="AK112" s="776"/>
      <c r="AL112" s="776"/>
      <c r="AM112" s="776"/>
      <c r="AN112" s="776"/>
      <c r="AO112" s="776"/>
      <c r="AP112" s="776"/>
      <c r="AQ112" s="776"/>
      <c r="AR112" s="776"/>
      <c r="AS112" s="776"/>
      <c r="AT112" s="776"/>
      <c r="AU112" s="776"/>
      <c r="AV112" s="776"/>
      <c r="AW112" s="776"/>
      <c r="AX112" s="776"/>
      <c r="AY112" s="776"/>
      <c r="AZ112" s="776"/>
      <c r="BA112" s="776"/>
      <c r="BB112" s="776"/>
      <c r="BC112" s="776"/>
      <c r="BD112" s="776"/>
      <c r="BE112" s="776"/>
      <c r="BF112" s="776"/>
      <c r="BG112" s="776"/>
      <c r="BH112" s="776"/>
      <c r="BI112" s="776"/>
      <c r="BJ112" s="776"/>
      <c r="BK112" s="776"/>
      <c r="BL112" s="776"/>
      <c r="BM112" s="776"/>
      <c r="BN112" s="776"/>
      <c r="BO112" s="776"/>
      <c r="BP112" s="776"/>
      <c r="BQ112" s="776"/>
      <c r="BR112" s="776"/>
      <c r="BS112" s="776"/>
      <c r="BT112" s="776"/>
      <c r="BU112" s="776"/>
      <c r="BV112" s="776"/>
      <c r="BW112" s="776"/>
      <c r="BX112" s="776"/>
      <c r="BY112" s="776"/>
      <c r="BZ112" s="776"/>
      <c r="CA112" s="776"/>
      <c r="CB112" s="776"/>
      <c r="CC112" s="776"/>
      <c r="CD112" s="776"/>
      <c r="CE112" s="776"/>
      <c r="CF112" s="776"/>
      <c r="CG112" s="776"/>
      <c r="CH112" s="776"/>
      <c r="CI112" s="776"/>
      <c r="CJ112" s="776"/>
      <c r="CK112" s="776"/>
      <c r="CL112" s="776"/>
      <c r="CM112" s="776"/>
      <c r="CN112" s="776"/>
      <c r="CO112" s="776"/>
      <c r="CP112" s="776"/>
      <c r="CQ112" s="776"/>
      <c r="CR112" s="776"/>
      <c r="CS112" s="776"/>
      <c r="CT112" s="776"/>
      <c r="CU112" s="776"/>
      <c r="CV112" s="776"/>
      <c r="CW112" s="776"/>
      <c r="CX112" s="776"/>
      <c r="CY112" s="776"/>
      <c r="CZ112" s="776"/>
      <c r="DA112" s="776"/>
      <c r="DB112" s="776"/>
      <c r="DC112" s="776"/>
      <c r="DD112" s="776"/>
      <c r="DE112" s="776"/>
      <c r="DF112" s="776"/>
      <c r="DG112" s="776"/>
      <c r="DH112" s="776"/>
      <c r="DI112" s="776"/>
      <c r="DJ112" s="776"/>
      <c r="DK112" s="776"/>
      <c r="DL112" s="776"/>
      <c r="DM112" s="776"/>
      <c r="DN112" s="776"/>
      <c r="DO112" s="776"/>
      <c r="DP112" s="776"/>
      <c r="DQ112" s="776"/>
      <c r="DR112" s="776"/>
      <c r="DS112" s="776"/>
      <c r="DT112" s="776"/>
      <c r="DU112" s="776"/>
      <c r="DV112" s="776"/>
      <c r="DW112" s="776"/>
      <c r="DX112" s="776"/>
      <c r="DY112" s="776"/>
      <c r="DZ112" s="776"/>
      <c r="EA112" s="776"/>
      <c r="EB112" s="776"/>
      <c r="EC112" s="776"/>
      <c r="ED112" s="776"/>
      <c r="EE112" s="776"/>
      <c r="EF112" s="776"/>
      <c r="EG112" s="776"/>
      <c r="EH112" s="776"/>
      <c r="EI112" s="776"/>
      <c r="EJ112" s="776"/>
      <c r="EK112" s="776"/>
      <c r="EL112" s="776"/>
      <c r="EM112" s="776"/>
      <c r="EN112" s="776"/>
      <c r="EO112" s="776"/>
      <c r="EP112" s="776"/>
      <c r="EQ112" s="776"/>
      <c r="ER112" s="776"/>
      <c r="ES112" s="776"/>
      <c r="ET112" s="776"/>
      <c r="EU112" s="776"/>
      <c r="EV112" s="776"/>
      <c r="EW112" s="776"/>
      <c r="EX112" s="776"/>
      <c r="EY112" s="776"/>
      <c r="EZ112" s="776"/>
      <c r="FA112" s="776"/>
      <c r="FB112" s="776"/>
      <c r="FC112" s="776"/>
      <c r="FD112" s="776"/>
      <c r="FE112" s="776"/>
      <c r="FF112" s="776"/>
      <c r="FG112" s="776"/>
      <c r="FH112" s="776"/>
      <c r="FI112" s="776"/>
      <c r="FJ112" s="776"/>
      <c r="FK112" s="776"/>
      <c r="FL112" s="776"/>
      <c r="FM112" s="776"/>
      <c r="FN112" s="776"/>
      <c r="FO112" s="776"/>
      <c r="FP112" s="776"/>
      <c r="FQ112" s="776"/>
      <c r="FR112" s="776"/>
      <c r="FS112" s="776"/>
      <c r="FT112" s="776"/>
      <c r="FU112" s="776"/>
      <c r="FV112" s="776"/>
      <c r="FW112" s="776"/>
      <c r="FX112" s="776"/>
      <c r="FY112" s="776"/>
      <c r="FZ112" s="776"/>
      <c r="GA112" s="776"/>
      <c r="GB112" s="776"/>
      <c r="GC112" s="776"/>
      <c r="GD112" s="776"/>
      <c r="GE112" s="776"/>
      <c r="GF112" s="776"/>
      <c r="GG112" s="776"/>
      <c r="GH112" s="776"/>
      <c r="GI112" s="776"/>
      <c r="GJ112" s="776"/>
      <c r="GK112" s="776"/>
      <c r="GL112" s="776"/>
    </row>
    <row r="113" spans="3:194" ht="12.75">
      <c r="C113" s="1810"/>
      <c r="D113" s="1365"/>
      <c r="E113" s="1365"/>
      <c r="F113" s="1365"/>
      <c r="G113" s="1365"/>
      <c r="H113" s="1811"/>
      <c r="I113" s="1811"/>
      <c r="J113" s="1811"/>
      <c r="K113" s="1811"/>
      <c r="L113" s="1811"/>
      <c r="M113" s="1811"/>
      <c r="N113" s="1811"/>
      <c r="O113" s="1811"/>
      <c r="P113" s="1811"/>
      <c r="Q113" s="1811"/>
      <c r="R113" s="1811"/>
      <c r="S113" s="1811"/>
      <c r="T113" s="1811"/>
      <c r="U113" s="776"/>
      <c r="V113" s="776"/>
      <c r="W113" s="776"/>
      <c r="X113" s="776"/>
      <c r="Y113" s="776"/>
      <c r="Z113" s="776"/>
      <c r="AA113" s="776"/>
      <c r="AB113" s="776"/>
      <c r="AC113" s="776"/>
      <c r="AD113" s="776"/>
      <c r="AE113" s="776"/>
      <c r="AF113" s="776"/>
      <c r="AG113" s="776"/>
      <c r="AH113" s="776"/>
      <c r="AI113" s="776"/>
      <c r="AJ113" s="776"/>
      <c r="AK113" s="776"/>
      <c r="AL113" s="776"/>
      <c r="AM113" s="776"/>
      <c r="AN113" s="776"/>
      <c r="AO113" s="776"/>
      <c r="AP113" s="776"/>
      <c r="AQ113" s="776"/>
      <c r="AR113" s="776"/>
      <c r="AS113" s="776"/>
      <c r="AT113" s="776"/>
      <c r="AU113" s="776"/>
      <c r="AV113" s="776"/>
      <c r="AW113" s="776"/>
      <c r="AX113" s="776"/>
      <c r="AY113" s="776"/>
      <c r="AZ113" s="776"/>
      <c r="BA113" s="776"/>
      <c r="BB113" s="776"/>
      <c r="BC113" s="776"/>
      <c r="BD113" s="776"/>
      <c r="BE113" s="776"/>
      <c r="BF113" s="776"/>
      <c r="BG113" s="776"/>
      <c r="BH113" s="776"/>
      <c r="BI113" s="776"/>
      <c r="BJ113" s="776"/>
      <c r="BK113" s="776"/>
      <c r="BL113" s="776"/>
      <c r="BM113" s="776"/>
      <c r="BN113" s="776"/>
      <c r="BO113" s="776"/>
      <c r="BP113" s="776"/>
      <c r="BQ113" s="776"/>
      <c r="BR113" s="776"/>
      <c r="BS113" s="776"/>
      <c r="BT113" s="776"/>
      <c r="BU113" s="776"/>
      <c r="BV113" s="776"/>
      <c r="BW113" s="776"/>
      <c r="BX113" s="776"/>
      <c r="BY113" s="776"/>
      <c r="BZ113" s="776"/>
      <c r="CA113" s="776"/>
      <c r="CB113" s="776"/>
      <c r="CC113" s="776"/>
      <c r="CD113" s="776"/>
      <c r="CE113" s="776"/>
      <c r="CF113" s="776"/>
      <c r="CG113" s="776"/>
      <c r="CH113" s="776"/>
      <c r="CI113" s="776"/>
      <c r="CJ113" s="776"/>
      <c r="CK113" s="776"/>
      <c r="CL113" s="776"/>
      <c r="CM113" s="776"/>
      <c r="CN113" s="776"/>
      <c r="CO113" s="776"/>
      <c r="CP113" s="776"/>
      <c r="CQ113" s="776"/>
      <c r="CR113" s="776"/>
      <c r="CS113" s="776"/>
      <c r="CT113" s="776"/>
      <c r="CU113" s="776"/>
      <c r="CV113" s="776"/>
      <c r="CW113" s="776"/>
      <c r="CX113" s="776"/>
      <c r="CY113" s="776"/>
      <c r="CZ113" s="776"/>
      <c r="DA113" s="776"/>
      <c r="DB113" s="776"/>
      <c r="DC113" s="776"/>
      <c r="DD113" s="776"/>
      <c r="DE113" s="776"/>
      <c r="DF113" s="776"/>
      <c r="DG113" s="776"/>
      <c r="DH113" s="776"/>
      <c r="DI113" s="776"/>
      <c r="DJ113" s="776"/>
      <c r="DK113" s="776"/>
      <c r="DL113" s="776"/>
      <c r="DM113" s="776"/>
      <c r="DN113" s="776"/>
      <c r="DO113" s="776"/>
      <c r="DP113" s="776"/>
      <c r="DQ113" s="776"/>
      <c r="DR113" s="776"/>
      <c r="DS113" s="776"/>
      <c r="DT113" s="776"/>
      <c r="DU113" s="776"/>
      <c r="DV113" s="776"/>
      <c r="DW113" s="776"/>
      <c r="DX113" s="776"/>
      <c r="DY113" s="776"/>
      <c r="DZ113" s="776"/>
      <c r="EA113" s="776"/>
      <c r="EB113" s="776"/>
      <c r="EC113" s="776"/>
      <c r="ED113" s="776"/>
      <c r="EE113" s="776"/>
      <c r="EF113" s="776"/>
      <c r="EG113" s="776"/>
      <c r="EH113" s="776"/>
      <c r="EI113" s="776"/>
      <c r="EJ113" s="776"/>
      <c r="EK113" s="776"/>
      <c r="EL113" s="776"/>
      <c r="EM113" s="776"/>
      <c r="EN113" s="776"/>
      <c r="EO113" s="776"/>
      <c r="EP113" s="776"/>
      <c r="EQ113" s="776"/>
      <c r="ER113" s="776"/>
      <c r="ES113" s="776"/>
      <c r="ET113" s="776"/>
      <c r="EU113" s="776"/>
      <c r="EV113" s="776"/>
      <c r="EW113" s="776"/>
      <c r="EX113" s="776"/>
      <c r="EY113" s="776"/>
      <c r="EZ113" s="776"/>
      <c r="FA113" s="776"/>
      <c r="FB113" s="776"/>
      <c r="FC113" s="776"/>
      <c r="FD113" s="776"/>
      <c r="FE113" s="776"/>
      <c r="FF113" s="776"/>
      <c r="FG113" s="776"/>
      <c r="FH113" s="776"/>
      <c r="FI113" s="776"/>
      <c r="FJ113" s="776"/>
      <c r="FK113" s="776"/>
      <c r="FL113" s="776"/>
      <c r="FM113" s="776"/>
      <c r="FN113" s="776"/>
      <c r="FO113" s="776"/>
      <c r="FP113" s="776"/>
      <c r="FQ113" s="776"/>
      <c r="FR113" s="776"/>
      <c r="FS113" s="776"/>
      <c r="FT113" s="776"/>
      <c r="FU113" s="776"/>
      <c r="FV113" s="776"/>
      <c r="FW113" s="776"/>
      <c r="FX113" s="776"/>
      <c r="FY113" s="776"/>
      <c r="FZ113" s="776"/>
      <c r="GA113" s="776"/>
      <c r="GB113" s="776"/>
      <c r="GC113" s="776"/>
      <c r="GD113" s="776"/>
      <c r="GE113" s="776"/>
      <c r="GF113" s="776"/>
      <c r="GG113" s="776"/>
      <c r="GH113" s="776"/>
      <c r="GI113" s="776"/>
      <c r="GJ113" s="776"/>
      <c r="GK113" s="776"/>
      <c r="GL113" s="776"/>
    </row>
    <row r="114" spans="3:194" ht="12.75">
      <c r="C114" s="1810"/>
      <c r="D114" s="1365"/>
      <c r="E114" s="1365"/>
      <c r="F114" s="1365"/>
      <c r="G114" s="1365"/>
      <c r="H114" s="1365"/>
      <c r="I114" s="1365"/>
      <c r="J114" s="1365"/>
      <c r="K114" s="1365"/>
      <c r="L114" s="1365"/>
      <c r="M114" s="1365"/>
      <c r="N114" s="1365"/>
      <c r="O114" s="1365"/>
      <c r="P114" s="1365"/>
      <c r="Q114" s="1365"/>
      <c r="R114" s="1365"/>
      <c r="S114" s="1365"/>
      <c r="T114" s="1365"/>
      <c r="U114" s="776"/>
      <c r="V114" s="776"/>
      <c r="W114" s="776"/>
      <c r="X114" s="776"/>
      <c r="Y114" s="776"/>
      <c r="Z114" s="776"/>
      <c r="AA114" s="776"/>
      <c r="AB114" s="776"/>
      <c r="AC114" s="776"/>
      <c r="AD114" s="776"/>
      <c r="AE114" s="776"/>
      <c r="AF114" s="776"/>
      <c r="AG114" s="776"/>
      <c r="AH114" s="776"/>
      <c r="AI114" s="776"/>
      <c r="AJ114" s="776"/>
      <c r="AK114" s="776"/>
      <c r="AL114" s="776"/>
      <c r="AM114" s="776"/>
      <c r="AN114" s="776"/>
      <c r="AO114" s="776"/>
      <c r="AP114" s="776"/>
      <c r="AQ114" s="776"/>
      <c r="AR114" s="776"/>
      <c r="AS114" s="776"/>
      <c r="AT114" s="776"/>
      <c r="AU114" s="776"/>
      <c r="AV114" s="776"/>
      <c r="AW114" s="776"/>
      <c r="AX114" s="776"/>
      <c r="AY114" s="776"/>
      <c r="AZ114" s="776"/>
      <c r="BA114" s="776"/>
      <c r="BB114" s="776"/>
      <c r="BC114" s="776"/>
      <c r="BD114" s="776"/>
      <c r="BE114" s="776"/>
      <c r="BF114" s="776"/>
      <c r="BG114" s="776"/>
      <c r="BH114" s="776"/>
      <c r="BI114" s="776"/>
      <c r="BJ114" s="776"/>
      <c r="BK114" s="776"/>
      <c r="BL114" s="776"/>
      <c r="BM114" s="776"/>
      <c r="BN114" s="776"/>
      <c r="BO114" s="776"/>
      <c r="BP114" s="776"/>
      <c r="BQ114" s="776"/>
      <c r="BR114" s="776"/>
      <c r="BS114" s="776"/>
      <c r="BT114" s="776"/>
      <c r="BU114" s="776"/>
      <c r="BV114" s="776"/>
      <c r="BW114" s="776"/>
      <c r="BX114" s="776"/>
      <c r="BY114" s="776"/>
      <c r="BZ114" s="776"/>
      <c r="CA114" s="776"/>
      <c r="CB114" s="776"/>
      <c r="CC114" s="776"/>
      <c r="CD114" s="776"/>
      <c r="CE114" s="776"/>
      <c r="CF114" s="776"/>
      <c r="CG114" s="776"/>
      <c r="CH114" s="776"/>
      <c r="CI114" s="776"/>
      <c r="CJ114" s="776"/>
      <c r="CK114" s="776"/>
      <c r="CL114" s="776"/>
      <c r="CM114" s="776"/>
      <c r="CN114" s="776"/>
      <c r="CO114" s="776"/>
      <c r="CP114" s="776"/>
      <c r="CQ114" s="776"/>
      <c r="CR114" s="776"/>
      <c r="CS114" s="776"/>
      <c r="CT114" s="776"/>
      <c r="CU114" s="776"/>
      <c r="CV114" s="776"/>
      <c r="CW114" s="776"/>
      <c r="CX114" s="776"/>
      <c r="CY114" s="776"/>
      <c r="CZ114" s="776"/>
      <c r="DA114" s="776"/>
      <c r="DB114" s="776"/>
      <c r="DC114" s="776"/>
      <c r="DD114" s="776"/>
      <c r="DE114" s="776"/>
      <c r="DF114" s="776"/>
      <c r="DG114" s="776"/>
      <c r="DH114" s="776"/>
      <c r="DI114" s="776"/>
      <c r="DJ114" s="776"/>
      <c r="DK114" s="776"/>
      <c r="DL114" s="776"/>
      <c r="DM114" s="776"/>
      <c r="DN114" s="776"/>
      <c r="DO114" s="776"/>
      <c r="DP114" s="776"/>
      <c r="DQ114" s="776"/>
      <c r="DR114" s="776"/>
      <c r="DS114" s="776"/>
      <c r="DT114" s="776"/>
      <c r="DU114" s="776"/>
      <c r="DV114" s="776"/>
      <c r="DW114" s="776"/>
      <c r="DX114" s="776"/>
      <c r="DY114" s="776"/>
      <c r="DZ114" s="776"/>
      <c r="EA114" s="776"/>
      <c r="EB114" s="776"/>
      <c r="EC114" s="776"/>
      <c r="ED114" s="776"/>
      <c r="EE114" s="776"/>
      <c r="EF114" s="776"/>
      <c r="EG114" s="776"/>
      <c r="EH114" s="776"/>
      <c r="EI114" s="776"/>
      <c r="EJ114" s="776"/>
      <c r="EK114" s="776"/>
      <c r="EL114" s="776"/>
      <c r="EM114" s="776"/>
      <c r="EN114" s="776"/>
      <c r="EO114" s="776"/>
      <c r="EP114" s="776"/>
      <c r="EQ114" s="776"/>
      <c r="ER114" s="776"/>
      <c r="ES114" s="776"/>
      <c r="ET114" s="776"/>
      <c r="EU114" s="776"/>
      <c r="EV114" s="776"/>
      <c r="EW114" s="776"/>
      <c r="EX114" s="776"/>
      <c r="EY114" s="776"/>
      <c r="EZ114" s="776"/>
      <c r="FA114" s="776"/>
      <c r="FB114" s="776"/>
      <c r="FC114" s="776"/>
      <c r="FD114" s="776"/>
      <c r="FE114" s="776"/>
      <c r="FF114" s="776"/>
      <c r="FG114" s="776"/>
      <c r="FH114" s="776"/>
      <c r="FI114" s="776"/>
      <c r="FJ114" s="776"/>
      <c r="FK114" s="776"/>
      <c r="FL114" s="776"/>
      <c r="FM114" s="776"/>
      <c r="FN114" s="776"/>
      <c r="FO114" s="776"/>
      <c r="FP114" s="776"/>
      <c r="FQ114" s="776"/>
      <c r="FR114" s="776"/>
      <c r="FS114" s="776"/>
      <c r="FT114" s="776"/>
      <c r="FU114" s="776"/>
      <c r="FV114" s="776"/>
      <c r="FW114" s="776"/>
      <c r="FX114" s="776"/>
      <c r="FY114" s="776"/>
      <c r="FZ114" s="776"/>
      <c r="GA114" s="776"/>
      <c r="GB114" s="776"/>
      <c r="GC114" s="776"/>
      <c r="GD114" s="776"/>
      <c r="GE114" s="776"/>
      <c r="GF114" s="776"/>
      <c r="GG114" s="776"/>
      <c r="GH114" s="776"/>
      <c r="GI114" s="776"/>
      <c r="GJ114" s="776"/>
      <c r="GK114" s="776"/>
      <c r="GL114" s="776"/>
    </row>
    <row r="115" spans="3:194" ht="12.75">
      <c r="C115" s="1810"/>
      <c r="D115" s="776"/>
      <c r="E115" s="776"/>
      <c r="F115" s="1365"/>
      <c r="G115" s="1365"/>
      <c r="H115" s="776"/>
      <c r="I115" s="776"/>
      <c r="J115" s="776"/>
      <c r="K115" s="776"/>
      <c r="L115" s="776"/>
      <c r="M115" s="776"/>
      <c r="N115" s="776"/>
      <c r="O115" s="776"/>
      <c r="P115" s="776"/>
      <c r="Q115" s="776"/>
      <c r="R115" s="776"/>
      <c r="S115" s="776"/>
      <c r="T115" s="776"/>
      <c r="U115" s="776"/>
      <c r="V115" s="776"/>
      <c r="W115" s="776"/>
      <c r="X115" s="776"/>
      <c r="Y115" s="776"/>
      <c r="Z115" s="776"/>
      <c r="AA115" s="776"/>
      <c r="AB115" s="776"/>
      <c r="AC115" s="776"/>
      <c r="AD115" s="776"/>
      <c r="AE115" s="776"/>
      <c r="AF115" s="776"/>
      <c r="AG115" s="776"/>
      <c r="AH115" s="776"/>
      <c r="AI115" s="776"/>
      <c r="AJ115" s="776"/>
      <c r="AK115" s="776"/>
      <c r="AL115" s="776"/>
      <c r="AM115" s="776"/>
      <c r="AN115" s="776"/>
      <c r="AO115" s="776"/>
      <c r="AP115" s="776"/>
      <c r="AQ115" s="776"/>
      <c r="AR115" s="776"/>
      <c r="AS115" s="776"/>
      <c r="AT115" s="776"/>
      <c r="AU115" s="776"/>
      <c r="AV115" s="776"/>
      <c r="AW115" s="776"/>
      <c r="AX115" s="776"/>
      <c r="AY115" s="776"/>
      <c r="AZ115" s="776"/>
      <c r="BA115" s="776"/>
      <c r="BB115" s="776"/>
      <c r="BC115" s="776"/>
      <c r="BD115" s="776"/>
      <c r="BE115" s="776"/>
      <c r="BF115" s="776"/>
      <c r="BG115" s="776"/>
      <c r="BH115" s="776"/>
      <c r="BI115" s="776"/>
      <c r="BJ115" s="776"/>
      <c r="BK115" s="776"/>
      <c r="BL115" s="776"/>
      <c r="BM115" s="776"/>
      <c r="BN115" s="776"/>
      <c r="BO115" s="776"/>
      <c r="BP115" s="776"/>
      <c r="BQ115" s="776"/>
      <c r="BR115" s="776"/>
      <c r="BS115" s="776"/>
      <c r="BT115" s="776"/>
      <c r="BU115" s="776"/>
      <c r="BV115" s="776"/>
      <c r="BW115" s="776"/>
      <c r="BX115" s="776"/>
      <c r="BY115" s="776"/>
      <c r="BZ115" s="776"/>
      <c r="CA115" s="776"/>
      <c r="CB115" s="776"/>
      <c r="CC115" s="776"/>
      <c r="CD115" s="776"/>
      <c r="CE115" s="776"/>
      <c r="CF115" s="776"/>
      <c r="CG115" s="776"/>
      <c r="CH115" s="776"/>
      <c r="CI115" s="776"/>
      <c r="CJ115" s="776"/>
      <c r="CK115" s="776"/>
      <c r="CL115" s="776"/>
      <c r="CM115" s="776"/>
      <c r="CN115" s="776"/>
      <c r="CO115" s="776"/>
      <c r="CP115" s="776"/>
      <c r="CQ115" s="776"/>
      <c r="CR115" s="776"/>
      <c r="CS115" s="776"/>
      <c r="CT115" s="776"/>
      <c r="CU115" s="776"/>
      <c r="CV115" s="776"/>
      <c r="CW115" s="776"/>
      <c r="CX115" s="776"/>
      <c r="CY115" s="776"/>
      <c r="CZ115" s="776"/>
      <c r="DA115" s="776"/>
      <c r="DB115" s="776"/>
      <c r="DC115" s="776"/>
      <c r="DD115" s="776"/>
      <c r="DE115" s="776"/>
      <c r="DF115" s="776"/>
      <c r="DG115" s="776"/>
      <c r="DH115" s="776"/>
      <c r="DI115" s="776"/>
      <c r="DJ115" s="776"/>
      <c r="DK115" s="776"/>
      <c r="DL115" s="776"/>
      <c r="DM115" s="776"/>
      <c r="DN115" s="776"/>
      <c r="DO115" s="776"/>
      <c r="DP115" s="776"/>
      <c r="DQ115" s="776"/>
      <c r="DR115" s="776"/>
      <c r="DS115" s="776"/>
      <c r="DT115" s="776"/>
      <c r="DU115" s="776"/>
      <c r="DV115" s="776"/>
      <c r="DW115" s="776"/>
      <c r="DX115" s="776"/>
      <c r="DY115" s="776"/>
      <c r="DZ115" s="776"/>
      <c r="EA115" s="776"/>
      <c r="EB115" s="776"/>
      <c r="EC115" s="776"/>
      <c r="ED115" s="776"/>
      <c r="EE115" s="776"/>
      <c r="EF115" s="776"/>
      <c r="EG115" s="776"/>
      <c r="EH115" s="776"/>
      <c r="EI115" s="776"/>
      <c r="EJ115" s="776"/>
      <c r="EK115" s="776"/>
      <c r="EL115" s="776"/>
      <c r="EM115" s="776"/>
      <c r="EN115" s="776"/>
      <c r="EO115" s="776"/>
      <c r="EP115" s="776"/>
      <c r="EQ115" s="776"/>
      <c r="ER115" s="776"/>
      <c r="ES115" s="776"/>
      <c r="ET115" s="776"/>
      <c r="EU115" s="776"/>
      <c r="EV115" s="776"/>
      <c r="EW115" s="776"/>
      <c r="EX115" s="776"/>
      <c r="EY115" s="776"/>
      <c r="EZ115" s="776"/>
      <c r="FA115" s="776"/>
      <c r="FB115" s="776"/>
      <c r="FC115" s="776"/>
      <c r="FD115" s="776"/>
      <c r="FE115" s="776"/>
      <c r="FF115" s="776"/>
      <c r="FG115" s="776"/>
      <c r="FH115" s="776"/>
      <c r="FI115" s="776"/>
      <c r="FJ115" s="776"/>
      <c r="FK115" s="776"/>
      <c r="FL115" s="776"/>
      <c r="FM115" s="776"/>
      <c r="FN115" s="776"/>
      <c r="FO115" s="776"/>
      <c r="FP115" s="776"/>
      <c r="FQ115" s="776"/>
      <c r="FR115" s="776"/>
      <c r="FS115" s="776"/>
      <c r="FT115" s="776"/>
      <c r="FU115" s="776"/>
      <c r="FV115" s="776"/>
      <c r="FW115" s="776"/>
      <c r="FX115" s="776"/>
      <c r="FY115" s="776"/>
      <c r="FZ115" s="776"/>
      <c r="GA115" s="776"/>
      <c r="GB115" s="776"/>
      <c r="GC115" s="776"/>
      <c r="GD115" s="776"/>
      <c r="GE115" s="776"/>
      <c r="GF115" s="776"/>
      <c r="GG115" s="776"/>
      <c r="GH115" s="776"/>
      <c r="GI115" s="776"/>
      <c r="GJ115" s="776"/>
      <c r="GK115" s="776"/>
      <c r="GL115" s="776"/>
    </row>
    <row r="116" spans="3:7" ht="12.75">
      <c r="C116" s="1810"/>
      <c r="F116" s="1810"/>
      <c r="G116" s="1810"/>
    </row>
    <row r="117" spans="3:7" ht="12.75">
      <c r="C117" s="1810"/>
      <c r="F117" s="1810"/>
      <c r="G117" s="1810"/>
    </row>
    <row r="118" spans="3:7" ht="12.75">
      <c r="C118" s="1810"/>
      <c r="F118" s="1810"/>
      <c r="G118" s="1810"/>
    </row>
    <row r="119" spans="6:7" ht="12.75">
      <c r="F119" s="1810"/>
      <c r="G119" s="1810"/>
    </row>
  </sheetData>
  <sheetProtection/>
  <printOptions horizontalCentered="1"/>
  <pageMargins left="0.24" right="0.4" top="0.3" bottom="0.44" header="0.24" footer="0.29"/>
  <pageSetup fitToHeight="1" fitToWidth="1" horizontalDpi="300" verticalDpi="300" orientation="portrait" paperSize="9" scale="37" r:id="rId2"/>
  <headerFooter alignWithMargins="0">
    <oddFooter>&amp;L&amp;"Times New Roman,Normal"&amp;8&amp;F-&amp;A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11.421875" defaultRowHeight="12.75"/>
  <cols>
    <col min="1" max="1" width="23.00390625" style="489" bestFit="1" customWidth="1"/>
    <col min="2" max="2" width="9.28125" style="489" customWidth="1"/>
    <col min="3" max="3" width="11.8515625" style="489" bestFit="1" customWidth="1"/>
    <col min="4" max="4" width="9.57421875" style="489" bestFit="1" customWidth="1"/>
    <col min="5" max="5" width="17.140625" style="489" bestFit="1" customWidth="1"/>
    <col min="6" max="6" width="71.8515625" style="489" bestFit="1" customWidth="1"/>
    <col min="7" max="9" width="5.8515625" style="489" customWidth="1"/>
    <col min="10" max="22" width="5.8515625" style="489" bestFit="1" customWidth="1"/>
    <col min="23" max="24" width="11.00390625" style="489" customWidth="1"/>
    <col min="25" max="29" width="11.421875" style="489" customWidth="1"/>
    <col min="30" max="16384" width="11.421875" style="490" customWidth="1"/>
  </cols>
  <sheetData>
    <row r="1" spans="1:4" ht="10.5">
      <c r="A1" s="488" t="s">
        <v>80</v>
      </c>
      <c r="B1" s="488" t="s">
        <v>80</v>
      </c>
      <c r="C1" s="488" t="s">
        <v>81</v>
      </c>
      <c r="D1" s="488" t="s">
        <v>82</v>
      </c>
    </row>
    <row r="2" spans="1:4" ht="10.5">
      <c r="A2" s="491" t="s">
        <v>83</v>
      </c>
      <c r="B2" s="492" t="s">
        <v>84</v>
      </c>
      <c r="C2" s="491">
        <v>31</v>
      </c>
      <c r="D2" s="491">
        <v>2006</v>
      </c>
    </row>
    <row r="3" spans="1:4" ht="10.5">
      <c r="A3" s="491" t="s">
        <v>85</v>
      </c>
      <c r="B3" s="492" t="s">
        <v>86</v>
      </c>
      <c r="C3" s="491">
        <f>IF(MOD(E14,4)=0,29,28)</f>
        <v>29</v>
      </c>
      <c r="D3" s="491">
        <f>+D2+1</f>
        <v>2007</v>
      </c>
    </row>
    <row r="4" spans="1:4" ht="10.5">
      <c r="A4" s="491" t="s">
        <v>87</v>
      </c>
      <c r="B4" s="492" t="s">
        <v>88</v>
      </c>
      <c r="C4" s="491">
        <v>31</v>
      </c>
      <c r="D4" s="491">
        <v>2008</v>
      </c>
    </row>
    <row r="5" spans="1:4" ht="10.5">
      <c r="A5" s="491" t="s">
        <v>89</v>
      </c>
      <c r="B5" s="492" t="s">
        <v>90</v>
      </c>
      <c r="C5" s="491">
        <v>30</v>
      </c>
      <c r="D5" s="491">
        <v>2009</v>
      </c>
    </row>
    <row r="6" spans="1:4" ht="10.5">
      <c r="A6" s="491" t="s">
        <v>91</v>
      </c>
      <c r="B6" s="492" t="s">
        <v>92</v>
      </c>
      <c r="C6" s="491">
        <v>31</v>
      </c>
      <c r="D6" s="491">
        <v>2010</v>
      </c>
    </row>
    <row r="7" spans="1:4" ht="10.5">
      <c r="A7" s="491" t="s">
        <v>93</v>
      </c>
      <c r="B7" s="492" t="s">
        <v>94</v>
      </c>
      <c r="C7" s="491">
        <v>30</v>
      </c>
      <c r="D7" s="491">
        <v>2011</v>
      </c>
    </row>
    <row r="8" spans="1:4" ht="10.5">
      <c r="A8" s="491" t="s">
        <v>95</v>
      </c>
      <c r="B8" s="492" t="s">
        <v>96</v>
      </c>
      <c r="C8" s="491">
        <v>31</v>
      </c>
      <c r="D8" s="491">
        <v>2012</v>
      </c>
    </row>
    <row r="9" spans="1:4" ht="10.5">
      <c r="A9" s="491" t="s">
        <v>97</v>
      </c>
      <c r="B9" s="492" t="s">
        <v>98</v>
      </c>
      <c r="C9" s="491">
        <v>31</v>
      </c>
      <c r="D9" s="491"/>
    </row>
    <row r="10" spans="1:4" ht="10.5">
      <c r="A10" s="491" t="s">
        <v>99</v>
      </c>
      <c r="B10" s="492" t="s">
        <v>100</v>
      </c>
      <c r="C10" s="491">
        <v>30</v>
      </c>
      <c r="D10" s="491"/>
    </row>
    <row r="11" spans="1:4" ht="10.5">
      <c r="A11" s="491" t="s">
        <v>101</v>
      </c>
      <c r="B11" s="492" t="s">
        <v>102</v>
      </c>
      <c r="C11" s="491">
        <v>31</v>
      </c>
      <c r="D11" s="491"/>
    </row>
    <row r="12" spans="1:4" ht="10.5">
      <c r="A12" s="491" t="s">
        <v>103</v>
      </c>
      <c r="B12" s="492" t="s">
        <v>104</v>
      </c>
      <c r="C12" s="491">
        <v>30</v>
      </c>
      <c r="D12" s="491"/>
    </row>
    <row r="13" spans="1:9" ht="10.5">
      <c r="A13" s="491" t="s">
        <v>105</v>
      </c>
      <c r="B13" s="492" t="s">
        <v>106</v>
      </c>
      <c r="C13" s="491">
        <v>31</v>
      </c>
      <c r="D13" s="491"/>
      <c r="E13" s="493"/>
      <c r="I13" s="494" t="s">
        <v>107</v>
      </c>
    </row>
    <row r="14" spans="1:9" ht="10.5">
      <c r="A14" s="495">
        <v>7</v>
      </c>
      <c r="B14" s="496">
        <v>3</v>
      </c>
      <c r="C14" s="495" t="str">
        <f ca="1">CELL("CONTENIDO",OFFSET(A1,B14,0))</f>
        <v>marzo</v>
      </c>
      <c r="D14" s="495">
        <f ca="1">CELL("CONTENIDO",OFFSET(C1,B14,0))</f>
        <v>31</v>
      </c>
      <c r="E14" s="495">
        <f ca="1">CELL("CONTENIDO",OFFSET(D1,A14,0))</f>
        <v>2012</v>
      </c>
      <c r="F14" s="495" t="str">
        <f>"Desde el 01 al "&amp;D14&amp;" de "&amp;C14&amp;" de "&amp;E14</f>
        <v>Desde el 01 al 31 de marzo de 2012</v>
      </c>
      <c r="G14" s="495" t="str">
        <f ca="1">CELL("CONTENIDO",OFFSET(B1,B14,0))</f>
        <v>03</v>
      </c>
      <c r="H14" s="495" t="str">
        <f>RIGHT(E14,2)</f>
        <v>12</v>
      </c>
      <c r="I14" s="497" t="s">
        <v>108</v>
      </c>
    </row>
    <row r="15" spans="1:8" ht="10.5">
      <c r="A15" s="495"/>
      <c r="B15" s="498" t="str">
        <f>"\\rugor\files\Transporte\Transporte\AA PROCESO AUT ARCHIVOS J\TRANSENER\"&amp;E14</f>
        <v>\\rugor\files\Transporte\Transporte\AA PROCESO AUT ARCHIVOS J\TRANSENER\2012</v>
      </c>
      <c r="C15" s="495"/>
      <c r="D15" s="495"/>
      <c r="E15" s="495"/>
      <c r="F15" s="495"/>
      <c r="G15" s="495" t="str">
        <f>"J"&amp;G14&amp;H14&amp;"NER"</f>
        <v>J0312NER</v>
      </c>
      <c r="H15" s="495"/>
    </row>
    <row r="16" spans="1:8" ht="10.5">
      <c r="A16" s="495"/>
      <c r="B16" s="498" t="str">
        <f>"\\rugor\files\Transporte\transporte\AA PROCESO AUT\INTERCAMBIO\"&amp;H14&amp;G14</f>
        <v>\\rugor\files\Transporte\transporte\AA PROCESO AUT\INTERCAMBIO\1203</v>
      </c>
      <c r="C16" s="495"/>
      <c r="D16" s="495"/>
      <c r="E16" s="495"/>
      <c r="F16" s="495"/>
      <c r="G16" s="495"/>
      <c r="H16" s="495"/>
    </row>
    <row r="17" spans="1:29" ht="10.5">
      <c r="A17" s="488" t="s">
        <v>109</v>
      </c>
      <c r="B17" s="488" t="s">
        <v>110</v>
      </c>
      <c r="C17" s="488" t="s">
        <v>111</v>
      </c>
      <c r="D17" s="488" t="s">
        <v>112</v>
      </c>
      <c r="E17" s="488" t="s">
        <v>113</v>
      </c>
      <c r="F17" s="488" t="s">
        <v>114</v>
      </c>
      <c r="G17" s="488" t="s">
        <v>115</v>
      </c>
      <c r="H17" s="488" t="s">
        <v>116</v>
      </c>
      <c r="I17" s="488" t="s">
        <v>117</v>
      </c>
      <c r="J17" s="488" t="s">
        <v>118</v>
      </c>
      <c r="K17" s="488" t="s">
        <v>119</v>
      </c>
      <c r="L17" s="488" t="s">
        <v>120</v>
      </c>
      <c r="M17" s="488" t="s">
        <v>121</v>
      </c>
      <c r="N17" s="488" t="s">
        <v>122</v>
      </c>
      <c r="O17" s="488" t="s">
        <v>123</v>
      </c>
      <c r="P17" s="488" t="s">
        <v>124</v>
      </c>
      <c r="Q17" s="488" t="s">
        <v>125</v>
      </c>
      <c r="R17" s="488" t="s">
        <v>126</v>
      </c>
      <c r="S17" s="488" t="s">
        <v>127</v>
      </c>
      <c r="T17" s="488" t="s">
        <v>128</v>
      </c>
      <c r="U17" s="488" t="s">
        <v>129</v>
      </c>
      <c r="V17" s="488" t="s">
        <v>130</v>
      </c>
      <c r="W17" s="488" t="s">
        <v>131</v>
      </c>
      <c r="X17" s="488" t="s">
        <v>132</v>
      </c>
      <c r="Y17" s="488" t="s">
        <v>133</v>
      </c>
      <c r="Z17" s="488" t="s">
        <v>134</v>
      </c>
      <c r="AA17" s="488" t="s">
        <v>135</v>
      </c>
      <c r="AB17" s="488" t="s">
        <v>136</v>
      </c>
      <c r="AC17" s="488" t="s">
        <v>137</v>
      </c>
    </row>
    <row r="18" spans="1:29" ht="10.5">
      <c r="A18" s="499" t="s">
        <v>138</v>
      </c>
      <c r="B18" s="499">
        <v>22</v>
      </c>
      <c r="C18" s="499">
        <v>20</v>
      </c>
      <c r="D18" s="499">
        <v>13</v>
      </c>
      <c r="E18" s="499" t="str">
        <f>"LI-"&amp;$G$14</f>
        <v>LI-03</v>
      </c>
      <c r="F18" s="499" t="s">
        <v>139</v>
      </c>
      <c r="G18" s="499">
        <v>3</v>
      </c>
      <c r="H18" s="500">
        <v>5</v>
      </c>
      <c r="I18" s="500">
        <v>4</v>
      </c>
      <c r="J18" s="499">
        <v>6</v>
      </c>
      <c r="K18" s="499">
        <v>7</v>
      </c>
      <c r="L18" s="499">
        <v>8</v>
      </c>
      <c r="M18" s="499">
        <v>9</v>
      </c>
      <c r="N18" s="499">
        <v>12</v>
      </c>
      <c r="O18" s="499">
        <v>13</v>
      </c>
      <c r="P18" s="499">
        <v>16</v>
      </c>
      <c r="Q18" s="499">
        <v>19</v>
      </c>
      <c r="R18" s="499">
        <v>30</v>
      </c>
      <c r="S18" s="499">
        <v>0</v>
      </c>
      <c r="T18" s="499">
        <v>0</v>
      </c>
      <c r="U18" s="499">
        <v>0</v>
      </c>
      <c r="V18" s="499">
        <v>0</v>
      </c>
      <c r="W18" s="499">
        <v>17</v>
      </c>
      <c r="X18" s="499">
        <v>9</v>
      </c>
      <c r="Y18" s="499">
        <v>43</v>
      </c>
      <c r="Z18" s="500">
        <v>31</v>
      </c>
      <c r="AA18" s="499">
        <v>20</v>
      </c>
      <c r="AB18" s="500">
        <v>31</v>
      </c>
      <c r="AC18" s="499">
        <v>16</v>
      </c>
    </row>
    <row r="19" spans="1:29" ht="10.5">
      <c r="A19" s="499" t="s">
        <v>140</v>
      </c>
      <c r="B19" s="500">
        <v>20</v>
      </c>
      <c r="C19" s="500">
        <v>20</v>
      </c>
      <c r="D19" s="500">
        <v>13</v>
      </c>
      <c r="E19" s="499" t="str">
        <f>"LI-YACY-"&amp;$G$14</f>
        <v>LI-YACY-03</v>
      </c>
      <c r="F19" s="499" t="s">
        <v>141</v>
      </c>
      <c r="G19" s="500">
        <v>3</v>
      </c>
      <c r="H19" s="500">
        <v>5</v>
      </c>
      <c r="I19" s="500">
        <v>4</v>
      </c>
      <c r="J19" s="500">
        <v>6</v>
      </c>
      <c r="K19" s="500">
        <v>7</v>
      </c>
      <c r="L19" s="500">
        <v>8</v>
      </c>
      <c r="M19" s="500">
        <v>9</v>
      </c>
      <c r="N19" s="500">
        <v>12</v>
      </c>
      <c r="O19" s="500">
        <v>13</v>
      </c>
      <c r="P19" s="500">
        <v>16</v>
      </c>
      <c r="Q19" s="500">
        <v>19</v>
      </c>
      <c r="R19" s="500">
        <v>30</v>
      </c>
      <c r="S19" s="500">
        <v>0</v>
      </c>
      <c r="T19" s="500">
        <v>0</v>
      </c>
      <c r="U19" s="500">
        <v>0</v>
      </c>
      <c r="V19" s="500">
        <v>0</v>
      </c>
      <c r="W19" s="500">
        <v>18</v>
      </c>
      <c r="X19" s="500">
        <v>9</v>
      </c>
      <c r="Y19" s="500">
        <v>41</v>
      </c>
      <c r="Z19" s="500">
        <v>31</v>
      </c>
      <c r="AA19" s="499">
        <v>20</v>
      </c>
      <c r="AB19" s="500">
        <v>31</v>
      </c>
      <c r="AC19" s="500">
        <v>16</v>
      </c>
    </row>
    <row r="20" spans="1:29" ht="10.5">
      <c r="A20" s="499" t="s">
        <v>142</v>
      </c>
      <c r="B20" s="499">
        <v>22</v>
      </c>
      <c r="C20" s="499">
        <v>20</v>
      </c>
      <c r="D20" s="499">
        <v>13</v>
      </c>
      <c r="E20" s="499" t="str">
        <f>"LI-LITSA-"&amp;$G$14</f>
        <v>LI-LITSA-03</v>
      </c>
      <c r="F20" s="499" t="s">
        <v>143</v>
      </c>
      <c r="G20" s="499">
        <v>3</v>
      </c>
      <c r="H20" s="500">
        <v>5</v>
      </c>
      <c r="I20" s="500">
        <v>4</v>
      </c>
      <c r="J20" s="499">
        <v>6</v>
      </c>
      <c r="K20" s="499">
        <v>7</v>
      </c>
      <c r="L20" s="499">
        <v>8</v>
      </c>
      <c r="M20" s="499">
        <v>9</v>
      </c>
      <c r="N20" s="499">
        <v>12</v>
      </c>
      <c r="O20" s="499">
        <v>13</v>
      </c>
      <c r="P20" s="499">
        <v>16</v>
      </c>
      <c r="Q20" s="499">
        <v>19</v>
      </c>
      <c r="R20" s="499">
        <v>30</v>
      </c>
      <c r="S20" s="499">
        <v>0</v>
      </c>
      <c r="T20" s="499">
        <v>0</v>
      </c>
      <c r="U20" s="499">
        <v>0</v>
      </c>
      <c r="V20" s="499">
        <v>0</v>
      </c>
      <c r="W20" s="500">
        <v>19</v>
      </c>
      <c r="X20" s="499">
        <v>9</v>
      </c>
      <c r="Y20" s="499">
        <v>43</v>
      </c>
      <c r="Z20" s="500">
        <v>32</v>
      </c>
      <c r="AA20" s="499">
        <v>20</v>
      </c>
      <c r="AB20" s="500">
        <v>32</v>
      </c>
      <c r="AC20" s="499">
        <v>16</v>
      </c>
    </row>
    <row r="21" spans="1:29" ht="10.5">
      <c r="A21" s="499" t="s">
        <v>144</v>
      </c>
      <c r="B21" s="499">
        <v>22</v>
      </c>
      <c r="C21" s="499">
        <v>20</v>
      </c>
      <c r="D21" s="499">
        <v>13</v>
      </c>
      <c r="E21" s="499" t="str">
        <f>"LI-LITS2-"&amp;$G$14</f>
        <v>LI-LITS2-03</v>
      </c>
      <c r="F21" s="499" t="s">
        <v>145</v>
      </c>
      <c r="G21" s="499">
        <v>3</v>
      </c>
      <c r="H21" s="500">
        <v>5</v>
      </c>
      <c r="I21" s="500">
        <v>4</v>
      </c>
      <c r="J21" s="499">
        <v>6</v>
      </c>
      <c r="K21" s="499">
        <v>7</v>
      </c>
      <c r="L21" s="499">
        <v>8</v>
      </c>
      <c r="M21" s="499">
        <v>9</v>
      </c>
      <c r="N21" s="499">
        <v>12</v>
      </c>
      <c r="O21" s="499">
        <v>13</v>
      </c>
      <c r="P21" s="499">
        <v>16</v>
      </c>
      <c r="Q21" s="499">
        <v>19</v>
      </c>
      <c r="R21" s="499">
        <v>30</v>
      </c>
      <c r="S21" s="499">
        <v>0</v>
      </c>
      <c r="T21" s="499">
        <v>0</v>
      </c>
      <c r="U21" s="499">
        <v>0</v>
      </c>
      <c r="V21" s="499">
        <v>0</v>
      </c>
      <c r="W21" s="500">
        <v>20</v>
      </c>
      <c r="X21" s="499">
        <v>9</v>
      </c>
      <c r="Y21" s="499">
        <v>43</v>
      </c>
      <c r="Z21" s="500">
        <v>32</v>
      </c>
      <c r="AA21" s="499">
        <v>20</v>
      </c>
      <c r="AB21" s="500">
        <v>32</v>
      </c>
      <c r="AC21" s="499">
        <v>16</v>
      </c>
    </row>
    <row r="22" spans="1:29" ht="10.5">
      <c r="A22" s="499" t="s">
        <v>146</v>
      </c>
      <c r="B22" s="499">
        <v>22</v>
      </c>
      <c r="C22" s="499">
        <v>20</v>
      </c>
      <c r="D22" s="499">
        <v>13</v>
      </c>
      <c r="E22" s="499" t="str">
        <f>"LI-LINSA-"&amp;$G$14</f>
        <v>LI-LINSA-03</v>
      </c>
      <c r="F22" s="499" t="s">
        <v>147</v>
      </c>
      <c r="G22" s="499">
        <v>3</v>
      </c>
      <c r="H22" s="500">
        <v>5</v>
      </c>
      <c r="I22" s="500">
        <v>4</v>
      </c>
      <c r="J22" s="499">
        <v>6</v>
      </c>
      <c r="K22" s="499">
        <v>7</v>
      </c>
      <c r="L22" s="499">
        <v>8</v>
      </c>
      <c r="M22" s="499">
        <v>9</v>
      </c>
      <c r="N22" s="499">
        <v>12</v>
      </c>
      <c r="O22" s="499">
        <v>13</v>
      </c>
      <c r="P22" s="499">
        <v>16</v>
      </c>
      <c r="Q22" s="499">
        <v>19</v>
      </c>
      <c r="R22" s="499">
        <v>30</v>
      </c>
      <c r="S22" s="499">
        <v>0</v>
      </c>
      <c r="T22" s="499">
        <v>0</v>
      </c>
      <c r="U22" s="499">
        <v>0</v>
      </c>
      <c r="V22" s="499">
        <v>0</v>
      </c>
      <c r="W22" s="500">
        <v>21</v>
      </c>
      <c r="X22" s="499">
        <v>9</v>
      </c>
      <c r="Y22" s="499">
        <v>43</v>
      </c>
      <c r="Z22" s="500">
        <v>32</v>
      </c>
      <c r="AA22" s="499">
        <v>20</v>
      </c>
      <c r="AB22" s="500">
        <v>32</v>
      </c>
      <c r="AC22" s="499">
        <v>16</v>
      </c>
    </row>
    <row r="23" spans="1:29" ht="10.5">
      <c r="A23" s="499" t="s">
        <v>148</v>
      </c>
      <c r="B23" s="499">
        <v>22</v>
      </c>
      <c r="C23" s="500">
        <v>20</v>
      </c>
      <c r="D23" s="499">
        <v>13</v>
      </c>
      <c r="E23" s="499" t="str">
        <f>"LI-IV-"&amp;$G$14</f>
        <v>LI-IV-03</v>
      </c>
      <c r="F23" s="499" t="s">
        <v>149</v>
      </c>
      <c r="G23" s="499">
        <v>3</v>
      </c>
      <c r="H23" s="500">
        <v>5</v>
      </c>
      <c r="I23" s="500">
        <v>4</v>
      </c>
      <c r="J23" s="499">
        <v>6</v>
      </c>
      <c r="K23" s="499">
        <v>7</v>
      </c>
      <c r="L23" s="499">
        <v>8</v>
      </c>
      <c r="M23" s="499">
        <v>9</v>
      </c>
      <c r="N23" s="499">
        <v>12</v>
      </c>
      <c r="O23" s="499">
        <v>13</v>
      </c>
      <c r="P23" s="499">
        <v>16</v>
      </c>
      <c r="Q23" s="499">
        <v>19</v>
      </c>
      <c r="R23" s="499">
        <v>30</v>
      </c>
      <c r="S23" s="499">
        <v>0</v>
      </c>
      <c r="T23" s="499">
        <v>0</v>
      </c>
      <c r="U23" s="499">
        <v>0</v>
      </c>
      <c r="V23" s="499">
        <v>0</v>
      </c>
      <c r="W23" s="500">
        <v>22</v>
      </c>
      <c r="X23" s="500">
        <v>9</v>
      </c>
      <c r="Y23" s="499">
        <v>43</v>
      </c>
      <c r="Z23" s="500">
        <v>31</v>
      </c>
      <c r="AA23" s="499">
        <v>20</v>
      </c>
      <c r="AB23" s="500">
        <v>31</v>
      </c>
      <c r="AC23" s="499">
        <v>16</v>
      </c>
    </row>
    <row r="24" spans="1:29" ht="10.5">
      <c r="A24" s="500" t="s">
        <v>150</v>
      </c>
      <c r="B24" s="500">
        <v>20</v>
      </c>
      <c r="C24" s="500">
        <v>20</v>
      </c>
      <c r="D24" s="500">
        <v>13</v>
      </c>
      <c r="E24" s="500" t="str">
        <f>"LI-INTESAR-"&amp;$G$14</f>
        <v>LI-INTESAR-03</v>
      </c>
      <c r="F24" s="500" t="s">
        <v>151</v>
      </c>
      <c r="G24" s="500">
        <v>3</v>
      </c>
      <c r="H24" s="500">
        <v>5</v>
      </c>
      <c r="I24" s="500">
        <v>4</v>
      </c>
      <c r="J24" s="500">
        <v>6</v>
      </c>
      <c r="K24" s="500">
        <v>7</v>
      </c>
      <c r="L24" s="500">
        <v>8</v>
      </c>
      <c r="M24" s="500">
        <v>9</v>
      </c>
      <c r="N24" s="500">
        <v>12</v>
      </c>
      <c r="O24" s="500">
        <v>13</v>
      </c>
      <c r="P24" s="500">
        <v>16</v>
      </c>
      <c r="Q24" s="500">
        <v>19</v>
      </c>
      <c r="R24" s="500">
        <v>30</v>
      </c>
      <c r="S24" s="500">
        <v>0</v>
      </c>
      <c r="T24" s="500">
        <v>0</v>
      </c>
      <c r="U24" s="500">
        <v>0</v>
      </c>
      <c r="V24" s="500">
        <v>0</v>
      </c>
      <c r="W24" s="500">
        <v>23</v>
      </c>
      <c r="X24" s="500">
        <v>9</v>
      </c>
      <c r="Y24" s="500">
        <v>41</v>
      </c>
      <c r="Z24" s="500">
        <v>31</v>
      </c>
      <c r="AA24" s="499">
        <v>20</v>
      </c>
      <c r="AB24" s="500">
        <v>31</v>
      </c>
      <c r="AC24" s="500">
        <v>16</v>
      </c>
    </row>
    <row r="25" spans="1:29" ht="10.5">
      <c r="A25" s="500" t="s">
        <v>152</v>
      </c>
      <c r="B25" s="500">
        <v>20</v>
      </c>
      <c r="C25" s="500">
        <v>20</v>
      </c>
      <c r="D25" s="500">
        <v>13</v>
      </c>
      <c r="E25" s="500" t="str">
        <f>"LI-INTESA2-"&amp;$G$14</f>
        <v>LI-INTESA2-03</v>
      </c>
      <c r="F25" s="500" t="s">
        <v>153</v>
      </c>
      <c r="G25" s="500">
        <v>3</v>
      </c>
      <c r="H25" s="500">
        <v>5</v>
      </c>
      <c r="I25" s="500">
        <v>4</v>
      </c>
      <c r="J25" s="500">
        <v>6</v>
      </c>
      <c r="K25" s="500">
        <v>7</v>
      </c>
      <c r="L25" s="500">
        <v>8</v>
      </c>
      <c r="M25" s="500">
        <v>9</v>
      </c>
      <c r="N25" s="500">
        <v>12</v>
      </c>
      <c r="O25" s="500">
        <v>13</v>
      </c>
      <c r="P25" s="500">
        <v>16</v>
      </c>
      <c r="Q25" s="500">
        <v>19</v>
      </c>
      <c r="R25" s="500">
        <v>30</v>
      </c>
      <c r="S25" s="500">
        <v>0</v>
      </c>
      <c r="T25" s="500">
        <v>0</v>
      </c>
      <c r="U25" s="500">
        <v>0</v>
      </c>
      <c r="V25" s="500">
        <v>0</v>
      </c>
      <c r="W25" s="500">
        <v>24</v>
      </c>
      <c r="X25" s="500">
        <v>9</v>
      </c>
      <c r="Y25" s="500">
        <v>41</v>
      </c>
      <c r="Z25" s="500">
        <v>31</v>
      </c>
      <c r="AA25" s="499">
        <v>20</v>
      </c>
      <c r="AB25" s="500">
        <v>31</v>
      </c>
      <c r="AC25" s="500">
        <v>16</v>
      </c>
    </row>
    <row r="26" spans="1:29" ht="10.5">
      <c r="A26" s="500" t="s">
        <v>154</v>
      </c>
      <c r="B26" s="500">
        <v>20</v>
      </c>
      <c r="C26" s="500">
        <v>20</v>
      </c>
      <c r="D26" s="500">
        <v>13</v>
      </c>
      <c r="E26" s="500" t="str">
        <f>"LI-INTESA3-"&amp;$G$14</f>
        <v>LI-INTESA3-03</v>
      </c>
      <c r="F26" s="500" t="s">
        <v>155</v>
      </c>
      <c r="G26" s="500">
        <v>3</v>
      </c>
      <c r="H26" s="500">
        <v>5</v>
      </c>
      <c r="I26" s="500">
        <v>4</v>
      </c>
      <c r="J26" s="500">
        <v>6</v>
      </c>
      <c r="K26" s="500">
        <v>7</v>
      </c>
      <c r="L26" s="500">
        <v>8</v>
      </c>
      <c r="M26" s="500">
        <v>9</v>
      </c>
      <c r="N26" s="500">
        <v>12</v>
      </c>
      <c r="O26" s="500">
        <v>13</v>
      </c>
      <c r="P26" s="500">
        <v>16</v>
      </c>
      <c r="Q26" s="500">
        <v>19</v>
      </c>
      <c r="R26" s="500">
        <v>30</v>
      </c>
      <c r="S26" s="500">
        <v>0</v>
      </c>
      <c r="T26" s="500">
        <v>0</v>
      </c>
      <c r="U26" s="500">
        <v>0</v>
      </c>
      <c r="V26" s="500">
        <v>0</v>
      </c>
      <c r="W26" s="500">
        <v>25</v>
      </c>
      <c r="X26" s="500">
        <v>9</v>
      </c>
      <c r="Y26" s="500">
        <v>41</v>
      </c>
      <c r="Z26" s="500">
        <v>31</v>
      </c>
      <c r="AA26" s="499">
        <v>20</v>
      </c>
      <c r="AB26" s="500">
        <v>31</v>
      </c>
      <c r="AC26" s="500">
        <v>16</v>
      </c>
    </row>
    <row r="27" spans="1:29" ht="10.5">
      <c r="A27" s="500" t="s">
        <v>156</v>
      </c>
      <c r="B27" s="500">
        <v>20</v>
      </c>
      <c r="C27" s="500">
        <v>20</v>
      </c>
      <c r="D27" s="500">
        <v>13</v>
      </c>
      <c r="E27" s="500" t="str">
        <f>"LI-INTESA4-"&amp;$G$14</f>
        <v>LI-INTESA4-03</v>
      </c>
      <c r="F27" s="500" t="s">
        <v>157</v>
      </c>
      <c r="G27" s="500">
        <v>3</v>
      </c>
      <c r="H27" s="500">
        <v>5</v>
      </c>
      <c r="I27" s="500">
        <v>4</v>
      </c>
      <c r="J27" s="500">
        <v>6</v>
      </c>
      <c r="K27" s="500">
        <v>7</v>
      </c>
      <c r="L27" s="500">
        <v>8</v>
      </c>
      <c r="M27" s="500">
        <v>9</v>
      </c>
      <c r="N27" s="500">
        <v>12</v>
      </c>
      <c r="O27" s="500">
        <v>13</v>
      </c>
      <c r="P27" s="500">
        <v>16</v>
      </c>
      <c r="Q27" s="500">
        <v>19</v>
      </c>
      <c r="R27" s="500">
        <v>30</v>
      </c>
      <c r="S27" s="500">
        <v>0</v>
      </c>
      <c r="T27" s="500">
        <v>0</v>
      </c>
      <c r="U27" s="500">
        <v>0</v>
      </c>
      <c r="V27" s="500">
        <v>0</v>
      </c>
      <c r="W27" s="500">
        <v>26</v>
      </c>
      <c r="X27" s="500">
        <v>9</v>
      </c>
      <c r="Y27" s="500">
        <v>41</v>
      </c>
      <c r="Z27" s="500">
        <v>31</v>
      </c>
      <c r="AA27" s="499">
        <v>20</v>
      </c>
      <c r="AB27" s="500">
        <v>31</v>
      </c>
      <c r="AC27" s="500">
        <v>16</v>
      </c>
    </row>
    <row r="28" spans="1:29" ht="10.5">
      <c r="A28" s="500" t="s">
        <v>158</v>
      </c>
      <c r="B28" s="500">
        <v>20</v>
      </c>
      <c r="C28" s="500">
        <v>20</v>
      </c>
      <c r="D28" s="500">
        <v>13</v>
      </c>
      <c r="E28" s="500" t="str">
        <f>"LI-CUYANA-"&amp;$G$14</f>
        <v>LI-CUYANA-03</v>
      </c>
      <c r="F28" s="500" t="s">
        <v>159</v>
      </c>
      <c r="G28" s="500">
        <v>3</v>
      </c>
      <c r="H28" s="500">
        <v>5</v>
      </c>
      <c r="I28" s="500">
        <v>4</v>
      </c>
      <c r="J28" s="500">
        <v>6</v>
      </c>
      <c r="K28" s="500">
        <v>7</v>
      </c>
      <c r="L28" s="500">
        <v>8</v>
      </c>
      <c r="M28" s="500">
        <v>9</v>
      </c>
      <c r="N28" s="500">
        <v>12</v>
      </c>
      <c r="O28" s="500">
        <v>13</v>
      </c>
      <c r="P28" s="500">
        <v>16</v>
      </c>
      <c r="Q28" s="500">
        <v>19</v>
      </c>
      <c r="R28" s="500">
        <v>30</v>
      </c>
      <c r="S28" s="500">
        <v>0</v>
      </c>
      <c r="T28" s="500">
        <v>0</v>
      </c>
      <c r="U28" s="500">
        <v>0</v>
      </c>
      <c r="V28" s="500">
        <v>0</v>
      </c>
      <c r="W28" s="500">
        <v>27</v>
      </c>
      <c r="X28" s="500">
        <v>9</v>
      </c>
      <c r="Y28" s="500">
        <v>41</v>
      </c>
      <c r="Z28" s="500">
        <v>31</v>
      </c>
      <c r="AA28" s="499">
        <v>20</v>
      </c>
      <c r="AB28" s="500">
        <v>31</v>
      </c>
      <c r="AC28" s="500">
        <v>16</v>
      </c>
    </row>
    <row r="29" spans="1:29" ht="10.5">
      <c r="A29" s="500" t="s">
        <v>160</v>
      </c>
      <c r="B29" s="500">
        <v>20</v>
      </c>
      <c r="C29" s="500">
        <v>20</v>
      </c>
      <c r="D29" s="500">
        <v>13</v>
      </c>
      <c r="E29" s="500" t="str">
        <f>"LI-LIMSA-"&amp;$G$14</f>
        <v>LI-LIMSA-03</v>
      </c>
      <c r="F29" s="500" t="s">
        <v>161</v>
      </c>
      <c r="G29" s="500">
        <v>3</v>
      </c>
      <c r="H29" s="500">
        <v>5</v>
      </c>
      <c r="I29" s="500">
        <v>4</v>
      </c>
      <c r="J29" s="500">
        <v>6</v>
      </c>
      <c r="K29" s="500">
        <v>7</v>
      </c>
      <c r="L29" s="500">
        <v>8</v>
      </c>
      <c r="M29" s="500">
        <v>9</v>
      </c>
      <c r="N29" s="500">
        <v>12</v>
      </c>
      <c r="O29" s="500">
        <v>13</v>
      </c>
      <c r="P29" s="500">
        <v>16</v>
      </c>
      <c r="Q29" s="500">
        <v>19</v>
      </c>
      <c r="R29" s="500">
        <v>30</v>
      </c>
      <c r="S29" s="500">
        <v>0</v>
      </c>
      <c r="T29" s="500">
        <v>0</v>
      </c>
      <c r="U29" s="500">
        <v>0</v>
      </c>
      <c r="V29" s="500">
        <v>0</v>
      </c>
      <c r="W29" s="500">
        <v>28</v>
      </c>
      <c r="X29" s="500">
        <v>9</v>
      </c>
      <c r="Y29" s="500">
        <v>41</v>
      </c>
      <c r="Z29" s="500">
        <v>31</v>
      </c>
      <c r="AA29" s="499">
        <v>20</v>
      </c>
      <c r="AB29" s="500">
        <v>31</v>
      </c>
      <c r="AC29" s="500">
        <v>16</v>
      </c>
    </row>
    <row r="30" spans="1:29" ht="10.5">
      <c r="A30" s="500" t="s">
        <v>162</v>
      </c>
      <c r="B30" s="500">
        <v>20</v>
      </c>
      <c r="C30" s="500">
        <v>20</v>
      </c>
      <c r="D30" s="500">
        <v>13</v>
      </c>
      <c r="E30" s="500" t="str">
        <f>"LI-RIOJA-"&amp;$G$14</f>
        <v>LI-RIOJA-03</v>
      </c>
      <c r="F30" s="500" t="s">
        <v>163</v>
      </c>
      <c r="G30" s="500">
        <v>3</v>
      </c>
      <c r="H30" s="500">
        <v>5</v>
      </c>
      <c r="I30" s="500">
        <v>4</v>
      </c>
      <c r="J30" s="500">
        <v>6</v>
      </c>
      <c r="K30" s="500">
        <v>7</v>
      </c>
      <c r="L30" s="500">
        <v>8</v>
      </c>
      <c r="M30" s="500">
        <v>9</v>
      </c>
      <c r="N30" s="500">
        <v>12</v>
      </c>
      <c r="O30" s="500">
        <v>13</v>
      </c>
      <c r="P30" s="500">
        <v>16</v>
      </c>
      <c r="Q30" s="500">
        <v>19</v>
      </c>
      <c r="R30" s="500">
        <v>30</v>
      </c>
      <c r="S30" s="500">
        <v>0</v>
      </c>
      <c r="T30" s="500">
        <v>0</v>
      </c>
      <c r="U30" s="500">
        <v>0</v>
      </c>
      <c r="V30" s="500">
        <v>0</v>
      </c>
      <c r="W30" s="500">
        <v>29</v>
      </c>
      <c r="X30" s="500">
        <v>9</v>
      </c>
      <c r="Y30" s="500">
        <v>41</v>
      </c>
      <c r="Z30" s="500">
        <v>31</v>
      </c>
      <c r="AA30" s="499">
        <v>20</v>
      </c>
      <c r="AB30" s="500">
        <v>31</v>
      </c>
      <c r="AC30" s="500">
        <v>16</v>
      </c>
    </row>
    <row r="31" spans="1:29" ht="10.5">
      <c r="A31" s="501" t="s">
        <v>164</v>
      </c>
      <c r="B31" s="501">
        <v>22</v>
      </c>
      <c r="C31" s="502">
        <v>20</v>
      </c>
      <c r="D31" s="501">
        <v>14</v>
      </c>
      <c r="E31" s="501" t="str">
        <f>"TR-"&amp;$G$14</f>
        <v>TR-03</v>
      </c>
      <c r="F31" s="501" t="s">
        <v>165</v>
      </c>
      <c r="G31" s="500">
        <v>3</v>
      </c>
      <c r="H31" s="500">
        <v>5</v>
      </c>
      <c r="I31" s="500">
        <v>4</v>
      </c>
      <c r="J31" s="500">
        <v>6</v>
      </c>
      <c r="K31" s="500">
        <v>7</v>
      </c>
      <c r="L31" s="502">
        <v>8</v>
      </c>
      <c r="M31" s="502">
        <v>9</v>
      </c>
      <c r="N31" s="502">
        <v>11</v>
      </c>
      <c r="O31" s="502">
        <v>12</v>
      </c>
      <c r="P31" s="502">
        <v>15</v>
      </c>
      <c r="Q31" s="502">
        <v>17</v>
      </c>
      <c r="R31" s="502">
        <v>18</v>
      </c>
      <c r="S31" s="502">
        <v>28</v>
      </c>
      <c r="T31" s="502">
        <v>0</v>
      </c>
      <c r="U31" s="502">
        <v>0</v>
      </c>
      <c r="V31" s="502">
        <v>0</v>
      </c>
      <c r="W31" s="502">
        <v>33</v>
      </c>
      <c r="X31" s="500">
        <v>9</v>
      </c>
      <c r="Y31" s="501">
        <v>43</v>
      </c>
      <c r="Z31" s="501">
        <v>29</v>
      </c>
      <c r="AA31" s="501">
        <v>20</v>
      </c>
      <c r="AB31" s="501">
        <v>29</v>
      </c>
      <c r="AC31" s="501">
        <v>15</v>
      </c>
    </row>
    <row r="32" spans="1:29" ht="10.5">
      <c r="A32" s="499" t="s">
        <v>166</v>
      </c>
      <c r="B32" s="499">
        <v>22</v>
      </c>
      <c r="C32" s="500">
        <v>20</v>
      </c>
      <c r="D32" s="501">
        <v>14</v>
      </c>
      <c r="E32" s="499" t="str">
        <f>"TR-LITSA-"&amp;$G$14</f>
        <v>TR-LITSA-03</v>
      </c>
      <c r="F32" s="499" t="s">
        <v>167</v>
      </c>
      <c r="G32" s="500">
        <v>3</v>
      </c>
      <c r="H32" s="500">
        <v>5</v>
      </c>
      <c r="I32" s="500">
        <v>4</v>
      </c>
      <c r="J32" s="500">
        <v>6</v>
      </c>
      <c r="K32" s="500">
        <v>7</v>
      </c>
      <c r="L32" s="502">
        <v>8</v>
      </c>
      <c r="M32" s="502">
        <v>9</v>
      </c>
      <c r="N32" s="502">
        <v>11</v>
      </c>
      <c r="O32" s="502">
        <v>12</v>
      </c>
      <c r="P32" s="502">
        <v>15</v>
      </c>
      <c r="Q32" s="502">
        <v>17</v>
      </c>
      <c r="R32" s="502">
        <v>18</v>
      </c>
      <c r="S32" s="502">
        <v>28</v>
      </c>
      <c r="T32" s="502">
        <v>0</v>
      </c>
      <c r="U32" s="502">
        <v>0</v>
      </c>
      <c r="V32" s="502">
        <v>0</v>
      </c>
      <c r="W32" s="502">
        <v>34</v>
      </c>
      <c r="X32" s="500">
        <v>9</v>
      </c>
      <c r="Y32" s="501">
        <v>43</v>
      </c>
      <c r="Z32" s="501">
        <v>29</v>
      </c>
      <c r="AA32" s="501">
        <v>20</v>
      </c>
      <c r="AB32" s="501">
        <v>29</v>
      </c>
      <c r="AC32" s="501">
        <v>15</v>
      </c>
    </row>
    <row r="33" spans="1:29" ht="10.5">
      <c r="A33" s="499" t="s">
        <v>168</v>
      </c>
      <c r="B33" s="499">
        <v>22</v>
      </c>
      <c r="C33" s="500">
        <v>20</v>
      </c>
      <c r="D33" s="501">
        <v>14</v>
      </c>
      <c r="E33" s="499" t="str">
        <f>"TR-LITS2-"&amp;$G$14</f>
        <v>TR-LITS2-03</v>
      </c>
      <c r="F33" s="499" t="s">
        <v>169</v>
      </c>
      <c r="G33" s="500">
        <v>3</v>
      </c>
      <c r="H33" s="500">
        <v>5</v>
      </c>
      <c r="I33" s="500">
        <v>4</v>
      </c>
      <c r="J33" s="500">
        <v>6</v>
      </c>
      <c r="K33" s="500">
        <v>7</v>
      </c>
      <c r="L33" s="502">
        <v>8</v>
      </c>
      <c r="M33" s="502">
        <v>9</v>
      </c>
      <c r="N33" s="502">
        <v>11</v>
      </c>
      <c r="O33" s="502">
        <v>12</v>
      </c>
      <c r="P33" s="502">
        <v>15</v>
      </c>
      <c r="Q33" s="502">
        <v>17</v>
      </c>
      <c r="R33" s="502">
        <v>18</v>
      </c>
      <c r="S33" s="502">
        <v>28</v>
      </c>
      <c r="T33" s="502">
        <v>0</v>
      </c>
      <c r="U33" s="502">
        <v>0</v>
      </c>
      <c r="V33" s="502">
        <v>0</v>
      </c>
      <c r="W33" s="502">
        <v>35</v>
      </c>
      <c r="X33" s="500">
        <v>9</v>
      </c>
      <c r="Y33" s="501">
        <v>43</v>
      </c>
      <c r="Z33" s="501">
        <v>29</v>
      </c>
      <c r="AA33" s="501">
        <v>20</v>
      </c>
      <c r="AB33" s="501">
        <v>29</v>
      </c>
      <c r="AC33" s="501">
        <v>15</v>
      </c>
    </row>
    <row r="34" spans="1:29" ht="10.5">
      <c r="A34" s="499" t="s">
        <v>170</v>
      </c>
      <c r="B34" s="499">
        <v>22</v>
      </c>
      <c r="C34" s="500">
        <v>20</v>
      </c>
      <c r="D34" s="501">
        <v>14</v>
      </c>
      <c r="E34" s="499" t="str">
        <f>"TR-LINSA-"&amp;$G$14</f>
        <v>TR-LINSA-03</v>
      </c>
      <c r="F34" s="499" t="s">
        <v>171</v>
      </c>
      <c r="G34" s="500">
        <v>3</v>
      </c>
      <c r="H34" s="500">
        <v>5</v>
      </c>
      <c r="I34" s="500">
        <v>4</v>
      </c>
      <c r="J34" s="500">
        <v>6</v>
      </c>
      <c r="K34" s="500">
        <v>7</v>
      </c>
      <c r="L34" s="502">
        <v>8</v>
      </c>
      <c r="M34" s="502">
        <v>9</v>
      </c>
      <c r="N34" s="502">
        <v>11</v>
      </c>
      <c r="O34" s="502">
        <v>12</v>
      </c>
      <c r="P34" s="502">
        <v>15</v>
      </c>
      <c r="Q34" s="502">
        <v>17</v>
      </c>
      <c r="R34" s="502">
        <v>18</v>
      </c>
      <c r="S34" s="502">
        <v>28</v>
      </c>
      <c r="T34" s="502">
        <v>0</v>
      </c>
      <c r="U34" s="502">
        <v>0</v>
      </c>
      <c r="V34" s="502">
        <v>0</v>
      </c>
      <c r="W34" s="502">
        <v>36</v>
      </c>
      <c r="X34" s="500">
        <v>9</v>
      </c>
      <c r="Y34" s="501">
        <v>43</v>
      </c>
      <c r="Z34" s="501">
        <v>29</v>
      </c>
      <c r="AA34" s="501">
        <v>20</v>
      </c>
      <c r="AB34" s="501">
        <v>29</v>
      </c>
      <c r="AC34" s="501">
        <v>15</v>
      </c>
    </row>
    <row r="35" spans="1:29" ht="10.5">
      <c r="A35" s="499" t="s">
        <v>172</v>
      </c>
      <c r="B35" s="499">
        <v>20</v>
      </c>
      <c r="C35" s="500">
        <v>20</v>
      </c>
      <c r="D35" s="501">
        <v>14</v>
      </c>
      <c r="E35" s="499" t="str">
        <f>"TR-TIBA-"&amp;$G$14</f>
        <v>TR-TIBA-03</v>
      </c>
      <c r="F35" s="499" t="s">
        <v>173</v>
      </c>
      <c r="G35" s="500">
        <v>3</v>
      </c>
      <c r="H35" s="500">
        <v>5</v>
      </c>
      <c r="I35" s="500">
        <v>4</v>
      </c>
      <c r="J35" s="500">
        <v>6</v>
      </c>
      <c r="K35" s="500">
        <v>7</v>
      </c>
      <c r="L35" s="502">
        <v>8</v>
      </c>
      <c r="M35" s="502">
        <v>9</v>
      </c>
      <c r="N35" s="502">
        <v>11</v>
      </c>
      <c r="O35" s="502">
        <v>12</v>
      </c>
      <c r="P35" s="502">
        <v>15</v>
      </c>
      <c r="Q35" s="502">
        <v>17</v>
      </c>
      <c r="R35" s="502">
        <v>18</v>
      </c>
      <c r="S35" s="502">
        <v>28</v>
      </c>
      <c r="T35" s="502">
        <v>0</v>
      </c>
      <c r="U35" s="502">
        <v>0</v>
      </c>
      <c r="V35" s="502">
        <v>0</v>
      </c>
      <c r="W35" s="502">
        <v>37</v>
      </c>
      <c r="X35" s="500">
        <v>9</v>
      </c>
      <c r="Y35" s="501">
        <v>41</v>
      </c>
      <c r="Z35" s="501">
        <v>29</v>
      </c>
      <c r="AA35" s="501">
        <v>18</v>
      </c>
      <c r="AB35" s="501">
        <v>29</v>
      </c>
      <c r="AC35" s="501">
        <v>15</v>
      </c>
    </row>
    <row r="36" spans="1:29" ht="10.5">
      <c r="A36" s="499" t="s">
        <v>174</v>
      </c>
      <c r="B36" s="499">
        <v>20</v>
      </c>
      <c r="C36" s="500">
        <v>20</v>
      </c>
      <c r="D36" s="501">
        <v>14</v>
      </c>
      <c r="E36" s="499" t="str">
        <f>"TR-ENECOR-"&amp;$G$14</f>
        <v>TR-ENECOR-03</v>
      </c>
      <c r="F36" s="499" t="s">
        <v>175</v>
      </c>
      <c r="G36" s="500">
        <v>3</v>
      </c>
      <c r="H36" s="500">
        <v>5</v>
      </c>
      <c r="I36" s="500">
        <v>4</v>
      </c>
      <c r="J36" s="500">
        <v>6</v>
      </c>
      <c r="K36" s="500">
        <v>7</v>
      </c>
      <c r="L36" s="502">
        <v>8</v>
      </c>
      <c r="M36" s="502">
        <v>9</v>
      </c>
      <c r="N36" s="502">
        <v>11</v>
      </c>
      <c r="O36" s="502">
        <v>12</v>
      </c>
      <c r="P36" s="502">
        <v>15</v>
      </c>
      <c r="Q36" s="502">
        <v>17</v>
      </c>
      <c r="R36" s="502">
        <v>18</v>
      </c>
      <c r="S36" s="502">
        <v>28</v>
      </c>
      <c r="T36" s="502">
        <v>0</v>
      </c>
      <c r="U36" s="502">
        <v>0</v>
      </c>
      <c r="V36" s="502">
        <v>0</v>
      </c>
      <c r="W36" s="502">
        <v>38</v>
      </c>
      <c r="X36" s="500">
        <v>9</v>
      </c>
      <c r="Y36" s="501">
        <v>41</v>
      </c>
      <c r="Z36" s="501">
        <v>29</v>
      </c>
      <c r="AA36" s="501">
        <v>20</v>
      </c>
      <c r="AB36" s="501">
        <v>29</v>
      </c>
      <c r="AC36" s="501">
        <v>15</v>
      </c>
    </row>
    <row r="37" spans="1:29" ht="10.5">
      <c r="A37" s="500" t="s">
        <v>176</v>
      </c>
      <c r="B37" s="500">
        <v>20</v>
      </c>
      <c r="C37" s="500">
        <v>20</v>
      </c>
      <c r="D37" s="502">
        <v>14</v>
      </c>
      <c r="E37" s="500" t="str">
        <f>"TR-INTESAR-"&amp;$G$14</f>
        <v>TR-INTESAR-03</v>
      </c>
      <c r="F37" s="500" t="s">
        <v>177</v>
      </c>
      <c r="G37" s="500">
        <v>3</v>
      </c>
      <c r="H37" s="500">
        <v>5</v>
      </c>
      <c r="I37" s="500">
        <v>4</v>
      </c>
      <c r="J37" s="500">
        <v>6</v>
      </c>
      <c r="K37" s="500">
        <v>7</v>
      </c>
      <c r="L37" s="502">
        <v>8</v>
      </c>
      <c r="M37" s="502">
        <v>9</v>
      </c>
      <c r="N37" s="502">
        <v>11</v>
      </c>
      <c r="O37" s="502">
        <v>12</v>
      </c>
      <c r="P37" s="502">
        <v>15</v>
      </c>
      <c r="Q37" s="502">
        <v>17</v>
      </c>
      <c r="R37" s="502">
        <v>18</v>
      </c>
      <c r="S37" s="502">
        <v>28</v>
      </c>
      <c r="T37" s="502">
        <v>0</v>
      </c>
      <c r="U37" s="502">
        <v>0</v>
      </c>
      <c r="V37" s="502">
        <v>0</v>
      </c>
      <c r="W37" s="502">
        <v>39</v>
      </c>
      <c r="X37" s="500">
        <v>9</v>
      </c>
      <c r="Y37" s="501">
        <v>41</v>
      </c>
      <c r="Z37" s="502">
        <v>29</v>
      </c>
      <c r="AA37" s="502">
        <v>20</v>
      </c>
      <c r="AB37" s="502">
        <v>29</v>
      </c>
      <c r="AC37" s="502">
        <v>15</v>
      </c>
    </row>
    <row r="38" spans="1:29" ht="10.5">
      <c r="A38" s="500" t="s">
        <v>178</v>
      </c>
      <c r="B38" s="500">
        <v>20</v>
      </c>
      <c r="C38" s="500">
        <v>20</v>
      </c>
      <c r="D38" s="502">
        <v>14</v>
      </c>
      <c r="E38" s="500" t="str">
        <f>"TR-INTESA3-"&amp;$G$14</f>
        <v>TR-INTESA3-03</v>
      </c>
      <c r="F38" s="500" t="s">
        <v>179</v>
      </c>
      <c r="G38" s="500">
        <v>3</v>
      </c>
      <c r="H38" s="500">
        <v>5</v>
      </c>
      <c r="I38" s="500">
        <v>4</v>
      </c>
      <c r="J38" s="500">
        <v>6</v>
      </c>
      <c r="K38" s="500">
        <v>7</v>
      </c>
      <c r="L38" s="502">
        <v>8</v>
      </c>
      <c r="M38" s="502">
        <v>9</v>
      </c>
      <c r="N38" s="502">
        <v>11</v>
      </c>
      <c r="O38" s="502">
        <v>12</v>
      </c>
      <c r="P38" s="502">
        <v>15</v>
      </c>
      <c r="Q38" s="502">
        <v>17</v>
      </c>
      <c r="R38" s="502">
        <v>18</v>
      </c>
      <c r="S38" s="502">
        <v>28</v>
      </c>
      <c r="T38" s="502">
        <v>0</v>
      </c>
      <c r="U38" s="502">
        <v>0</v>
      </c>
      <c r="V38" s="502">
        <v>0</v>
      </c>
      <c r="W38" s="502">
        <v>40</v>
      </c>
      <c r="X38" s="500">
        <v>9</v>
      </c>
      <c r="Y38" s="501">
        <v>41</v>
      </c>
      <c r="Z38" s="502">
        <v>29</v>
      </c>
      <c r="AA38" s="502">
        <v>20</v>
      </c>
      <c r="AB38" s="502">
        <v>29</v>
      </c>
      <c r="AC38" s="502">
        <v>15</v>
      </c>
    </row>
    <row r="39" spans="1:29" ht="10.5">
      <c r="A39" s="500" t="s">
        <v>180</v>
      </c>
      <c r="B39" s="500">
        <v>20</v>
      </c>
      <c r="C39" s="500">
        <v>20</v>
      </c>
      <c r="D39" s="502">
        <v>14</v>
      </c>
      <c r="E39" s="500" t="str">
        <f>"TR-INTESA4-"&amp;$G$14</f>
        <v>TR-INTESA4-03</v>
      </c>
      <c r="F39" s="500" t="s">
        <v>181</v>
      </c>
      <c r="G39" s="500">
        <v>3</v>
      </c>
      <c r="H39" s="500">
        <v>5</v>
      </c>
      <c r="I39" s="500">
        <v>4</v>
      </c>
      <c r="J39" s="500">
        <v>6</v>
      </c>
      <c r="K39" s="500">
        <v>7</v>
      </c>
      <c r="L39" s="502">
        <v>8</v>
      </c>
      <c r="M39" s="502">
        <v>9</v>
      </c>
      <c r="N39" s="502">
        <v>11</v>
      </c>
      <c r="O39" s="502">
        <v>12</v>
      </c>
      <c r="P39" s="502">
        <v>15</v>
      </c>
      <c r="Q39" s="502">
        <v>17</v>
      </c>
      <c r="R39" s="502">
        <v>18</v>
      </c>
      <c r="S39" s="502">
        <v>28</v>
      </c>
      <c r="T39" s="502">
        <v>0</v>
      </c>
      <c r="U39" s="502">
        <v>0</v>
      </c>
      <c r="V39" s="502">
        <v>0</v>
      </c>
      <c r="W39" s="502">
        <v>41</v>
      </c>
      <c r="X39" s="500">
        <v>9</v>
      </c>
      <c r="Y39" s="501">
        <v>41</v>
      </c>
      <c r="Z39" s="502">
        <v>29</v>
      </c>
      <c r="AA39" s="502">
        <v>20</v>
      </c>
      <c r="AB39" s="502">
        <v>29</v>
      </c>
      <c r="AC39" s="502">
        <v>15</v>
      </c>
    </row>
    <row r="40" spans="1:29" ht="10.5">
      <c r="A40" s="500" t="s">
        <v>182</v>
      </c>
      <c r="B40" s="500">
        <v>20</v>
      </c>
      <c r="C40" s="500">
        <v>20</v>
      </c>
      <c r="D40" s="502">
        <v>14</v>
      </c>
      <c r="E40" s="500" t="str">
        <f>"TR-LIMSA-"&amp;$G$14</f>
        <v>TR-LIMSA-03</v>
      </c>
      <c r="F40" s="500" t="s">
        <v>183</v>
      </c>
      <c r="G40" s="500">
        <v>3</v>
      </c>
      <c r="H40" s="500">
        <v>5</v>
      </c>
      <c r="I40" s="500">
        <v>4</v>
      </c>
      <c r="J40" s="500">
        <v>6</v>
      </c>
      <c r="K40" s="500">
        <v>7</v>
      </c>
      <c r="L40" s="502">
        <v>8</v>
      </c>
      <c r="M40" s="502">
        <v>9</v>
      </c>
      <c r="N40" s="502">
        <v>11</v>
      </c>
      <c r="O40" s="502">
        <v>12</v>
      </c>
      <c r="P40" s="502">
        <v>15</v>
      </c>
      <c r="Q40" s="502">
        <v>17</v>
      </c>
      <c r="R40" s="502">
        <v>18</v>
      </c>
      <c r="S40" s="502">
        <v>28</v>
      </c>
      <c r="T40" s="502">
        <v>0</v>
      </c>
      <c r="U40" s="502">
        <v>0</v>
      </c>
      <c r="V40" s="502">
        <v>0</v>
      </c>
      <c r="W40" s="502">
        <v>42</v>
      </c>
      <c r="X40" s="500">
        <v>9</v>
      </c>
      <c r="Y40" s="501">
        <v>41</v>
      </c>
      <c r="Z40" s="502">
        <v>29</v>
      </c>
      <c r="AA40" s="502">
        <v>20</v>
      </c>
      <c r="AB40" s="502">
        <v>29</v>
      </c>
      <c r="AC40" s="502">
        <v>15</v>
      </c>
    </row>
    <row r="41" spans="1:29" ht="10.5">
      <c r="A41" s="500" t="s">
        <v>184</v>
      </c>
      <c r="B41" s="500">
        <v>20</v>
      </c>
      <c r="C41" s="500">
        <v>20</v>
      </c>
      <c r="D41" s="502">
        <v>14</v>
      </c>
      <c r="E41" s="500" t="str">
        <f>"TR-CUYANA-"&amp;$G$14</f>
        <v>TR-CUYANA-03</v>
      </c>
      <c r="F41" s="500" t="s">
        <v>185</v>
      </c>
      <c r="G41" s="500">
        <v>3</v>
      </c>
      <c r="H41" s="500">
        <v>5</v>
      </c>
      <c r="I41" s="500">
        <v>4</v>
      </c>
      <c r="J41" s="500">
        <v>6</v>
      </c>
      <c r="K41" s="500">
        <v>7</v>
      </c>
      <c r="L41" s="502">
        <v>8</v>
      </c>
      <c r="M41" s="502">
        <v>9</v>
      </c>
      <c r="N41" s="502">
        <v>11</v>
      </c>
      <c r="O41" s="502">
        <v>12</v>
      </c>
      <c r="P41" s="502">
        <v>15</v>
      </c>
      <c r="Q41" s="502">
        <v>17</v>
      </c>
      <c r="R41" s="502">
        <v>18</v>
      </c>
      <c r="S41" s="502">
        <v>28</v>
      </c>
      <c r="T41" s="502">
        <v>0</v>
      </c>
      <c r="U41" s="502">
        <v>0</v>
      </c>
      <c r="V41" s="502">
        <v>0</v>
      </c>
      <c r="W41" s="502">
        <v>43</v>
      </c>
      <c r="X41" s="500">
        <v>9</v>
      </c>
      <c r="Y41" s="501">
        <v>41</v>
      </c>
      <c r="Z41" s="502">
        <v>29</v>
      </c>
      <c r="AA41" s="502">
        <v>20</v>
      </c>
      <c r="AB41" s="502">
        <v>29</v>
      </c>
      <c r="AC41" s="502">
        <v>15</v>
      </c>
    </row>
    <row r="42" spans="1:29" ht="10.5">
      <c r="A42" s="500" t="s">
        <v>186</v>
      </c>
      <c r="B42" s="500">
        <v>20</v>
      </c>
      <c r="C42" s="500">
        <v>20</v>
      </c>
      <c r="D42" s="502">
        <v>14</v>
      </c>
      <c r="E42" s="500" t="str">
        <f>"TR-COBRA-"&amp;$G$14</f>
        <v>TR-COBRA-03</v>
      </c>
      <c r="F42" s="500" t="s">
        <v>187</v>
      </c>
      <c r="G42" s="500">
        <v>3</v>
      </c>
      <c r="H42" s="500">
        <v>5</v>
      </c>
      <c r="I42" s="500">
        <v>4</v>
      </c>
      <c r="J42" s="500">
        <v>6</v>
      </c>
      <c r="K42" s="500">
        <v>7</v>
      </c>
      <c r="L42" s="502">
        <v>8</v>
      </c>
      <c r="M42" s="502">
        <v>9</v>
      </c>
      <c r="N42" s="502">
        <v>11</v>
      </c>
      <c r="O42" s="502">
        <v>12</v>
      </c>
      <c r="P42" s="502">
        <v>15</v>
      </c>
      <c r="Q42" s="502">
        <v>17</v>
      </c>
      <c r="R42" s="502">
        <v>18</v>
      </c>
      <c r="S42" s="502">
        <v>28</v>
      </c>
      <c r="T42" s="502">
        <v>0</v>
      </c>
      <c r="U42" s="502">
        <v>0</v>
      </c>
      <c r="V42" s="502">
        <v>0</v>
      </c>
      <c r="W42" s="502">
        <v>44</v>
      </c>
      <c r="X42" s="500">
        <v>9</v>
      </c>
      <c r="Y42" s="501">
        <v>41</v>
      </c>
      <c r="Z42" s="502">
        <v>29</v>
      </c>
      <c r="AA42" s="502">
        <v>20</v>
      </c>
      <c r="AB42" s="502">
        <v>29</v>
      </c>
      <c r="AC42" s="502">
        <v>15</v>
      </c>
    </row>
    <row r="43" spans="1:29" ht="10.5">
      <c r="A43" s="499" t="s">
        <v>188</v>
      </c>
      <c r="B43" s="499">
        <v>24</v>
      </c>
      <c r="C43" s="500">
        <v>20</v>
      </c>
      <c r="D43" s="500">
        <v>11</v>
      </c>
      <c r="E43" s="499" t="str">
        <f>"SA-"&amp;$G$14</f>
        <v>SA-03</v>
      </c>
      <c r="F43" s="499" t="s">
        <v>189</v>
      </c>
      <c r="G43" s="499">
        <v>3</v>
      </c>
      <c r="H43" s="500">
        <v>5</v>
      </c>
      <c r="I43" s="500">
        <v>4</v>
      </c>
      <c r="J43" s="499">
        <v>6</v>
      </c>
      <c r="K43" s="499">
        <v>7</v>
      </c>
      <c r="L43" s="499">
        <v>8</v>
      </c>
      <c r="M43" s="499">
        <v>10</v>
      </c>
      <c r="N43" s="499">
        <v>11</v>
      </c>
      <c r="O43" s="499">
        <v>14</v>
      </c>
      <c r="P43" s="499">
        <v>15</v>
      </c>
      <c r="Q43" s="499">
        <v>21</v>
      </c>
      <c r="R43" s="499">
        <v>0</v>
      </c>
      <c r="S43" s="499">
        <v>0</v>
      </c>
      <c r="T43" s="499">
        <v>0</v>
      </c>
      <c r="U43" s="499">
        <v>0</v>
      </c>
      <c r="V43" s="499">
        <v>0</v>
      </c>
      <c r="W43" s="500">
        <v>46</v>
      </c>
      <c r="X43" s="500">
        <v>9</v>
      </c>
      <c r="Y43" s="499">
        <v>45</v>
      </c>
      <c r="Z43" s="499">
        <v>22</v>
      </c>
      <c r="AA43" s="499">
        <v>22</v>
      </c>
      <c r="AB43" s="499">
        <v>22</v>
      </c>
      <c r="AC43" s="500">
        <v>14</v>
      </c>
    </row>
    <row r="44" spans="1:29" ht="10.5">
      <c r="A44" s="499" t="s">
        <v>190</v>
      </c>
      <c r="B44" s="499">
        <v>22</v>
      </c>
      <c r="C44" s="500">
        <v>20</v>
      </c>
      <c r="D44" s="500">
        <v>11</v>
      </c>
      <c r="E44" s="499" t="str">
        <f>"SA-TIBA-"&amp;$G$14</f>
        <v>SA-TIBA-03</v>
      </c>
      <c r="F44" s="499" t="s">
        <v>191</v>
      </c>
      <c r="G44" s="499">
        <v>3</v>
      </c>
      <c r="H44" s="500">
        <v>5</v>
      </c>
      <c r="I44" s="500">
        <v>4</v>
      </c>
      <c r="J44" s="499">
        <v>6</v>
      </c>
      <c r="K44" s="499">
        <v>7</v>
      </c>
      <c r="L44" s="499">
        <v>8</v>
      </c>
      <c r="M44" s="499">
        <v>10</v>
      </c>
      <c r="N44" s="499">
        <v>11</v>
      </c>
      <c r="O44" s="499">
        <v>14</v>
      </c>
      <c r="P44" s="499">
        <v>15</v>
      </c>
      <c r="Q44" s="499">
        <v>21</v>
      </c>
      <c r="R44" s="499">
        <v>0</v>
      </c>
      <c r="S44" s="499">
        <v>0</v>
      </c>
      <c r="T44" s="499">
        <v>0</v>
      </c>
      <c r="U44" s="499">
        <v>0</v>
      </c>
      <c r="V44" s="499">
        <v>0</v>
      </c>
      <c r="W44" s="500">
        <v>47</v>
      </c>
      <c r="X44" s="500">
        <v>9</v>
      </c>
      <c r="Y44" s="499">
        <v>43</v>
      </c>
      <c r="Z44" s="499">
        <v>22</v>
      </c>
      <c r="AA44" s="499">
        <v>20</v>
      </c>
      <c r="AB44" s="499">
        <v>22</v>
      </c>
      <c r="AC44" s="500">
        <v>14</v>
      </c>
    </row>
    <row r="45" spans="1:29" ht="10.5">
      <c r="A45" s="499" t="s">
        <v>192</v>
      </c>
      <c r="B45" s="499">
        <v>22</v>
      </c>
      <c r="C45" s="500">
        <v>20</v>
      </c>
      <c r="D45" s="500">
        <v>11</v>
      </c>
      <c r="E45" s="499" t="str">
        <f>"SA-ENECOR-"&amp;$G$14</f>
        <v>SA-ENECOR-03</v>
      </c>
      <c r="F45" s="499" t="s">
        <v>193</v>
      </c>
      <c r="G45" s="499">
        <v>3</v>
      </c>
      <c r="H45" s="500">
        <v>5</v>
      </c>
      <c r="I45" s="500">
        <v>4</v>
      </c>
      <c r="J45" s="499">
        <v>6</v>
      </c>
      <c r="K45" s="499">
        <v>7</v>
      </c>
      <c r="L45" s="499">
        <v>8</v>
      </c>
      <c r="M45" s="499">
        <v>10</v>
      </c>
      <c r="N45" s="499">
        <v>11</v>
      </c>
      <c r="O45" s="499">
        <v>14</v>
      </c>
      <c r="P45" s="499">
        <v>15</v>
      </c>
      <c r="Q45" s="499">
        <v>21</v>
      </c>
      <c r="R45" s="499">
        <v>0</v>
      </c>
      <c r="S45" s="499">
        <v>0</v>
      </c>
      <c r="T45" s="499">
        <v>0</v>
      </c>
      <c r="U45" s="499">
        <v>0</v>
      </c>
      <c r="V45" s="499">
        <v>0</v>
      </c>
      <c r="W45" s="500">
        <v>48</v>
      </c>
      <c r="X45" s="500">
        <v>9</v>
      </c>
      <c r="Y45" s="499">
        <v>43</v>
      </c>
      <c r="Z45" s="499">
        <v>22</v>
      </c>
      <c r="AA45" s="499">
        <v>20</v>
      </c>
      <c r="AB45" s="499">
        <v>22</v>
      </c>
      <c r="AC45" s="500">
        <v>14</v>
      </c>
    </row>
    <row r="46" spans="1:29" ht="10.5">
      <c r="A46" s="499" t="s">
        <v>194</v>
      </c>
      <c r="B46" s="499">
        <v>24</v>
      </c>
      <c r="C46" s="500">
        <v>20</v>
      </c>
      <c r="D46" s="500">
        <v>11</v>
      </c>
      <c r="E46" s="499" t="str">
        <f>"SA-INTESA3-"&amp;$G$14</f>
        <v>SA-INTESA3-03</v>
      </c>
      <c r="F46" s="499" t="s">
        <v>195</v>
      </c>
      <c r="G46" s="499">
        <v>3</v>
      </c>
      <c r="H46" s="500">
        <v>5</v>
      </c>
      <c r="I46" s="500">
        <v>4</v>
      </c>
      <c r="J46" s="499">
        <v>6</v>
      </c>
      <c r="K46" s="499">
        <v>7</v>
      </c>
      <c r="L46" s="499">
        <v>8</v>
      </c>
      <c r="M46" s="499">
        <v>10</v>
      </c>
      <c r="N46" s="499">
        <v>11</v>
      </c>
      <c r="O46" s="499">
        <v>14</v>
      </c>
      <c r="P46" s="499">
        <v>15</v>
      </c>
      <c r="Q46" s="499">
        <v>21</v>
      </c>
      <c r="R46" s="499">
        <v>0</v>
      </c>
      <c r="S46" s="499">
        <v>0</v>
      </c>
      <c r="T46" s="499">
        <v>0</v>
      </c>
      <c r="U46" s="499">
        <v>0</v>
      </c>
      <c r="V46" s="499">
        <v>0</v>
      </c>
      <c r="W46" s="500">
        <v>49</v>
      </c>
      <c r="X46" s="500">
        <v>9</v>
      </c>
      <c r="Y46" s="499">
        <v>45</v>
      </c>
      <c r="Z46" s="499">
        <v>22</v>
      </c>
      <c r="AA46" s="499">
        <v>22</v>
      </c>
      <c r="AB46" s="499">
        <v>22</v>
      </c>
      <c r="AC46" s="500">
        <v>14</v>
      </c>
    </row>
    <row r="47" spans="1:29" ht="10.5">
      <c r="A47" s="499" t="s">
        <v>196</v>
      </c>
      <c r="B47" s="499">
        <v>24</v>
      </c>
      <c r="C47" s="500">
        <v>20</v>
      </c>
      <c r="D47" s="500">
        <v>11</v>
      </c>
      <c r="E47" s="499" t="str">
        <f>"SA-INTESA4-"&amp;$G$14</f>
        <v>SA-INTESA4-03</v>
      </c>
      <c r="F47" s="499" t="s">
        <v>197</v>
      </c>
      <c r="G47" s="499">
        <v>3</v>
      </c>
      <c r="H47" s="500">
        <v>5</v>
      </c>
      <c r="I47" s="500">
        <v>4</v>
      </c>
      <c r="J47" s="499">
        <v>6</v>
      </c>
      <c r="K47" s="499">
        <v>7</v>
      </c>
      <c r="L47" s="499">
        <v>8</v>
      </c>
      <c r="M47" s="499">
        <v>10</v>
      </c>
      <c r="N47" s="499">
        <v>11</v>
      </c>
      <c r="O47" s="499">
        <v>14</v>
      </c>
      <c r="P47" s="499">
        <v>15</v>
      </c>
      <c r="Q47" s="499">
        <v>21</v>
      </c>
      <c r="R47" s="499">
        <v>0</v>
      </c>
      <c r="S47" s="499">
        <v>0</v>
      </c>
      <c r="T47" s="499">
        <v>0</v>
      </c>
      <c r="U47" s="499">
        <v>0</v>
      </c>
      <c r="V47" s="499">
        <v>0</v>
      </c>
      <c r="W47" s="500">
        <v>50</v>
      </c>
      <c r="X47" s="500">
        <v>9</v>
      </c>
      <c r="Y47" s="499">
        <v>45</v>
      </c>
      <c r="Z47" s="499">
        <v>22</v>
      </c>
      <c r="AA47" s="499">
        <v>22</v>
      </c>
      <c r="AB47" s="499">
        <v>22</v>
      </c>
      <c r="AC47" s="500">
        <v>14</v>
      </c>
    </row>
    <row r="48" spans="1:29" ht="10.5">
      <c r="A48" s="500" t="s">
        <v>198</v>
      </c>
      <c r="B48" s="499">
        <v>24</v>
      </c>
      <c r="C48" s="499">
        <v>20</v>
      </c>
      <c r="D48" s="500">
        <v>11</v>
      </c>
      <c r="E48" s="500" t="str">
        <f>"SA-TESA-"&amp;$G$14</f>
        <v>SA-TESA-03</v>
      </c>
      <c r="F48" s="500" t="s">
        <v>199</v>
      </c>
      <c r="G48" s="500">
        <v>3</v>
      </c>
      <c r="H48" s="500">
        <v>5</v>
      </c>
      <c r="I48" s="500">
        <v>4</v>
      </c>
      <c r="J48" s="500">
        <v>6</v>
      </c>
      <c r="K48" s="500">
        <v>7</v>
      </c>
      <c r="L48" s="500">
        <v>8</v>
      </c>
      <c r="M48" s="500">
        <v>10</v>
      </c>
      <c r="N48" s="500">
        <v>11</v>
      </c>
      <c r="O48" s="500">
        <v>14</v>
      </c>
      <c r="P48" s="500">
        <v>15</v>
      </c>
      <c r="Q48" s="499">
        <v>21</v>
      </c>
      <c r="R48" s="500">
        <v>0</v>
      </c>
      <c r="S48" s="500">
        <v>0</v>
      </c>
      <c r="T48" s="500">
        <v>0</v>
      </c>
      <c r="U48" s="500">
        <v>0</v>
      </c>
      <c r="V48" s="500">
        <v>0</v>
      </c>
      <c r="W48" s="500">
        <v>51</v>
      </c>
      <c r="X48" s="500">
        <v>9</v>
      </c>
      <c r="Y48" s="499">
        <v>45</v>
      </c>
      <c r="Z48" s="500">
        <v>22</v>
      </c>
      <c r="AA48" s="500">
        <v>22</v>
      </c>
      <c r="AB48" s="500">
        <v>22</v>
      </c>
      <c r="AC48" s="500">
        <v>14</v>
      </c>
    </row>
    <row r="49" spans="1:29" ht="10.5">
      <c r="A49" s="500" t="s">
        <v>200</v>
      </c>
      <c r="B49" s="499">
        <v>24</v>
      </c>
      <c r="C49" s="499">
        <v>20</v>
      </c>
      <c r="D49" s="500">
        <v>11</v>
      </c>
      <c r="E49" s="500" t="str">
        <f>"SA-CTM-"&amp;$G$14</f>
        <v>SA-CTM-03</v>
      </c>
      <c r="F49" s="500" t="s">
        <v>201</v>
      </c>
      <c r="G49" s="500">
        <v>3</v>
      </c>
      <c r="H49" s="500">
        <v>5</v>
      </c>
      <c r="I49" s="500">
        <v>4</v>
      </c>
      <c r="J49" s="500">
        <v>6</v>
      </c>
      <c r="K49" s="500">
        <v>7</v>
      </c>
      <c r="L49" s="500">
        <v>8</v>
      </c>
      <c r="M49" s="500">
        <v>10</v>
      </c>
      <c r="N49" s="500">
        <v>11</v>
      </c>
      <c r="O49" s="500">
        <v>14</v>
      </c>
      <c r="P49" s="500">
        <v>15</v>
      </c>
      <c r="Q49" s="499">
        <v>21</v>
      </c>
      <c r="R49" s="500">
        <v>0</v>
      </c>
      <c r="S49" s="500">
        <v>0</v>
      </c>
      <c r="T49" s="500">
        <v>0</v>
      </c>
      <c r="U49" s="500">
        <v>0</v>
      </c>
      <c r="V49" s="500">
        <v>0</v>
      </c>
      <c r="W49" s="500">
        <v>52</v>
      </c>
      <c r="X49" s="500">
        <v>9</v>
      </c>
      <c r="Y49" s="499">
        <v>45</v>
      </c>
      <c r="Z49" s="500">
        <v>22</v>
      </c>
      <c r="AA49" s="500">
        <v>22</v>
      </c>
      <c r="AB49" s="500">
        <v>22</v>
      </c>
      <c r="AC49" s="500">
        <v>14</v>
      </c>
    </row>
    <row r="50" spans="1:29" ht="10.5">
      <c r="A50" s="499" t="s">
        <v>202</v>
      </c>
      <c r="B50" s="499">
        <v>24</v>
      </c>
      <c r="C50" s="500">
        <v>20</v>
      </c>
      <c r="D50" s="500">
        <v>11</v>
      </c>
      <c r="E50" s="499" t="str">
        <f>"SA-LIMSA-"&amp;$G$14</f>
        <v>SA-LIMSA-03</v>
      </c>
      <c r="F50" s="499" t="s">
        <v>203</v>
      </c>
      <c r="G50" s="499">
        <v>3</v>
      </c>
      <c r="H50" s="500">
        <v>5</v>
      </c>
      <c r="I50" s="500">
        <v>4</v>
      </c>
      <c r="J50" s="499">
        <v>6</v>
      </c>
      <c r="K50" s="499">
        <v>7</v>
      </c>
      <c r="L50" s="499">
        <v>8</v>
      </c>
      <c r="M50" s="499">
        <v>10</v>
      </c>
      <c r="N50" s="499">
        <v>11</v>
      </c>
      <c r="O50" s="499">
        <v>14</v>
      </c>
      <c r="P50" s="499">
        <v>15</v>
      </c>
      <c r="Q50" s="499">
        <v>21</v>
      </c>
      <c r="R50" s="499">
        <v>0</v>
      </c>
      <c r="S50" s="499">
        <v>0</v>
      </c>
      <c r="T50" s="499">
        <v>0</v>
      </c>
      <c r="U50" s="499">
        <v>0</v>
      </c>
      <c r="V50" s="499">
        <v>0</v>
      </c>
      <c r="W50" s="500">
        <v>53</v>
      </c>
      <c r="X50" s="500">
        <v>9</v>
      </c>
      <c r="Y50" s="499">
        <v>45</v>
      </c>
      <c r="Z50" s="499">
        <v>22</v>
      </c>
      <c r="AA50" s="499">
        <v>22</v>
      </c>
      <c r="AB50" s="499">
        <v>22</v>
      </c>
      <c r="AC50" s="500">
        <v>14</v>
      </c>
    </row>
    <row r="51" spans="1:29" ht="10.5">
      <c r="A51" s="499" t="s">
        <v>204</v>
      </c>
      <c r="B51" s="499">
        <v>24</v>
      </c>
      <c r="C51" s="500">
        <v>20</v>
      </c>
      <c r="D51" s="500">
        <v>11</v>
      </c>
      <c r="E51" s="499" t="str">
        <f>"SA-LITSA-"&amp;$G$14</f>
        <v>SA-LITSA-03</v>
      </c>
      <c r="F51" s="499" t="s">
        <v>205</v>
      </c>
      <c r="G51" s="499">
        <v>3</v>
      </c>
      <c r="H51" s="500">
        <v>5</v>
      </c>
      <c r="I51" s="500">
        <v>4</v>
      </c>
      <c r="J51" s="499">
        <v>6</v>
      </c>
      <c r="K51" s="499">
        <v>7</v>
      </c>
      <c r="L51" s="499">
        <v>8</v>
      </c>
      <c r="M51" s="499">
        <v>10</v>
      </c>
      <c r="N51" s="499">
        <v>11</v>
      </c>
      <c r="O51" s="499">
        <v>14</v>
      </c>
      <c r="P51" s="499">
        <v>15</v>
      </c>
      <c r="Q51" s="499">
        <v>21</v>
      </c>
      <c r="R51" s="499">
        <v>0</v>
      </c>
      <c r="S51" s="499">
        <v>0</v>
      </c>
      <c r="T51" s="499">
        <v>0</v>
      </c>
      <c r="U51" s="499">
        <v>0</v>
      </c>
      <c r="V51" s="499">
        <v>0</v>
      </c>
      <c r="W51" s="500">
        <v>54</v>
      </c>
      <c r="X51" s="500">
        <v>9</v>
      </c>
      <c r="Y51" s="499">
        <v>45</v>
      </c>
      <c r="Z51" s="499">
        <v>22</v>
      </c>
      <c r="AA51" s="499">
        <v>22</v>
      </c>
      <c r="AB51" s="499">
        <v>22</v>
      </c>
      <c r="AC51" s="500">
        <v>14</v>
      </c>
    </row>
    <row r="52" spans="1:29" ht="10.5">
      <c r="A52" s="499" t="s">
        <v>206</v>
      </c>
      <c r="B52" s="499">
        <v>24</v>
      </c>
      <c r="C52" s="500">
        <v>20</v>
      </c>
      <c r="D52" s="500">
        <v>11</v>
      </c>
      <c r="E52" s="499" t="str">
        <f>"SA-LITS2-"&amp;$G$14</f>
        <v>SA-LITS2-03</v>
      </c>
      <c r="F52" s="499" t="s">
        <v>207</v>
      </c>
      <c r="G52" s="499">
        <v>3</v>
      </c>
      <c r="H52" s="500">
        <v>5</v>
      </c>
      <c r="I52" s="500">
        <v>4</v>
      </c>
      <c r="J52" s="499">
        <v>6</v>
      </c>
      <c r="K52" s="499">
        <v>7</v>
      </c>
      <c r="L52" s="499">
        <v>8</v>
      </c>
      <c r="M52" s="499">
        <v>10</v>
      </c>
      <c r="N52" s="499">
        <v>11</v>
      </c>
      <c r="O52" s="499">
        <v>14</v>
      </c>
      <c r="P52" s="499">
        <v>15</v>
      </c>
      <c r="Q52" s="499">
        <v>21</v>
      </c>
      <c r="R52" s="499">
        <v>0</v>
      </c>
      <c r="S52" s="499">
        <v>0</v>
      </c>
      <c r="T52" s="499">
        <v>0</v>
      </c>
      <c r="U52" s="499">
        <v>0</v>
      </c>
      <c r="V52" s="499">
        <v>0</v>
      </c>
      <c r="W52" s="500">
        <v>55</v>
      </c>
      <c r="X52" s="500">
        <v>9</v>
      </c>
      <c r="Y52" s="499">
        <v>45</v>
      </c>
      <c r="Z52" s="499">
        <v>22</v>
      </c>
      <c r="AA52" s="499">
        <v>22</v>
      </c>
      <c r="AB52" s="499">
        <v>22</v>
      </c>
      <c r="AC52" s="500">
        <v>14</v>
      </c>
    </row>
    <row r="53" spans="1:29" ht="10.5">
      <c r="A53" s="499" t="s">
        <v>208</v>
      </c>
      <c r="B53" s="499">
        <v>24</v>
      </c>
      <c r="C53" s="500">
        <v>20</v>
      </c>
      <c r="D53" s="500">
        <v>11</v>
      </c>
      <c r="E53" s="499" t="str">
        <f>"SA-LINSA-"&amp;$G$14</f>
        <v>SA-LINSA-03</v>
      </c>
      <c r="F53" s="499" t="s">
        <v>209</v>
      </c>
      <c r="G53" s="499">
        <v>3</v>
      </c>
      <c r="H53" s="500">
        <v>5</v>
      </c>
      <c r="I53" s="500">
        <v>4</v>
      </c>
      <c r="J53" s="499">
        <v>6</v>
      </c>
      <c r="K53" s="499">
        <v>7</v>
      </c>
      <c r="L53" s="499">
        <v>8</v>
      </c>
      <c r="M53" s="499">
        <v>10</v>
      </c>
      <c r="N53" s="499">
        <v>11</v>
      </c>
      <c r="O53" s="499">
        <v>14</v>
      </c>
      <c r="P53" s="499">
        <v>15</v>
      </c>
      <c r="Q53" s="499">
        <v>21</v>
      </c>
      <c r="R53" s="499">
        <v>0</v>
      </c>
      <c r="S53" s="499">
        <v>0</v>
      </c>
      <c r="T53" s="499">
        <v>0</v>
      </c>
      <c r="U53" s="499">
        <v>0</v>
      </c>
      <c r="V53" s="499">
        <v>0</v>
      </c>
      <c r="W53" s="500">
        <v>56</v>
      </c>
      <c r="X53" s="500">
        <v>9</v>
      </c>
      <c r="Y53" s="499">
        <v>45</v>
      </c>
      <c r="Z53" s="499">
        <v>22</v>
      </c>
      <c r="AA53" s="499">
        <v>22</v>
      </c>
      <c r="AB53" s="499">
        <v>22</v>
      </c>
      <c r="AC53" s="500">
        <v>14</v>
      </c>
    </row>
    <row r="54" spans="1:29" ht="10.5">
      <c r="A54" s="499" t="s">
        <v>210</v>
      </c>
      <c r="B54" s="499">
        <v>22</v>
      </c>
      <c r="C54" s="499">
        <v>20</v>
      </c>
      <c r="D54" s="499">
        <v>12</v>
      </c>
      <c r="E54" s="499" t="str">
        <f>"RE-"&amp;$G$14</f>
        <v>RE-03</v>
      </c>
      <c r="F54" s="499" t="s">
        <v>211</v>
      </c>
      <c r="G54" s="499">
        <v>3</v>
      </c>
      <c r="H54" s="500">
        <v>5</v>
      </c>
      <c r="I54" s="500">
        <v>4</v>
      </c>
      <c r="J54" s="499">
        <v>6</v>
      </c>
      <c r="K54" s="499">
        <v>7</v>
      </c>
      <c r="L54" s="499">
        <v>8</v>
      </c>
      <c r="M54" s="499">
        <v>10</v>
      </c>
      <c r="N54" s="499">
        <v>11</v>
      </c>
      <c r="O54" s="499">
        <v>14</v>
      </c>
      <c r="P54" s="499">
        <v>16</v>
      </c>
      <c r="Q54" s="499">
        <v>25</v>
      </c>
      <c r="R54" s="499">
        <v>15</v>
      </c>
      <c r="S54" s="499">
        <v>0</v>
      </c>
      <c r="T54" s="499">
        <v>0</v>
      </c>
      <c r="U54" s="499">
        <v>0</v>
      </c>
      <c r="V54" s="499">
        <v>0</v>
      </c>
      <c r="W54" s="500">
        <v>59</v>
      </c>
      <c r="X54" s="500">
        <v>9</v>
      </c>
      <c r="Y54" s="499">
        <v>43</v>
      </c>
      <c r="Z54" s="499">
        <v>26</v>
      </c>
      <c r="AA54" s="499">
        <v>20</v>
      </c>
      <c r="AB54" s="499">
        <v>23</v>
      </c>
      <c r="AC54" s="499">
        <v>14</v>
      </c>
    </row>
    <row r="55" spans="1:29" ht="10.5">
      <c r="A55" s="499" t="s">
        <v>212</v>
      </c>
      <c r="B55" s="499">
        <v>22</v>
      </c>
      <c r="C55" s="499">
        <v>20</v>
      </c>
      <c r="D55" s="499">
        <v>12</v>
      </c>
      <c r="E55" s="499" t="str">
        <f>"RE-YACY-"&amp;$G$14</f>
        <v>RE-YACY-03</v>
      </c>
      <c r="F55" s="499" t="s">
        <v>213</v>
      </c>
      <c r="G55" s="499">
        <v>3</v>
      </c>
      <c r="H55" s="500">
        <v>5</v>
      </c>
      <c r="I55" s="500">
        <v>4</v>
      </c>
      <c r="J55" s="499">
        <v>6</v>
      </c>
      <c r="K55" s="499">
        <v>7</v>
      </c>
      <c r="L55" s="499">
        <v>8</v>
      </c>
      <c r="M55" s="499">
        <v>10</v>
      </c>
      <c r="N55" s="499">
        <v>11</v>
      </c>
      <c r="O55" s="499">
        <v>14</v>
      </c>
      <c r="P55" s="499">
        <v>16</v>
      </c>
      <c r="Q55" s="499">
        <v>25</v>
      </c>
      <c r="R55" s="499">
        <v>15</v>
      </c>
      <c r="S55" s="499">
        <v>0</v>
      </c>
      <c r="T55" s="499">
        <v>0</v>
      </c>
      <c r="U55" s="499">
        <v>0</v>
      </c>
      <c r="V55" s="499">
        <v>0</v>
      </c>
      <c r="W55" s="500">
        <v>61</v>
      </c>
      <c r="X55" s="500">
        <v>9</v>
      </c>
      <c r="Y55" s="499">
        <v>43</v>
      </c>
      <c r="Z55" s="499">
        <v>26</v>
      </c>
      <c r="AA55" s="499">
        <v>20</v>
      </c>
      <c r="AB55" s="499">
        <v>23</v>
      </c>
      <c r="AC55" s="499">
        <v>14</v>
      </c>
    </row>
    <row r="56" spans="1:29" ht="10.5">
      <c r="A56" s="499" t="s">
        <v>214</v>
      </c>
      <c r="B56" s="499">
        <v>24</v>
      </c>
      <c r="C56" s="499">
        <v>20</v>
      </c>
      <c r="D56" s="499">
        <v>12</v>
      </c>
      <c r="E56" s="499" t="s">
        <v>214</v>
      </c>
      <c r="F56" s="499" t="s">
        <v>215</v>
      </c>
      <c r="G56" s="499">
        <v>3</v>
      </c>
      <c r="H56" s="500">
        <v>5</v>
      </c>
      <c r="I56" s="500">
        <v>4</v>
      </c>
      <c r="J56" s="499">
        <v>6</v>
      </c>
      <c r="K56" s="499">
        <v>7</v>
      </c>
      <c r="L56" s="499">
        <v>8</v>
      </c>
      <c r="M56" s="499">
        <v>10</v>
      </c>
      <c r="N56" s="499">
        <v>11</v>
      </c>
      <c r="O56" s="499">
        <v>14</v>
      </c>
      <c r="P56" s="499">
        <v>16</v>
      </c>
      <c r="Q56" s="499">
        <v>22</v>
      </c>
      <c r="R56" s="499">
        <v>15</v>
      </c>
      <c r="S56" s="499">
        <v>0</v>
      </c>
      <c r="T56" s="499">
        <v>0</v>
      </c>
      <c r="U56" s="499">
        <v>0</v>
      </c>
      <c r="V56" s="499">
        <v>0</v>
      </c>
      <c r="W56" s="500">
        <v>62</v>
      </c>
      <c r="X56" s="500">
        <v>9</v>
      </c>
      <c r="Y56" s="499">
        <v>45</v>
      </c>
      <c r="Z56" s="499">
        <v>24</v>
      </c>
      <c r="AA56" s="499">
        <v>22</v>
      </c>
      <c r="AB56" s="499">
        <v>24</v>
      </c>
      <c r="AC56" s="499">
        <v>15</v>
      </c>
    </row>
    <row r="57" spans="1:29" ht="10.5">
      <c r="A57" s="499" t="s">
        <v>216</v>
      </c>
      <c r="B57" s="499">
        <v>24</v>
      </c>
      <c r="C57" s="499">
        <v>20</v>
      </c>
      <c r="D57" s="499">
        <v>12</v>
      </c>
      <c r="E57" s="499" t="s">
        <v>216</v>
      </c>
      <c r="F57" s="499" t="s">
        <v>217</v>
      </c>
      <c r="G57" s="499">
        <v>3</v>
      </c>
      <c r="H57" s="500">
        <v>5</v>
      </c>
      <c r="I57" s="500">
        <v>4</v>
      </c>
      <c r="J57" s="499">
        <v>6</v>
      </c>
      <c r="K57" s="499">
        <v>7</v>
      </c>
      <c r="L57" s="499">
        <v>8</v>
      </c>
      <c r="M57" s="499">
        <v>10</v>
      </c>
      <c r="N57" s="499">
        <v>11</v>
      </c>
      <c r="O57" s="499">
        <v>14</v>
      </c>
      <c r="P57" s="499">
        <v>16</v>
      </c>
      <c r="Q57" s="499">
        <v>22</v>
      </c>
      <c r="R57" s="499">
        <v>15</v>
      </c>
      <c r="S57" s="499">
        <v>0</v>
      </c>
      <c r="T57" s="499">
        <v>0</v>
      </c>
      <c r="U57" s="499">
        <v>0</v>
      </c>
      <c r="V57" s="499">
        <v>0</v>
      </c>
      <c r="W57" s="500">
        <v>63</v>
      </c>
      <c r="X57" s="500">
        <v>9</v>
      </c>
      <c r="Y57" s="499">
        <v>45</v>
      </c>
      <c r="Z57" s="499">
        <v>24</v>
      </c>
      <c r="AA57" s="499">
        <v>22</v>
      </c>
      <c r="AB57" s="499">
        <v>24</v>
      </c>
      <c r="AC57" s="499">
        <v>15</v>
      </c>
    </row>
    <row r="58" spans="1:29" ht="10.5">
      <c r="A58" s="499" t="s">
        <v>218</v>
      </c>
      <c r="B58" s="499">
        <v>24</v>
      </c>
      <c r="C58" s="499">
        <v>20</v>
      </c>
      <c r="D58" s="499">
        <v>12</v>
      </c>
      <c r="E58" s="499" t="s">
        <v>218</v>
      </c>
      <c r="F58" s="499" t="s">
        <v>219</v>
      </c>
      <c r="G58" s="499">
        <v>3</v>
      </c>
      <c r="H58" s="500">
        <v>5</v>
      </c>
      <c r="I58" s="500">
        <v>4</v>
      </c>
      <c r="J58" s="499">
        <v>6</v>
      </c>
      <c r="K58" s="499">
        <v>7</v>
      </c>
      <c r="L58" s="499">
        <v>8</v>
      </c>
      <c r="M58" s="499">
        <v>10</v>
      </c>
      <c r="N58" s="499">
        <v>11</v>
      </c>
      <c r="O58" s="499">
        <v>14</v>
      </c>
      <c r="P58" s="499">
        <v>16</v>
      </c>
      <c r="Q58" s="499">
        <v>22</v>
      </c>
      <c r="R58" s="499">
        <v>15</v>
      </c>
      <c r="S58" s="499">
        <v>0</v>
      </c>
      <c r="T58" s="499">
        <v>0</v>
      </c>
      <c r="U58" s="499">
        <v>0</v>
      </c>
      <c r="V58" s="499">
        <v>0</v>
      </c>
      <c r="W58" s="500">
        <v>64</v>
      </c>
      <c r="X58" s="500">
        <v>9</v>
      </c>
      <c r="Y58" s="499">
        <v>45</v>
      </c>
      <c r="Z58" s="499">
        <v>24</v>
      </c>
      <c r="AA58" s="499">
        <v>22</v>
      </c>
      <c r="AB58" s="499">
        <v>24</v>
      </c>
      <c r="AC58" s="499">
        <v>15</v>
      </c>
    </row>
    <row r="59" spans="1:29" ht="10.5">
      <c r="A59" s="499" t="s">
        <v>220</v>
      </c>
      <c r="B59" s="499">
        <v>24</v>
      </c>
      <c r="C59" s="499">
        <v>20</v>
      </c>
      <c r="D59" s="499">
        <v>12</v>
      </c>
      <c r="E59" s="499" t="str">
        <f>"RE-LITSA-"&amp;$G$14</f>
        <v>RE-LITSA-03</v>
      </c>
      <c r="F59" s="499" t="s">
        <v>221</v>
      </c>
      <c r="G59" s="499">
        <v>3</v>
      </c>
      <c r="H59" s="500">
        <v>5</v>
      </c>
      <c r="I59" s="500">
        <v>4</v>
      </c>
      <c r="J59" s="499">
        <v>6</v>
      </c>
      <c r="K59" s="499">
        <v>7</v>
      </c>
      <c r="L59" s="499">
        <v>8</v>
      </c>
      <c r="M59" s="499">
        <v>10</v>
      </c>
      <c r="N59" s="499">
        <v>11</v>
      </c>
      <c r="O59" s="499">
        <v>14</v>
      </c>
      <c r="P59" s="499">
        <v>16</v>
      </c>
      <c r="Q59" s="499">
        <v>22</v>
      </c>
      <c r="R59" s="499">
        <v>15</v>
      </c>
      <c r="S59" s="499">
        <v>0</v>
      </c>
      <c r="T59" s="499">
        <v>0</v>
      </c>
      <c r="U59" s="499">
        <v>0</v>
      </c>
      <c r="V59" s="499">
        <v>0</v>
      </c>
      <c r="W59" s="500">
        <v>65</v>
      </c>
      <c r="X59" s="500">
        <v>9</v>
      </c>
      <c r="Y59" s="499">
        <v>45</v>
      </c>
      <c r="Z59" s="499">
        <v>24</v>
      </c>
      <c r="AA59" s="499">
        <v>22</v>
      </c>
      <c r="AB59" s="499">
        <v>24</v>
      </c>
      <c r="AC59" s="499">
        <v>15</v>
      </c>
    </row>
    <row r="60" spans="1:29" ht="10.5">
      <c r="A60" s="499" t="s">
        <v>222</v>
      </c>
      <c r="B60" s="499">
        <v>24</v>
      </c>
      <c r="C60" s="499">
        <v>20</v>
      </c>
      <c r="D60" s="499">
        <v>12</v>
      </c>
      <c r="E60" s="499" t="str">
        <f>"RE-LITS2-"&amp;$G$14</f>
        <v>RE-LITS2-03</v>
      </c>
      <c r="F60" s="499" t="s">
        <v>223</v>
      </c>
      <c r="G60" s="499">
        <v>3</v>
      </c>
      <c r="H60" s="500">
        <v>5</v>
      </c>
      <c r="I60" s="500">
        <v>4</v>
      </c>
      <c r="J60" s="499">
        <v>6</v>
      </c>
      <c r="K60" s="499">
        <v>7</v>
      </c>
      <c r="L60" s="499">
        <v>8</v>
      </c>
      <c r="M60" s="499">
        <v>10</v>
      </c>
      <c r="N60" s="499">
        <v>11</v>
      </c>
      <c r="O60" s="499">
        <v>14</v>
      </c>
      <c r="P60" s="499">
        <v>16</v>
      </c>
      <c r="Q60" s="499">
        <v>22</v>
      </c>
      <c r="R60" s="499">
        <v>15</v>
      </c>
      <c r="S60" s="499">
        <v>0</v>
      </c>
      <c r="T60" s="499">
        <v>0</v>
      </c>
      <c r="U60" s="499">
        <v>0</v>
      </c>
      <c r="V60" s="499">
        <v>0</v>
      </c>
      <c r="W60" s="500">
        <v>66</v>
      </c>
      <c r="X60" s="500">
        <v>9</v>
      </c>
      <c r="Y60" s="499">
        <v>45</v>
      </c>
      <c r="Z60" s="499">
        <v>24</v>
      </c>
      <c r="AA60" s="499">
        <v>22</v>
      </c>
      <c r="AB60" s="499">
        <v>24</v>
      </c>
      <c r="AC60" s="499">
        <v>15</v>
      </c>
    </row>
    <row r="61" spans="1:29" ht="10.5">
      <c r="A61" s="499" t="s">
        <v>224</v>
      </c>
      <c r="B61" s="499">
        <v>24</v>
      </c>
      <c r="C61" s="499">
        <v>20</v>
      </c>
      <c r="D61" s="499">
        <v>12</v>
      </c>
      <c r="E61" s="499" t="str">
        <f>"RE-LINSA-"&amp;$G$14</f>
        <v>RE-LINSA-03</v>
      </c>
      <c r="F61" s="499" t="s">
        <v>225</v>
      </c>
      <c r="G61" s="499">
        <v>3</v>
      </c>
      <c r="H61" s="500">
        <v>5</v>
      </c>
      <c r="I61" s="500">
        <v>4</v>
      </c>
      <c r="J61" s="499">
        <v>6</v>
      </c>
      <c r="K61" s="499">
        <v>7</v>
      </c>
      <c r="L61" s="499">
        <v>8</v>
      </c>
      <c r="M61" s="499">
        <v>10</v>
      </c>
      <c r="N61" s="499">
        <v>11</v>
      </c>
      <c r="O61" s="499">
        <v>14</v>
      </c>
      <c r="P61" s="499">
        <v>16</v>
      </c>
      <c r="Q61" s="499">
        <v>22</v>
      </c>
      <c r="R61" s="499">
        <v>15</v>
      </c>
      <c r="S61" s="499">
        <v>0</v>
      </c>
      <c r="T61" s="499">
        <v>0</v>
      </c>
      <c r="U61" s="499">
        <v>0</v>
      </c>
      <c r="V61" s="499">
        <v>0</v>
      </c>
      <c r="W61" s="500">
        <v>67</v>
      </c>
      <c r="X61" s="500">
        <v>9</v>
      </c>
      <c r="Y61" s="499">
        <v>45</v>
      </c>
      <c r="Z61" s="499">
        <v>24</v>
      </c>
      <c r="AA61" s="499">
        <v>22</v>
      </c>
      <c r="AB61" s="499">
        <v>24</v>
      </c>
      <c r="AC61" s="499">
        <v>15</v>
      </c>
    </row>
    <row r="62" spans="1:29" ht="10.5">
      <c r="A62" s="499" t="s">
        <v>226</v>
      </c>
      <c r="B62" s="499">
        <v>22</v>
      </c>
      <c r="C62" s="499">
        <v>20</v>
      </c>
      <c r="D62" s="499">
        <v>12</v>
      </c>
      <c r="E62" s="499" t="str">
        <f>"RE-IV-"&amp;$G$14</f>
        <v>RE-IV-03</v>
      </c>
      <c r="F62" s="499" t="s">
        <v>227</v>
      </c>
      <c r="G62" s="499">
        <v>3</v>
      </c>
      <c r="H62" s="500">
        <v>5</v>
      </c>
      <c r="I62" s="500">
        <v>4</v>
      </c>
      <c r="J62" s="499">
        <v>6</v>
      </c>
      <c r="K62" s="499">
        <v>7</v>
      </c>
      <c r="L62" s="499">
        <v>8</v>
      </c>
      <c r="M62" s="499">
        <v>10</v>
      </c>
      <c r="N62" s="499">
        <v>11</v>
      </c>
      <c r="O62" s="499">
        <v>14</v>
      </c>
      <c r="P62" s="499">
        <v>16</v>
      </c>
      <c r="Q62" s="499">
        <v>22</v>
      </c>
      <c r="R62" s="499">
        <v>15</v>
      </c>
      <c r="S62" s="499">
        <v>0</v>
      </c>
      <c r="T62" s="499">
        <v>0</v>
      </c>
      <c r="U62" s="499">
        <v>0</v>
      </c>
      <c r="V62" s="499">
        <v>0</v>
      </c>
      <c r="W62" s="500">
        <v>68</v>
      </c>
      <c r="X62" s="499">
        <v>9</v>
      </c>
      <c r="Y62" s="499">
        <v>43</v>
      </c>
      <c r="Z62" s="499">
        <v>24</v>
      </c>
      <c r="AA62" s="499">
        <v>20</v>
      </c>
      <c r="AB62" s="499">
        <v>23</v>
      </c>
      <c r="AC62" s="499">
        <v>14</v>
      </c>
    </row>
    <row r="63" spans="1:29" ht="10.5">
      <c r="A63" s="499" t="s">
        <v>228</v>
      </c>
      <c r="B63" s="499">
        <v>22</v>
      </c>
      <c r="C63" s="499">
        <v>20</v>
      </c>
      <c r="D63" s="499">
        <v>12</v>
      </c>
      <c r="E63" s="499" t="str">
        <f>"RE-LIMSA-"&amp;$G$14</f>
        <v>RE-LIMSA-03</v>
      </c>
      <c r="F63" s="499" t="s">
        <v>229</v>
      </c>
      <c r="G63" s="499">
        <v>3</v>
      </c>
      <c r="H63" s="500">
        <v>5</v>
      </c>
      <c r="I63" s="500">
        <v>4</v>
      </c>
      <c r="J63" s="499">
        <v>6</v>
      </c>
      <c r="K63" s="499">
        <v>7</v>
      </c>
      <c r="L63" s="499">
        <v>8</v>
      </c>
      <c r="M63" s="499">
        <v>10</v>
      </c>
      <c r="N63" s="499">
        <v>11</v>
      </c>
      <c r="O63" s="499">
        <v>14</v>
      </c>
      <c r="P63" s="499">
        <v>16</v>
      </c>
      <c r="Q63" s="499">
        <v>25</v>
      </c>
      <c r="R63" s="499">
        <v>15</v>
      </c>
      <c r="S63" s="499">
        <v>0</v>
      </c>
      <c r="T63" s="499">
        <v>0</v>
      </c>
      <c r="U63" s="499">
        <v>0</v>
      </c>
      <c r="V63" s="499">
        <v>0</v>
      </c>
      <c r="W63" s="500">
        <v>69</v>
      </c>
      <c r="X63" s="500">
        <v>9</v>
      </c>
      <c r="Y63" s="499">
        <v>43</v>
      </c>
      <c r="Z63" s="499">
        <v>26</v>
      </c>
      <c r="AA63" s="499">
        <v>20</v>
      </c>
      <c r="AB63" s="499">
        <v>23</v>
      </c>
      <c r="AC63" s="499">
        <v>14</v>
      </c>
    </row>
    <row r="64" spans="1:29" ht="10.5">
      <c r="A64" s="503" t="s">
        <v>230</v>
      </c>
      <c r="B64" s="504">
        <v>32</v>
      </c>
      <c r="C64" s="504">
        <v>25</v>
      </c>
      <c r="D64" s="504">
        <v>11</v>
      </c>
      <c r="E64" s="503" t="s">
        <v>230</v>
      </c>
      <c r="F64" s="504" t="s">
        <v>141</v>
      </c>
      <c r="G64" s="504">
        <v>0</v>
      </c>
      <c r="H64" s="504">
        <v>0</v>
      </c>
      <c r="I64" s="504">
        <v>0</v>
      </c>
      <c r="J64" s="504">
        <v>4</v>
      </c>
      <c r="K64" s="504">
        <v>5</v>
      </c>
      <c r="L64" s="504">
        <v>6</v>
      </c>
      <c r="M64" s="504">
        <v>7</v>
      </c>
      <c r="N64" s="504">
        <v>10</v>
      </c>
      <c r="O64" s="504">
        <v>11</v>
      </c>
      <c r="P64" s="504">
        <v>14</v>
      </c>
      <c r="Q64" s="504">
        <v>17</v>
      </c>
      <c r="R64" s="504">
        <v>28</v>
      </c>
      <c r="S64" s="504">
        <v>0</v>
      </c>
      <c r="T64" s="504">
        <v>0</v>
      </c>
      <c r="U64" s="504">
        <v>0</v>
      </c>
      <c r="V64" s="504">
        <v>0</v>
      </c>
      <c r="W64" s="504">
        <v>0</v>
      </c>
      <c r="X64" s="504">
        <v>0</v>
      </c>
      <c r="Y64" s="504">
        <v>0</v>
      </c>
      <c r="Z64" s="504">
        <v>0</v>
      </c>
      <c r="AA64" s="504">
        <v>0</v>
      </c>
      <c r="AB64" s="504">
        <v>0</v>
      </c>
      <c r="AC64" s="504">
        <v>0</v>
      </c>
    </row>
    <row r="65" spans="1:29" s="505" customFormat="1" ht="10.5">
      <c r="A65" s="503" t="s">
        <v>230</v>
      </c>
      <c r="B65" s="503">
        <v>70</v>
      </c>
      <c r="C65" s="503">
        <v>4</v>
      </c>
      <c r="D65" s="503">
        <v>11</v>
      </c>
      <c r="E65" s="503" t="s">
        <v>230</v>
      </c>
      <c r="F65" s="504" t="s">
        <v>213</v>
      </c>
      <c r="G65" s="503">
        <v>0</v>
      </c>
      <c r="H65" s="503">
        <v>0</v>
      </c>
      <c r="I65" s="503">
        <v>0</v>
      </c>
      <c r="J65" s="503">
        <v>4</v>
      </c>
      <c r="K65" s="503">
        <v>5</v>
      </c>
      <c r="L65" s="503">
        <v>6</v>
      </c>
      <c r="M65" s="503">
        <v>10</v>
      </c>
      <c r="N65" s="503">
        <v>11</v>
      </c>
      <c r="O65" s="503">
        <v>14</v>
      </c>
      <c r="P65" s="503">
        <v>16</v>
      </c>
      <c r="Q65" s="503">
        <v>28</v>
      </c>
      <c r="R65" s="503">
        <v>0</v>
      </c>
      <c r="S65" s="503">
        <v>0</v>
      </c>
      <c r="T65" s="503">
        <v>0</v>
      </c>
      <c r="U65" s="503">
        <v>0</v>
      </c>
      <c r="V65" s="503">
        <v>0</v>
      </c>
      <c r="W65" s="503">
        <v>0</v>
      </c>
      <c r="X65" s="503">
        <v>0</v>
      </c>
      <c r="Y65" s="503">
        <v>0</v>
      </c>
      <c r="Z65" s="503">
        <v>0</v>
      </c>
      <c r="AA65" s="503">
        <v>0</v>
      </c>
      <c r="AB65" s="503">
        <v>0</v>
      </c>
      <c r="AC65" s="503">
        <v>0</v>
      </c>
    </row>
    <row r="66" spans="1:29" ht="10.5">
      <c r="A66" s="503" t="s">
        <v>231</v>
      </c>
      <c r="B66" s="504">
        <v>90</v>
      </c>
      <c r="C66" s="504">
        <v>10</v>
      </c>
      <c r="D66" s="506">
        <v>12</v>
      </c>
      <c r="E66" s="503" t="s">
        <v>231</v>
      </c>
      <c r="F66" s="504" t="s">
        <v>205</v>
      </c>
      <c r="G66" s="504">
        <v>0</v>
      </c>
      <c r="H66" s="504">
        <v>0</v>
      </c>
      <c r="I66" s="504">
        <v>0</v>
      </c>
      <c r="J66" s="504">
        <v>4</v>
      </c>
      <c r="K66" s="504">
        <v>5</v>
      </c>
      <c r="L66" s="504">
        <v>6</v>
      </c>
      <c r="M66" s="504">
        <v>10</v>
      </c>
      <c r="N66" s="504">
        <v>11</v>
      </c>
      <c r="O66" s="504">
        <v>14</v>
      </c>
      <c r="P66" s="504">
        <v>15</v>
      </c>
      <c r="Q66" s="504">
        <v>28</v>
      </c>
      <c r="R66" s="504">
        <v>0</v>
      </c>
      <c r="S66" s="504">
        <v>0</v>
      </c>
      <c r="T66" s="504">
        <v>0</v>
      </c>
      <c r="U66" s="504">
        <v>0</v>
      </c>
      <c r="V66" s="504">
        <v>0</v>
      </c>
      <c r="W66" s="504">
        <v>0</v>
      </c>
      <c r="X66" s="504">
        <v>0</v>
      </c>
      <c r="Y66" s="504">
        <v>0</v>
      </c>
      <c r="Z66" s="504">
        <v>0</v>
      </c>
      <c r="AA66" s="504">
        <v>0</v>
      </c>
      <c r="AB66" s="504">
        <v>0</v>
      </c>
      <c r="AC66" s="504">
        <v>0</v>
      </c>
    </row>
    <row r="67" spans="1:29" ht="10.5">
      <c r="A67" s="503" t="s">
        <v>231</v>
      </c>
      <c r="B67" s="504">
        <v>61</v>
      </c>
      <c r="C67" s="504">
        <v>24</v>
      </c>
      <c r="D67" s="506">
        <v>12</v>
      </c>
      <c r="E67" s="503" t="s">
        <v>231</v>
      </c>
      <c r="F67" s="504" t="s">
        <v>167</v>
      </c>
      <c r="G67" s="504">
        <v>0</v>
      </c>
      <c r="H67" s="504">
        <v>0</v>
      </c>
      <c r="I67" s="504">
        <v>0</v>
      </c>
      <c r="J67" s="504">
        <v>4</v>
      </c>
      <c r="K67" s="504">
        <v>5</v>
      </c>
      <c r="L67" s="504">
        <v>6</v>
      </c>
      <c r="M67" s="504">
        <v>8</v>
      </c>
      <c r="N67" s="504">
        <v>9</v>
      </c>
      <c r="O67" s="504">
        <v>10</v>
      </c>
      <c r="P67" s="504">
        <v>13</v>
      </c>
      <c r="Q67" s="504">
        <v>15</v>
      </c>
      <c r="R67" s="504">
        <v>16</v>
      </c>
      <c r="S67" s="504">
        <v>0</v>
      </c>
      <c r="T67" s="504">
        <v>0</v>
      </c>
      <c r="U67" s="504">
        <v>0</v>
      </c>
      <c r="V67" s="504">
        <v>0</v>
      </c>
      <c r="W67" s="504">
        <v>0</v>
      </c>
      <c r="X67" s="504">
        <v>0</v>
      </c>
      <c r="Y67" s="504">
        <v>0</v>
      </c>
      <c r="Z67" s="504">
        <v>0</v>
      </c>
      <c r="AA67" s="504">
        <v>0</v>
      </c>
      <c r="AB67" s="504">
        <v>0</v>
      </c>
      <c r="AC67" s="504">
        <v>0</v>
      </c>
    </row>
    <row r="68" spans="1:29" ht="10.5">
      <c r="A68" s="503" t="s">
        <v>231</v>
      </c>
      <c r="B68" s="504">
        <v>32</v>
      </c>
      <c r="C68" s="504">
        <v>24</v>
      </c>
      <c r="D68" s="504">
        <v>11</v>
      </c>
      <c r="E68" s="503" t="s">
        <v>231</v>
      </c>
      <c r="F68" s="504" t="s">
        <v>143</v>
      </c>
      <c r="G68" s="504">
        <v>0</v>
      </c>
      <c r="H68" s="504">
        <v>0</v>
      </c>
      <c r="I68" s="504">
        <v>0</v>
      </c>
      <c r="J68" s="504">
        <v>4</v>
      </c>
      <c r="K68" s="504">
        <v>5</v>
      </c>
      <c r="L68" s="504">
        <v>6</v>
      </c>
      <c r="M68" s="504">
        <v>7</v>
      </c>
      <c r="N68" s="504">
        <v>10</v>
      </c>
      <c r="O68" s="504">
        <v>11</v>
      </c>
      <c r="P68" s="504">
        <v>14</v>
      </c>
      <c r="Q68" s="504">
        <v>17</v>
      </c>
      <c r="R68" s="504">
        <v>28</v>
      </c>
      <c r="S68" s="504">
        <v>0</v>
      </c>
      <c r="T68" s="504">
        <v>0</v>
      </c>
      <c r="U68" s="504">
        <v>0</v>
      </c>
      <c r="V68" s="504">
        <v>0</v>
      </c>
      <c r="W68" s="504">
        <v>0</v>
      </c>
      <c r="X68" s="504">
        <v>0</v>
      </c>
      <c r="Y68" s="504">
        <v>0</v>
      </c>
      <c r="Z68" s="504">
        <v>0</v>
      </c>
      <c r="AA68" s="504">
        <v>0</v>
      </c>
      <c r="AB68" s="504">
        <v>0</v>
      </c>
      <c r="AC68" s="504">
        <v>0</v>
      </c>
    </row>
    <row r="69" spans="1:29" s="505" customFormat="1" ht="10.5">
      <c r="A69" s="503" t="s">
        <v>231</v>
      </c>
      <c r="B69" s="503">
        <v>105</v>
      </c>
      <c r="C69" s="503">
        <v>8</v>
      </c>
      <c r="D69" s="503">
        <v>11</v>
      </c>
      <c r="E69" s="503" t="s">
        <v>231</v>
      </c>
      <c r="F69" s="504" t="s">
        <v>221</v>
      </c>
      <c r="G69" s="503">
        <v>0</v>
      </c>
      <c r="H69" s="503">
        <v>0</v>
      </c>
      <c r="I69" s="503">
        <v>0</v>
      </c>
      <c r="J69" s="503">
        <v>4</v>
      </c>
      <c r="K69" s="503">
        <v>5</v>
      </c>
      <c r="L69" s="503">
        <v>6</v>
      </c>
      <c r="M69" s="503">
        <v>10</v>
      </c>
      <c r="N69" s="503">
        <v>11</v>
      </c>
      <c r="O69" s="503">
        <v>14</v>
      </c>
      <c r="P69" s="503">
        <v>16</v>
      </c>
      <c r="Q69" s="503">
        <v>28</v>
      </c>
      <c r="R69" s="503">
        <v>0</v>
      </c>
      <c r="S69" s="503">
        <v>0</v>
      </c>
      <c r="T69" s="503">
        <v>0</v>
      </c>
      <c r="U69" s="503">
        <v>0</v>
      </c>
      <c r="V69" s="503">
        <v>0</v>
      </c>
      <c r="W69" s="503">
        <v>0</v>
      </c>
      <c r="X69" s="503">
        <v>0</v>
      </c>
      <c r="Y69" s="503">
        <v>0</v>
      </c>
      <c r="Z69" s="503">
        <v>0</v>
      </c>
      <c r="AA69" s="503">
        <v>0</v>
      </c>
      <c r="AB69" s="503">
        <v>0</v>
      </c>
      <c r="AC69" s="503">
        <v>0</v>
      </c>
    </row>
    <row r="70" spans="1:29" ht="10.5">
      <c r="A70" s="503" t="s">
        <v>232</v>
      </c>
      <c r="B70" s="504">
        <v>90</v>
      </c>
      <c r="C70" s="504">
        <v>10</v>
      </c>
      <c r="D70" s="506">
        <v>12</v>
      </c>
      <c r="E70" s="503" t="s">
        <v>232</v>
      </c>
      <c r="F70" s="504" t="s">
        <v>207</v>
      </c>
      <c r="G70" s="504">
        <v>0</v>
      </c>
      <c r="H70" s="504">
        <v>0</v>
      </c>
      <c r="I70" s="504">
        <v>0</v>
      </c>
      <c r="J70" s="504">
        <v>4</v>
      </c>
      <c r="K70" s="504">
        <v>5</v>
      </c>
      <c r="L70" s="504">
        <v>6</v>
      </c>
      <c r="M70" s="504">
        <v>10</v>
      </c>
      <c r="N70" s="504">
        <v>11</v>
      </c>
      <c r="O70" s="504">
        <v>14</v>
      </c>
      <c r="P70" s="504">
        <v>15</v>
      </c>
      <c r="Q70" s="504">
        <v>28</v>
      </c>
      <c r="R70" s="504">
        <v>0</v>
      </c>
      <c r="S70" s="504">
        <v>0</v>
      </c>
      <c r="T70" s="504">
        <v>0</v>
      </c>
      <c r="U70" s="504">
        <v>0</v>
      </c>
      <c r="V70" s="504">
        <v>0</v>
      </c>
      <c r="W70" s="504">
        <v>0</v>
      </c>
      <c r="X70" s="504">
        <v>0</v>
      </c>
      <c r="Y70" s="504">
        <v>0</v>
      </c>
      <c r="Z70" s="504">
        <v>0</v>
      </c>
      <c r="AA70" s="504">
        <v>0</v>
      </c>
      <c r="AB70" s="504">
        <v>0</v>
      </c>
      <c r="AC70" s="504">
        <v>0</v>
      </c>
    </row>
    <row r="71" spans="1:29" ht="10.5">
      <c r="A71" s="503" t="s">
        <v>232</v>
      </c>
      <c r="B71" s="504">
        <v>61</v>
      </c>
      <c r="C71" s="504">
        <v>24</v>
      </c>
      <c r="D71" s="506">
        <v>12</v>
      </c>
      <c r="E71" s="503" t="s">
        <v>232</v>
      </c>
      <c r="F71" s="504" t="s">
        <v>169</v>
      </c>
      <c r="G71" s="504">
        <v>0</v>
      </c>
      <c r="H71" s="504">
        <v>0</v>
      </c>
      <c r="I71" s="504">
        <v>0</v>
      </c>
      <c r="J71" s="504">
        <v>4</v>
      </c>
      <c r="K71" s="504">
        <v>5</v>
      </c>
      <c r="L71" s="504">
        <v>6</v>
      </c>
      <c r="M71" s="504">
        <v>8</v>
      </c>
      <c r="N71" s="504">
        <v>9</v>
      </c>
      <c r="O71" s="504">
        <v>10</v>
      </c>
      <c r="P71" s="504">
        <v>13</v>
      </c>
      <c r="Q71" s="504">
        <v>15</v>
      </c>
      <c r="R71" s="504">
        <v>16</v>
      </c>
      <c r="S71" s="504">
        <v>0</v>
      </c>
      <c r="T71" s="504">
        <v>0</v>
      </c>
      <c r="U71" s="504">
        <v>0</v>
      </c>
      <c r="V71" s="504">
        <v>0</v>
      </c>
      <c r="W71" s="504">
        <v>0</v>
      </c>
      <c r="X71" s="504">
        <v>0</v>
      </c>
      <c r="Y71" s="504">
        <v>0</v>
      </c>
      <c r="Z71" s="504">
        <v>0</v>
      </c>
      <c r="AA71" s="504">
        <v>0</v>
      </c>
      <c r="AB71" s="504">
        <v>0</v>
      </c>
      <c r="AC71" s="504">
        <v>0</v>
      </c>
    </row>
    <row r="72" spans="1:29" ht="10.5">
      <c r="A72" s="503" t="s">
        <v>232</v>
      </c>
      <c r="B72" s="504">
        <v>32</v>
      </c>
      <c r="C72" s="504">
        <v>24</v>
      </c>
      <c r="D72" s="504">
        <v>11</v>
      </c>
      <c r="E72" s="503" t="s">
        <v>232</v>
      </c>
      <c r="F72" s="504" t="s">
        <v>145</v>
      </c>
      <c r="G72" s="504">
        <v>0</v>
      </c>
      <c r="H72" s="504">
        <v>0</v>
      </c>
      <c r="I72" s="504">
        <v>0</v>
      </c>
      <c r="J72" s="504">
        <v>4</v>
      </c>
      <c r="K72" s="504">
        <v>5</v>
      </c>
      <c r="L72" s="504">
        <v>6</v>
      </c>
      <c r="M72" s="504">
        <v>7</v>
      </c>
      <c r="N72" s="504">
        <v>10</v>
      </c>
      <c r="O72" s="504">
        <v>11</v>
      </c>
      <c r="P72" s="504">
        <v>14</v>
      </c>
      <c r="Q72" s="504">
        <v>17</v>
      </c>
      <c r="R72" s="504">
        <v>28</v>
      </c>
      <c r="S72" s="504">
        <v>0</v>
      </c>
      <c r="T72" s="504">
        <v>0</v>
      </c>
      <c r="U72" s="504">
        <v>0</v>
      </c>
      <c r="V72" s="504">
        <v>0</v>
      </c>
      <c r="W72" s="504">
        <v>0</v>
      </c>
      <c r="X72" s="504">
        <v>0</v>
      </c>
      <c r="Y72" s="504">
        <v>0</v>
      </c>
      <c r="Z72" s="504">
        <v>0</v>
      </c>
      <c r="AA72" s="504">
        <v>0</v>
      </c>
      <c r="AB72" s="504">
        <v>0</v>
      </c>
      <c r="AC72" s="504">
        <v>0</v>
      </c>
    </row>
    <row r="73" spans="1:29" s="505" customFormat="1" ht="10.5">
      <c r="A73" s="503" t="s">
        <v>232</v>
      </c>
      <c r="B73" s="503">
        <v>105</v>
      </c>
      <c r="C73" s="503">
        <v>8</v>
      </c>
      <c r="D73" s="503">
        <v>11</v>
      </c>
      <c r="E73" s="503" t="s">
        <v>232</v>
      </c>
      <c r="F73" s="504" t="s">
        <v>223</v>
      </c>
      <c r="G73" s="503">
        <v>0</v>
      </c>
      <c r="H73" s="503">
        <v>0</v>
      </c>
      <c r="I73" s="503">
        <v>0</v>
      </c>
      <c r="J73" s="503">
        <v>4</v>
      </c>
      <c r="K73" s="503">
        <v>5</v>
      </c>
      <c r="L73" s="503">
        <v>6</v>
      </c>
      <c r="M73" s="503">
        <v>10</v>
      </c>
      <c r="N73" s="503">
        <v>11</v>
      </c>
      <c r="O73" s="503">
        <v>14</v>
      </c>
      <c r="P73" s="503">
        <v>16</v>
      </c>
      <c r="Q73" s="503">
        <v>28</v>
      </c>
      <c r="R73" s="503">
        <v>0</v>
      </c>
      <c r="S73" s="503">
        <v>0</v>
      </c>
      <c r="T73" s="503">
        <v>0</v>
      </c>
      <c r="U73" s="503">
        <v>0</v>
      </c>
      <c r="V73" s="503">
        <v>0</v>
      </c>
      <c r="W73" s="503">
        <v>0</v>
      </c>
      <c r="X73" s="503">
        <v>0</v>
      </c>
      <c r="Y73" s="503">
        <v>0</v>
      </c>
      <c r="Z73" s="503">
        <v>0</v>
      </c>
      <c r="AA73" s="503">
        <v>0</v>
      </c>
      <c r="AB73" s="503">
        <v>0</v>
      </c>
      <c r="AC73" s="503">
        <v>0</v>
      </c>
    </row>
    <row r="74" spans="1:29" ht="10.5">
      <c r="A74" s="503" t="s">
        <v>233</v>
      </c>
      <c r="B74" s="504">
        <v>60</v>
      </c>
      <c r="C74" s="504">
        <v>36</v>
      </c>
      <c r="D74" s="504">
        <v>9</v>
      </c>
      <c r="E74" s="503" t="s">
        <v>233</v>
      </c>
      <c r="F74" s="504" t="s">
        <v>191</v>
      </c>
      <c r="G74" s="504">
        <v>0</v>
      </c>
      <c r="H74" s="504">
        <v>0</v>
      </c>
      <c r="I74" s="504">
        <v>0</v>
      </c>
      <c r="J74" s="504">
        <v>4</v>
      </c>
      <c r="K74" s="504">
        <v>5</v>
      </c>
      <c r="L74" s="504">
        <v>7</v>
      </c>
      <c r="M74" s="504">
        <v>9</v>
      </c>
      <c r="N74" s="504">
        <v>10</v>
      </c>
      <c r="O74" s="504">
        <v>13</v>
      </c>
      <c r="P74" s="504">
        <v>14</v>
      </c>
      <c r="Q74" s="504">
        <v>21</v>
      </c>
      <c r="R74" s="504">
        <v>0</v>
      </c>
      <c r="S74" s="504">
        <v>0</v>
      </c>
      <c r="T74" s="504">
        <v>0</v>
      </c>
      <c r="U74" s="504">
        <v>0</v>
      </c>
      <c r="V74" s="504">
        <v>0</v>
      </c>
      <c r="W74" s="504">
        <v>0</v>
      </c>
      <c r="X74" s="504">
        <v>0</v>
      </c>
      <c r="Y74" s="504">
        <v>0</v>
      </c>
      <c r="Z74" s="504">
        <v>0</v>
      </c>
      <c r="AA74" s="504">
        <v>0</v>
      </c>
      <c r="AB74" s="504">
        <v>0</v>
      </c>
      <c r="AC74" s="504">
        <v>0</v>
      </c>
    </row>
    <row r="75" spans="1:29" ht="10.5">
      <c r="A75" s="503" t="s">
        <v>233</v>
      </c>
      <c r="B75" s="504">
        <v>31</v>
      </c>
      <c r="C75" s="504">
        <v>25</v>
      </c>
      <c r="D75" s="506">
        <v>12</v>
      </c>
      <c r="E75" s="503" t="s">
        <v>233</v>
      </c>
      <c r="F75" s="504" t="s">
        <v>173</v>
      </c>
      <c r="G75" s="504">
        <v>0</v>
      </c>
      <c r="H75" s="504">
        <v>0</v>
      </c>
      <c r="I75" s="504">
        <v>0</v>
      </c>
      <c r="J75" s="504">
        <v>4</v>
      </c>
      <c r="K75" s="504">
        <v>5</v>
      </c>
      <c r="L75" s="504">
        <v>6</v>
      </c>
      <c r="M75" s="504">
        <v>7</v>
      </c>
      <c r="N75" s="504">
        <v>9</v>
      </c>
      <c r="O75" s="504">
        <v>10</v>
      </c>
      <c r="P75" s="504">
        <v>13</v>
      </c>
      <c r="Q75" s="504">
        <v>15</v>
      </c>
      <c r="R75" s="504">
        <v>16</v>
      </c>
      <c r="S75" s="504">
        <v>0</v>
      </c>
      <c r="T75" s="504">
        <v>0</v>
      </c>
      <c r="U75" s="504">
        <v>0</v>
      </c>
      <c r="V75" s="504">
        <v>0</v>
      </c>
      <c r="W75" s="504">
        <v>0</v>
      </c>
      <c r="X75" s="504">
        <v>0</v>
      </c>
      <c r="Y75" s="504">
        <v>0</v>
      </c>
      <c r="Z75" s="504">
        <v>0</v>
      </c>
      <c r="AA75" s="504">
        <v>0</v>
      </c>
      <c r="AB75" s="504">
        <v>0</v>
      </c>
      <c r="AC75" s="504">
        <v>0</v>
      </c>
    </row>
    <row r="76" spans="1:29" ht="10.5">
      <c r="A76" s="503" t="s">
        <v>234</v>
      </c>
      <c r="B76" s="504">
        <v>60</v>
      </c>
      <c r="C76" s="504">
        <v>25</v>
      </c>
      <c r="D76" s="504">
        <v>9</v>
      </c>
      <c r="E76" s="503" t="s">
        <v>234</v>
      </c>
      <c r="F76" s="504" t="s">
        <v>193</v>
      </c>
      <c r="G76" s="504">
        <v>0</v>
      </c>
      <c r="H76" s="504">
        <v>0</v>
      </c>
      <c r="I76" s="504">
        <v>0</v>
      </c>
      <c r="J76" s="504">
        <v>4</v>
      </c>
      <c r="K76" s="504">
        <v>5</v>
      </c>
      <c r="L76" s="504">
        <v>7</v>
      </c>
      <c r="M76" s="504">
        <v>9</v>
      </c>
      <c r="N76" s="504">
        <v>10</v>
      </c>
      <c r="O76" s="504">
        <v>13</v>
      </c>
      <c r="P76" s="504">
        <v>14</v>
      </c>
      <c r="Q76" s="504">
        <v>21</v>
      </c>
      <c r="R76" s="504">
        <v>0</v>
      </c>
      <c r="S76" s="504">
        <v>0</v>
      </c>
      <c r="T76" s="504">
        <v>0</v>
      </c>
      <c r="U76" s="504">
        <v>0</v>
      </c>
      <c r="V76" s="504">
        <v>0</v>
      </c>
      <c r="W76" s="504">
        <v>0</v>
      </c>
      <c r="X76" s="504">
        <v>0</v>
      </c>
      <c r="Y76" s="504">
        <v>0</v>
      </c>
      <c r="Z76" s="504">
        <v>0</v>
      </c>
      <c r="AA76" s="504">
        <v>0</v>
      </c>
      <c r="AB76" s="504">
        <v>0</v>
      </c>
      <c r="AC76" s="504">
        <v>0</v>
      </c>
    </row>
    <row r="77" spans="1:29" ht="10.5">
      <c r="A77" s="503" t="s">
        <v>234</v>
      </c>
      <c r="B77" s="504">
        <v>31</v>
      </c>
      <c r="C77" s="504">
        <v>25</v>
      </c>
      <c r="D77" s="506">
        <v>12</v>
      </c>
      <c r="E77" s="503" t="s">
        <v>234</v>
      </c>
      <c r="F77" s="504" t="s">
        <v>175</v>
      </c>
      <c r="G77" s="504">
        <v>0</v>
      </c>
      <c r="H77" s="504">
        <v>0</v>
      </c>
      <c r="I77" s="504">
        <v>0</v>
      </c>
      <c r="J77" s="504">
        <v>4</v>
      </c>
      <c r="K77" s="504">
        <v>5</v>
      </c>
      <c r="L77" s="504">
        <v>6</v>
      </c>
      <c r="M77" s="504">
        <v>7</v>
      </c>
      <c r="N77" s="504">
        <v>9</v>
      </c>
      <c r="O77" s="504">
        <v>10</v>
      </c>
      <c r="P77" s="504">
        <v>13</v>
      </c>
      <c r="Q77" s="504">
        <v>15</v>
      </c>
      <c r="R77" s="504">
        <v>16</v>
      </c>
      <c r="S77" s="504">
        <v>0</v>
      </c>
      <c r="T77" s="504">
        <v>0</v>
      </c>
      <c r="U77" s="504">
        <v>0</v>
      </c>
      <c r="V77" s="504">
        <v>0</v>
      </c>
      <c r="W77" s="504">
        <v>0</v>
      </c>
      <c r="X77" s="504">
        <v>0</v>
      </c>
      <c r="Y77" s="504">
        <v>0</v>
      </c>
      <c r="Z77" s="504">
        <v>0</v>
      </c>
      <c r="AA77" s="504">
        <v>0</v>
      </c>
      <c r="AB77" s="504">
        <v>0</v>
      </c>
      <c r="AC77" s="504">
        <v>0</v>
      </c>
    </row>
    <row r="78" spans="1:29" ht="10.5">
      <c r="A78" s="503" t="s">
        <v>235</v>
      </c>
      <c r="B78" s="503">
        <v>32</v>
      </c>
      <c r="C78" s="503">
        <v>3</v>
      </c>
      <c r="D78" s="503">
        <v>9</v>
      </c>
      <c r="E78" s="503" t="s">
        <v>235</v>
      </c>
      <c r="F78" s="503" t="s">
        <v>199</v>
      </c>
      <c r="G78" s="503">
        <v>0</v>
      </c>
      <c r="H78" s="503">
        <v>0</v>
      </c>
      <c r="I78" s="503">
        <v>0</v>
      </c>
      <c r="J78" s="503">
        <v>4</v>
      </c>
      <c r="K78" s="503">
        <v>5</v>
      </c>
      <c r="L78" s="503">
        <v>7</v>
      </c>
      <c r="M78" s="503">
        <v>9</v>
      </c>
      <c r="N78" s="503">
        <v>10</v>
      </c>
      <c r="O78" s="503">
        <v>13</v>
      </c>
      <c r="P78" s="503">
        <v>14</v>
      </c>
      <c r="Q78" s="503">
        <v>21</v>
      </c>
      <c r="R78" s="503">
        <v>0</v>
      </c>
      <c r="S78" s="503">
        <v>0</v>
      </c>
      <c r="T78" s="503">
        <v>0</v>
      </c>
      <c r="U78" s="503">
        <v>0</v>
      </c>
      <c r="V78" s="503">
        <v>0</v>
      </c>
      <c r="W78" s="503">
        <v>0</v>
      </c>
      <c r="X78" s="503">
        <v>0</v>
      </c>
      <c r="Y78" s="503">
        <v>0</v>
      </c>
      <c r="Z78" s="503">
        <v>0</v>
      </c>
      <c r="AA78" s="503">
        <v>0</v>
      </c>
      <c r="AB78" s="503">
        <v>0</v>
      </c>
      <c r="AC78" s="503">
        <v>0</v>
      </c>
    </row>
    <row r="79" spans="1:29" ht="10.5">
      <c r="A79" s="503" t="s">
        <v>236</v>
      </c>
      <c r="B79" s="503">
        <v>32</v>
      </c>
      <c r="C79" s="503">
        <v>3</v>
      </c>
      <c r="D79" s="503">
        <v>9</v>
      </c>
      <c r="E79" s="503" t="s">
        <v>236</v>
      </c>
      <c r="F79" s="503" t="s">
        <v>201</v>
      </c>
      <c r="G79" s="503">
        <v>0</v>
      </c>
      <c r="H79" s="503">
        <v>0</v>
      </c>
      <c r="I79" s="503">
        <v>0</v>
      </c>
      <c r="J79" s="503">
        <v>4</v>
      </c>
      <c r="K79" s="503">
        <v>5</v>
      </c>
      <c r="L79" s="503">
        <v>7</v>
      </c>
      <c r="M79" s="503">
        <v>9</v>
      </c>
      <c r="N79" s="503">
        <v>10</v>
      </c>
      <c r="O79" s="503">
        <v>13</v>
      </c>
      <c r="P79" s="503">
        <v>14</v>
      </c>
      <c r="Q79" s="503">
        <v>21</v>
      </c>
      <c r="R79" s="503">
        <v>0</v>
      </c>
      <c r="S79" s="503">
        <v>0</v>
      </c>
      <c r="T79" s="503">
        <v>0</v>
      </c>
      <c r="U79" s="503">
        <v>0</v>
      </c>
      <c r="V79" s="503">
        <v>0</v>
      </c>
      <c r="W79" s="503">
        <v>0</v>
      </c>
      <c r="X79" s="503">
        <v>0</v>
      </c>
      <c r="Y79" s="503">
        <v>0</v>
      </c>
      <c r="Z79" s="503">
        <v>0</v>
      </c>
      <c r="AA79" s="503">
        <v>0</v>
      </c>
      <c r="AB79" s="503">
        <v>0</v>
      </c>
      <c r="AC79" s="503">
        <v>0</v>
      </c>
    </row>
    <row r="80" spans="1:29" ht="10.5">
      <c r="A80" s="503" t="s">
        <v>237</v>
      </c>
      <c r="B80" s="503">
        <v>32</v>
      </c>
      <c r="C80" s="503">
        <v>4</v>
      </c>
      <c r="D80" s="503">
        <v>11</v>
      </c>
      <c r="E80" s="503" t="s">
        <v>237</v>
      </c>
      <c r="F80" s="503" t="s">
        <v>151</v>
      </c>
      <c r="G80" s="503">
        <v>0</v>
      </c>
      <c r="H80" s="503">
        <v>0</v>
      </c>
      <c r="I80" s="503">
        <v>0</v>
      </c>
      <c r="J80" s="503">
        <v>4</v>
      </c>
      <c r="K80" s="503">
        <v>5</v>
      </c>
      <c r="L80" s="503">
        <v>6</v>
      </c>
      <c r="M80" s="503">
        <v>7</v>
      </c>
      <c r="N80" s="503">
        <v>10</v>
      </c>
      <c r="O80" s="503">
        <v>11</v>
      </c>
      <c r="P80" s="503">
        <v>14</v>
      </c>
      <c r="Q80" s="503">
        <v>17</v>
      </c>
      <c r="R80" s="503">
        <v>28</v>
      </c>
      <c r="S80" s="503">
        <v>0</v>
      </c>
      <c r="T80" s="503">
        <v>0</v>
      </c>
      <c r="U80" s="503">
        <v>0</v>
      </c>
      <c r="V80" s="503">
        <v>0</v>
      </c>
      <c r="W80" s="503">
        <v>0</v>
      </c>
      <c r="X80" s="503">
        <v>0</v>
      </c>
      <c r="Y80" s="503">
        <v>0</v>
      </c>
      <c r="Z80" s="503">
        <v>0</v>
      </c>
      <c r="AA80" s="503">
        <v>0</v>
      </c>
      <c r="AB80" s="503">
        <v>0</v>
      </c>
      <c r="AC80" s="503">
        <v>0</v>
      </c>
    </row>
    <row r="81" spans="1:29" ht="10.5">
      <c r="A81" s="503" t="s">
        <v>237</v>
      </c>
      <c r="B81" s="503">
        <v>40</v>
      </c>
      <c r="C81" s="503">
        <v>4</v>
      </c>
      <c r="D81" s="503">
        <v>12</v>
      </c>
      <c r="E81" s="503" t="s">
        <v>237</v>
      </c>
      <c r="F81" s="503" t="s">
        <v>177</v>
      </c>
      <c r="G81" s="503">
        <v>0</v>
      </c>
      <c r="H81" s="503">
        <v>0</v>
      </c>
      <c r="I81" s="503">
        <v>0</v>
      </c>
      <c r="J81" s="503">
        <v>4</v>
      </c>
      <c r="K81" s="503">
        <v>5</v>
      </c>
      <c r="L81" s="503">
        <v>6</v>
      </c>
      <c r="M81" s="503">
        <v>8</v>
      </c>
      <c r="N81" s="503">
        <v>9</v>
      </c>
      <c r="O81" s="503">
        <v>10</v>
      </c>
      <c r="P81" s="503">
        <v>13</v>
      </c>
      <c r="Q81" s="503">
        <v>15</v>
      </c>
      <c r="R81" s="503">
        <v>16</v>
      </c>
      <c r="S81" s="503">
        <v>0</v>
      </c>
      <c r="T81" s="503">
        <v>0</v>
      </c>
      <c r="U81" s="503">
        <v>0</v>
      </c>
      <c r="V81" s="503">
        <v>0</v>
      </c>
      <c r="W81" s="503">
        <v>0</v>
      </c>
      <c r="X81" s="503">
        <v>0</v>
      </c>
      <c r="Y81" s="503">
        <v>0</v>
      </c>
      <c r="Z81" s="503">
        <v>0</v>
      </c>
      <c r="AA81" s="503">
        <v>0</v>
      </c>
      <c r="AB81" s="503">
        <v>0</v>
      </c>
      <c r="AC81" s="503">
        <v>0</v>
      </c>
    </row>
    <row r="82" spans="1:29" ht="10.5">
      <c r="A82" s="503" t="s">
        <v>238</v>
      </c>
      <c r="B82" s="503">
        <v>32</v>
      </c>
      <c r="C82" s="503">
        <v>4</v>
      </c>
      <c r="D82" s="503">
        <v>11</v>
      </c>
      <c r="E82" s="503" t="s">
        <v>238</v>
      </c>
      <c r="F82" s="503" t="s">
        <v>153</v>
      </c>
      <c r="G82" s="503">
        <v>0</v>
      </c>
      <c r="H82" s="503">
        <v>0</v>
      </c>
      <c r="I82" s="503">
        <v>0</v>
      </c>
      <c r="J82" s="503">
        <v>4</v>
      </c>
      <c r="K82" s="503">
        <v>5</v>
      </c>
      <c r="L82" s="503">
        <v>6</v>
      </c>
      <c r="M82" s="503">
        <v>7</v>
      </c>
      <c r="N82" s="503">
        <v>10</v>
      </c>
      <c r="O82" s="503">
        <v>11</v>
      </c>
      <c r="P82" s="503">
        <v>14</v>
      </c>
      <c r="Q82" s="503">
        <v>17</v>
      </c>
      <c r="R82" s="503">
        <v>28</v>
      </c>
      <c r="S82" s="503">
        <v>0</v>
      </c>
      <c r="T82" s="503">
        <v>0</v>
      </c>
      <c r="U82" s="503">
        <v>0</v>
      </c>
      <c r="V82" s="503">
        <v>0</v>
      </c>
      <c r="W82" s="503">
        <v>0</v>
      </c>
      <c r="X82" s="503">
        <v>0</v>
      </c>
      <c r="Y82" s="503">
        <v>0</v>
      </c>
      <c r="Z82" s="503">
        <v>0</v>
      </c>
      <c r="AA82" s="503">
        <v>0</v>
      </c>
      <c r="AB82" s="503">
        <v>0</v>
      </c>
      <c r="AC82" s="503">
        <v>0</v>
      </c>
    </row>
    <row r="83" spans="1:29" ht="10.5">
      <c r="A83" s="503" t="s">
        <v>238</v>
      </c>
      <c r="B83" s="503">
        <v>40</v>
      </c>
      <c r="C83" s="503">
        <v>4</v>
      </c>
      <c r="D83" s="503">
        <v>12</v>
      </c>
      <c r="E83" s="503" t="s">
        <v>238</v>
      </c>
      <c r="F83" s="503" t="s">
        <v>239</v>
      </c>
      <c r="G83" s="503">
        <v>0</v>
      </c>
      <c r="H83" s="503">
        <v>0</v>
      </c>
      <c r="I83" s="503">
        <v>0</v>
      </c>
      <c r="J83" s="503">
        <v>4</v>
      </c>
      <c r="K83" s="503">
        <v>5</v>
      </c>
      <c r="L83" s="503">
        <v>6</v>
      </c>
      <c r="M83" s="503">
        <v>8</v>
      </c>
      <c r="N83" s="503">
        <v>9</v>
      </c>
      <c r="O83" s="503">
        <v>10</v>
      </c>
      <c r="P83" s="503">
        <v>13</v>
      </c>
      <c r="Q83" s="503">
        <v>15</v>
      </c>
      <c r="R83" s="503">
        <v>16</v>
      </c>
      <c r="S83" s="503">
        <v>0</v>
      </c>
      <c r="T83" s="503">
        <v>0</v>
      </c>
      <c r="U83" s="503">
        <v>0</v>
      </c>
      <c r="V83" s="503">
        <v>0</v>
      </c>
      <c r="W83" s="503">
        <v>0</v>
      </c>
      <c r="X83" s="503">
        <v>0</v>
      </c>
      <c r="Y83" s="503">
        <v>0</v>
      </c>
      <c r="Z83" s="503">
        <v>0</v>
      </c>
      <c r="AA83" s="503">
        <v>0</v>
      </c>
      <c r="AB83" s="503">
        <v>0</v>
      </c>
      <c r="AC83" s="503">
        <v>0</v>
      </c>
    </row>
    <row r="84" spans="1:29" ht="10.5">
      <c r="A84" s="503" t="s">
        <v>240</v>
      </c>
      <c r="B84" s="503">
        <v>32</v>
      </c>
      <c r="C84" s="503">
        <v>4</v>
      </c>
      <c r="D84" s="503">
        <v>11</v>
      </c>
      <c r="E84" s="503" t="s">
        <v>240</v>
      </c>
      <c r="F84" s="503" t="s">
        <v>155</v>
      </c>
      <c r="G84" s="503">
        <v>0</v>
      </c>
      <c r="H84" s="503">
        <v>0</v>
      </c>
      <c r="I84" s="503">
        <v>0</v>
      </c>
      <c r="J84" s="503">
        <v>4</v>
      </c>
      <c r="K84" s="503">
        <v>5</v>
      </c>
      <c r="L84" s="503">
        <v>6</v>
      </c>
      <c r="M84" s="503">
        <v>7</v>
      </c>
      <c r="N84" s="503">
        <v>10</v>
      </c>
      <c r="O84" s="503">
        <v>11</v>
      </c>
      <c r="P84" s="503">
        <v>14</v>
      </c>
      <c r="Q84" s="503">
        <v>17</v>
      </c>
      <c r="R84" s="503">
        <v>28</v>
      </c>
      <c r="S84" s="503">
        <v>0</v>
      </c>
      <c r="T84" s="503">
        <v>0</v>
      </c>
      <c r="U84" s="503">
        <v>0</v>
      </c>
      <c r="V84" s="503">
        <v>0</v>
      </c>
      <c r="W84" s="503">
        <v>0</v>
      </c>
      <c r="X84" s="503">
        <v>0</v>
      </c>
      <c r="Y84" s="503">
        <v>0</v>
      </c>
      <c r="Z84" s="503">
        <v>0</v>
      </c>
      <c r="AA84" s="503">
        <v>0</v>
      </c>
      <c r="AB84" s="503">
        <v>0</v>
      </c>
      <c r="AC84" s="503">
        <v>0</v>
      </c>
    </row>
    <row r="85" spans="1:29" ht="10.5">
      <c r="A85" s="503" t="s">
        <v>240</v>
      </c>
      <c r="B85" s="503">
        <v>40</v>
      </c>
      <c r="C85" s="503">
        <v>4</v>
      </c>
      <c r="D85" s="503">
        <v>12</v>
      </c>
      <c r="E85" s="503" t="s">
        <v>240</v>
      </c>
      <c r="F85" s="503" t="s">
        <v>179</v>
      </c>
      <c r="G85" s="503">
        <v>0</v>
      </c>
      <c r="H85" s="503">
        <v>0</v>
      </c>
      <c r="I85" s="503">
        <v>0</v>
      </c>
      <c r="J85" s="503">
        <v>4</v>
      </c>
      <c r="K85" s="503">
        <v>5</v>
      </c>
      <c r="L85" s="503">
        <v>6</v>
      </c>
      <c r="M85" s="503">
        <v>8</v>
      </c>
      <c r="N85" s="503">
        <v>9</v>
      </c>
      <c r="O85" s="503">
        <v>10</v>
      </c>
      <c r="P85" s="503">
        <v>13</v>
      </c>
      <c r="Q85" s="503">
        <v>15</v>
      </c>
      <c r="R85" s="503">
        <v>16</v>
      </c>
      <c r="S85" s="503">
        <v>0</v>
      </c>
      <c r="T85" s="503">
        <v>0</v>
      </c>
      <c r="U85" s="503">
        <v>0</v>
      </c>
      <c r="V85" s="503">
        <v>0</v>
      </c>
      <c r="W85" s="503">
        <v>0</v>
      </c>
      <c r="X85" s="503">
        <v>0</v>
      </c>
      <c r="Y85" s="503">
        <v>0</v>
      </c>
      <c r="Z85" s="503">
        <v>0</v>
      </c>
      <c r="AA85" s="503">
        <v>0</v>
      </c>
      <c r="AB85" s="503">
        <v>0</v>
      </c>
      <c r="AC85" s="503">
        <v>0</v>
      </c>
    </row>
    <row r="86" spans="1:29" ht="10.5">
      <c r="A86" s="503" t="s">
        <v>241</v>
      </c>
      <c r="B86" s="503">
        <v>32</v>
      </c>
      <c r="C86" s="503">
        <v>4</v>
      </c>
      <c r="D86" s="503">
        <v>11</v>
      </c>
      <c r="E86" s="503" t="s">
        <v>241</v>
      </c>
      <c r="F86" s="503" t="s">
        <v>157</v>
      </c>
      <c r="G86" s="503">
        <v>0</v>
      </c>
      <c r="H86" s="503">
        <v>0</v>
      </c>
      <c r="I86" s="503">
        <v>0</v>
      </c>
      <c r="J86" s="503">
        <v>4</v>
      </c>
      <c r="K86" s="503">
        <v>5</v>
      </c>
      <c r="L86" s="503">
        <v>6</v>
      </c>
      <c r="M86" s="503">
        <v>7</v>
      </c>
      <c r="N86" s="503">
        <v>10</v>
      </c>
      <c r="O86" s="503">
        <v>11</v>
      </c>
      <c r="P86" s="503">
        <v>14</v>
      </c>
      <c r="Q86" s="503">
        <v>17</v>
      </c>
      <c r="R86" s="503">
        <v>28</v>
      </c>
      <c r="S86" s="503">
        <v>0</v>
      </c>
      <c r="T86" s="503">
        <v>0</v>
      </c>
      <c r="U86" s="503">
        <v>0</v>
      </c>
      <c r="V86" s="503">
        <v>0</v>
      </c>
      <c r="W86" s="503">
        <v>0</v>
      </c>
      <c r="X86" s="503">
        <v>0</v>
      </c>
      <c r="Y86" s="503">
        <v>0</v>
      </c>
      <c r="Z86" s="503">
        <v>0</v>
      </c>
      <c r="AA86" s="503">
        <v>0</v>
      </c>
      <c r="AB86" s="503">
        <v>0</v>
      </c>
      <c r="AC86" s="503">
        <v>0</v>
      </c>
    </row>
    <row r="87" spans="1:29" ht="10.5">
      <c r="A87" s="503" t="s">
        <v>241</v>
      </c>
      <c r="B87" s="503">
        <v>40</v>
      </c>
      <c r="C87" s="503">
        <v>4</v>
      </c>
      <c r="D87" s="503">
        <v>12</v>
      </c>
      <c r="E87" s="503" t="s">
        <v>241</v>
      </c>
      <c r="F87" s="503" t="s">
        <v>181</v>
      </c>
      <c r="G87" s="503">
        <v>0</v>
      </c>
      <c r="H87" s="503">
        <v>0</v>
      </c>
      <c r="I87" s="503">
        <v>0</v>
      </c>
      <c r="J87" s="503">
        <v>4</v>
      </c>
      <c r="K87" s="503">
        <v>5</v>
      </c>
      <c r="L87" s="503">
        <v>6</v>
      </c>
      <c r="M87" s="503">
        <v>8</v>
      </c>
      <c r="N87" s="503">
        <v>9</v>
      </c>
      <c r="O87" s="503">
        <v>10</v>
      </c>
      <c r="P87" s="503">
        <v>13</v>
      </c>
      <c r="Q87" s="503">
        <v>15</v>
      </c>
      <c r="R87" s="503">
        <v>16</v>
      </c>
      <c r="S87" s="503">
        <v>0</v>
      </c>
      <c r="T87" s="503">
        <v>0</v>
      </c>
      <c r="U87" s="503">
        <v>0</v>
      </c>
      <c r="V87" s="503">
        <v>0</v>
      </c>
      <c r="W87" s="503">
        <v>0</v>
      </c>
      <c r="X87" s="503">
        <v>0</v>
      </c>
      <c r="Y87" s="503">
        <v>0</v>
      </c>
      <c r="Z87" s="503">
        <v>0</v>
      </c>
      <c r="AA87" s="503">
        <v>0</v>
      </c>
      <c r="AB87" s="503">
        <v>0</v>
      </c>
      <c r="AC87" s="503">
        <v>0</v>
      </c>
    </row>
    <row r="88" spans="1:29" ht="10.5">
      <c r="A88" s="503" t="s">
        <v>242</v>
      </c>
      <c r="B88" s="503">
        <v>32</v>
      </c>
      <c r="C88" s="503">
        <v>4</v>
      </c>
      <c r="D88" s="503">
        <v>11</v>
      </c>
      <c r="E88" s="503" t="s">
        <v>242</v>
      </c>
      <c r="F88" s="503" t="s">
        <v>159</v>
      </c>
      <c r="G88" s="503">
        <v>0</v>
      </c>
      <c r="H88" s="503">
        <v>0</v>
      </c>
      <c r="I88" s="503">
        <v>0</v>
      </c>
      <c r="J88" s="503">
        <v>4</v>
      </c>
      <c r="K88" s="503">
        <v>5</v>
      </c>
      <c r="L88" s="503">
        <v>6</v>
      </c>
      <c r="M88" s="503">
        <v>7</v>
      </c>
      <c r="N88" s="503">
        <v>10</v>
      </c>
      <c r="O88" s="503">
        <v>11</v>
      </c>
      <c r="P88" s="503">
        <v>14</v>
      </c>
      <c r="Q88" s="503">
        <v>17</v>
      </c>
      <c r="R88" s="503">
        <v>28</v>
      </c>
      <c r="S88" s="503">
        <v>0</v>
      </c>
      <c r="T88" s="503">
        <v>0</v>
      </c>
      <c r="U88" s="503">
        <v>0</v>
      </c>
      <c r="V88" s="503">
        <v>0</v>
      </c>
      <c r="W88" s="503">
        <v>0</v>
      </c>
      <c r="X88" s="503">
        <v>0</v>
      </c>
      <c r="Y88" s="503">
        <v>0</v>
      </c>
      <c r="Z88" s="503">
        <v>0</v>
      </c>
      <c r="AA88" s="503">
        <v>0</v>
      </c>
      <c r="AB88" s="503">
        <v>0</v>
      </c>
      <c r="AC88" s="503">
        <v>0</v>
      </c>
    </row>
    <row r="89" spans="1:29" ht="10.5">
      <c r="A89" s="503" t="s">
        <v>242</v>
      </c>
      <c r="B89" s="503">
        <v>40</v>
      </c>
      <c r="C89" s="503">
        <v>4</v>
      </c>
      <c r="D89" s="507">
        <v>12</v>
      </c>
      <c r="E89" s="503" t="s">
        <v>242</v>
      </c>
      <c r="F89" s="503" t="s">
        <v>185</v>
      </c>
      <c r="G89" s="503">
        <v>0</v>
      </c>
      <c r="H89" s="503">
        <v>0</v>
      </c>
      <c r="I89" s="503">
        <v>0</v>
      </c>
      <c r="J89" s="503">
        <v>4</v>
      </c>
      <c r="K89" s="503">
        <v>5</v>
      </c>
      <c r="L89" s="503">
        <v>6</v>
      </c>
      <c r="M89" s="503">
        <v>8</v>
      </c>
      <c r="N89" s="503">
        <v>9</v>
      </c>
      <c r="O89" s="503">
        <v>10</v>
      </c>
      <c r="P89" s="503">
        <v>13</v>
      </c>
      <c r="Q89" s="503">
        <v>15</v>
      </c>
      <c r="R89" s="503">
        <v>16</v>
      </c>
      <c r="S89" s="503">
        <v>0</v>
      </c>
      <c r="T89" s="503">
        <v>0</v>
      </c>
      <c r="U89" s="503">
        <v>0</v>
      </c>
      <c r="V89" s="503">
        <v>0</v>
      </c>
      <c r="W89" s="503">
        <v>0</v>
      </c>
      <c r="X89" s="503">
        <v>0</v>
      </c>
      <c r="Y89" s="503">
        <v>0</v>
      </c>
      <c r="Z89" s="503">
        <v>0</v>
      </c>
      <c r="AA89" s="503">
        <v>0</v>
      </c>
      <c r="AB89" s="503">
        <v>0</v>
      </c>
      <c r="AC89" s="503">
        <v>0</v>
      </c>
    </row>
    <row r="90" spans="1:29" ht="10.5">
      <c r="A90" s="503" t="s">
        <v>243</v>
      </c>
      <c r="B90" s="503">
        <v>52</v>
      </c>
      <c r="C90" s="503">
        <v>10</v>
      </c>
      <c r="D90" s="507">
        <v>12</v>
      </c>
      <c r="E90" s="503" t="s">
        <v>243</v>
      </c>
      <c r="F90" s="503" t="s">
        <v>203</v>
      </c>
      <c r="G90" s="503">
        <v>0</v>
      </c>
      <c r="H90" s="503">
        <v>0</v>
      </c>
      <c r="I90" s="503">
        <v>0</v>
      </c>
      <c r="J90" s="504">
        <v>4</v>
      </c>
      <c r="K90" s="504">
        <v>5</v>
      </c>
      <c r="L90" s="504">
        <v>6</v>
      </c>
      <c r="M90" s="504">
        <v>10</v>
      </c>
      <c r="N90" s="504">
        <v>11</v>
      </c>
      <c r="O90" s="504">
        <v>14</v>
      </c>
      <c r="P90" s="504">
        <v>15</v>
      </c>
      <c r="Q90" s="504">
        <v>28</v>
      </c>
      <c r="R90" s="503">
        <v>0</v>
      </c>
      <c r="S90" s="503">
        <v>0</v>
      </c>
      <c r="T90" s="503">
        <v>0</v>
      </c>
      <c r="U90" s="503">
        <v>0</v>
      </c>
      <c r="V90" s="503">
        <v>0</v>
      </c>
      <c r="W90" s="503">
        <v>0</v>
      </c>
      <c r="X90" s="503">
        <v>0</v>
      </c>
      <c r="Y90" s="503">
        <v>0</v>
      </c>
      <c r="Z90" s="503">
        <v>0</v>
      </c>
      <c r="AA90" s="503">
        <v>0</v>
      </c>
      <c r="AB90" s="503">
        <v>0</v>
      </c>
      <c r="AC90" s="503">
        <v>0</v>
      </c>
    </row>
    <row r="91" spans="1:29" ht="10.5">
      <c r="A91" s="503" t="s">
        <v>243</v>
      </c>
      <c r="B91" s="503">
        <v>45</v>
      </c>
      <c r="C91" s="503">
        <v>2</v>
      </c>
      <c r="D91" s="507">
        <v>12</v>
      </c>
      <c r="E91" s="503" t="s">
        <v>243</v>
      </c>
      <c r="F91" s="503" t="s">
        <v>183</v>
      </c>
      <c r="G91" s="503">
        <v>0</v>
      </c>
      <c r="H91" s="503">
        <v>0</v>
      </c>
      <c r="I91" s="503">
        <v>0</v>
      </c>
      <c r="J91" s="503">
        <v>4</v>
      </c>
      <c r="K91" s="503">
        <v>5</v>
      </c>
      <c r="L91" s="503">
        <v>6</v>
      </c>
      <c r="M91" s="503">
        <v>8</v>
      </c>
      <c r="N91" s="503">
        <v>9</v>
      </c>
      <c r="O91" s="503">
        <v>10</v>
      </c>
      <c r="P91" s="503">
        <v>13</v>
      </c>
      <c r="Q91" s="503">
        <v>15</v>
      </c>
      <c r="R91" s="503">
        <v>16</v>
      </c>
      <c r="S91" s="503">
        <v>0</v>
      </c>
      <c r="T91" s="503">
        <v>0</v>
      </c>
      <c r="U91" s="503">
        <v>0</v>
      </c>
      <c r="V91" s="503">
        <v>0</v>
      </c>
      <c r="W91" s="503">
        <v>0</v>
      </c>
      <c r="X91" s="503">
        <v>0</v>
      </c>
      <c r="Y91" s="503">
        <v>0</v>
      </c>
      <c r="Z91" s="503">
        <v>0</v>
      </c>
      <c r="AA91" s="503">
        <v>0</v>
      </c>
      <c r="AB91" s="503">
        <v>0</v>
      </c>
      <c r="AC91" s="503">
        <v>0</v>
      </c>
    </row>
    <row r="92" spans="1:29" ht="10.5">
      <c r="A92" s="503" t="s">
        <v>243</v>
      </c>
      <c r="B92" s="503">
        <v>33</v>
      </c>
      <c r="C92" s="503">
        <v>7</v>
      </c>
      <c r="D92" s="503">
        <v>11</v>
      </c>
      <c r="E92" s="503" t="s">
        <v>243</v>
      </c>
      <c r="F92" s="503" t="s">
        <v>161</v>
      </c>
      <c r="G92" s="503">
        <v>0</v>
      </c>
      <c r="H92" s="503">
        <v>0</v>
      </c>
      <c r="I92" s="503">
        <v>0</v>
      </c>
      <c r="J92" s="503">
        <v>4</v>
      </c>
      <c r="K92" s="503">
        <v>5</v>
      </c>
      <c r="L92" s="503">
        <v>6</v>
      </c>
      <c r="M92" s="503">
        <v>7</v>
      </c>
      <c r="N92" s="503">
        <v>10</v>
      </c>
      <c r="O92" s="503">
        <v>11</v>
      </c>
      <c r="P92" s="503">
        <v>14</v>
      </c>
      <c r="Q92" s="503">
        <v>17</v>
      </c>
      <c r="R92" s="503">
        <v>28</v>
      </c>
      <c r="S92" s="503">
        <v>0</v>
      </c>
      <c r="T92" s="503">
        <v>0</v>
      </c>
      <c r="U92" s="503">
        <v>0</v>
      </c>
      <c r="V92" s="503">
        <v>0</v>
      </c>
      <c r="W92" s="503">
        <v>0</v>
      </c>
      <c r="X92" s="503">
        <v>0</v>
      </c>
      <c r="Y92" s="503">
        <v>0</v>
      </c>
      <c r="Z92" s="503">
        <v>0</v>
      </c>
      <c r="AA92" s="503">
        <v>0</v>
      </c>
      <c r="AB92" s="503">
        <v>0</v>
      </c>
      <c r="AC92" s="503">
        <v>0</v>
      </c>
    </row>
    <row r="93" spans="1:29" s="505" customFormat="1" ht="10.5">
      <c r="A93" s="503" t="s">
        <v>243</v>
      </c>
      <c r="B93" s="503">
        <v>67</v>
      </c>
      <c r="C93" s="503">
        <v>8</v>
      </c>
      <c r="D93" s="503">
        <v>11</v>
      </c>
      <c r="E93" s="503" t="s">
        <v>243</v>
      </c>
      <c r="F93" s="504" t="s">
        <v>229</v>
      </c>
      <c r="G93" s="503">
        <v>0</v>
      </c>
      <c r="H93" s="503">
        <v>0</v>
      </c>
      <c r="I93" s="503">
        <v>0</v>
      </c>
      <c r="J93" s="503">
        <v>4</v>
      </c>
      <c r="K93" s="503">
        <v>5</v>
      </c>
      <c r="L93" s="503">
        <v>6</v>
      </c>
      <c r="M93" s="503">
        <v>10</v>
      </c>
      <c r="N93" s="503">
        <v>11</v>
      </c>
      <c r="O93" s="503">
        <v>14</v>
      </c>
      <c r="P93" s="503">
        <v>16</v>
      </c>
      <c r="Q93" s="503">
        <v>28</v>
      </c>
      <c r="R93" s="503">
        <v>0</v>
      </c>
      <c r="S93" s="503">
        <v>0</v>
      </c>
      <c r="T93" s="503">
        <v>0</v>
      </c>
      <c r="U93" s="503">
        <v>0</v>
      </c>
      <c r="V93" s="503">
        <v>0</v>
      </c>
      <c r="W93" s="503">
        <v>0</v>
      </c>
      <c r="X93" s="503">
        <v>0</v>
      </c>
      <c r="Y93" s="503">
        <v>0</v>
      </c>
      <c r="Z93" s="503">
        <v>0</v>
      </c>
      <c r="AA93" s="503">
        <v>0</v>
      </c>
      <c r="AB93" s="503">
        <v>0</v>
      </c>
      <c r="AC93" s="503">
        <v>0</v>
      </c>
    </row>
    <row r="94" spans="1:29" ht="10.5">
      <c r="A94" s="503" t="s">
        <v>244</v>
      </c>
      <c r="B94" s="503">
        <v>52</v>
      </c>
      <c r="C94" s="503">
        <v>10</v>
      </c>
      <c r="D94" s="507">
        <v>12</v>
      </c>
      <c r="E94" s="503" t="s">
        <v>244</v>
      </c>
      <c r="F94" s="503" t="s">
        <v>209</v>
      </c>
      <c r="G94" s="503">
        <v>0</v>
      </c>
      <c r="H94" s="503">
        <v>0</v>
      </c>
      <c r="I94" s="503">
        <v>0</v>
      </c>
      <c r="J94" s="504">
        <v>4</v>
      </c>
      <c r="K94" s="504">
        <v>5</v>
      </c>
      <c r="L94" s="504">
        <v>6</v>
      </c>
      <c r="M94" s="504">
        <v>10</v>
      </c>
      <c r="N94" s="504">
        <v>11</v>
      </c>
      <c r="O94" s="504">
        <v>14</v>
      </c>
      <c r="P94" s="504">
        <v>15</v>
      </c>
      <c r="Q94" s="504">
        <v>28</v>
      </c>
      <c r="R94" s="503">
        <v>0</v>
      </c>
      <c r="S94" s="503">
        <v>0</v>
      </c>
      <c r="T94" s="503">
        <v>0</v>
      </c>
      <c r="U94" s="503">
        <v>0</v>
      </c>
      <c r="V94" s="503">
        <v>0</v>
      </c>
      <c r="W94" s="503">
        <v>0</v>
      </c>
      <c r="X94" s="503">
        <v>0</v>
      </c>
      <c r="Y94" s="503">
        <v>0</v>
      </c>
      <c r="Z94" s="503">
        <v>0</v>
      </c>
      <c r="AA94" s="503">
        <v>0</v>
      </c>
      <c r="AB94" s="503">
        <v>0</v>
      </c>
      <c r="AC94" s="503">
        <v>0</v>
      </c>
    </row>
    <row r="95" spans="1:29" ht="10.5">
      <c r="A95" s="503" t="s">
        <v>244</v>
      </c>
      <c r="B95" s="503">
        <v>45</v>
      </c>
      <c r="C95" s="503">
        <v>2</v>
      </c>
      <c r="D95" s="507">
        <v>12</v>
      </c>
      <c r="E95" s="503" t="s">
        <v>244</v>
      </c>
      <c r="F95" s="503" t="s">
        <v>171</v>
      </c>
      <c r="G95" s="503">
        <v>0</v>
      </c>
      <c r="H95" s="503">
        <v>0</v>
      </c>
      <c r="I95" s="503">
        <v>0</v>
      </c>
      <c r="J95" s="503">
        <v>4</v>
      </c>
      <c r="K95" s="503">
        <v>5</v>
      </c>
      <c r="L95" s="503">
        <v>6</v>
      </c>
      <c r="M95" s="503">
        <v>8</v>
      </c>
      <c r="N95" s="503">
        <v>9</v>
      </c>
      <c r="O95" s="503">
        <v>10</v>
      </c>
      <c r="P95" s="503">
        <v>13</v>
      </c>
      <c r="Q95" s="503">
        <v>15</v>
      </c>
      <c r="R95" s="503">
        <v>16</v>
      </c>
      <c r="S95" s="503">
        <v>0</v>
      </c>
      <c r="T95" s="503">
        <v>0</v>
      </c>
      <c r="U95" s="503">
        <v>0</v>
      </c>
      <c r="V95" s="503">
        <v>0</v>
      </c>
      <c r="W95" s="503">
        <v>0</v>
      </c>
      <c r="X95" s="503">
        <v>0</v>
      </c>
      <c r="Y95" s="503">
        <v>0</v>
      </c>
      <c r="Z95" s="503">
        <v>0</v>
      </c>
      <c r="AA95" s="503">
        <v>0</v>
      </c>
      <c r="AB95" s="503">
        <v>0</v>
      </c>
      <c r="AC95" s="503">
        <v>0</v>
      </c>
    </row>
    <row r="96" spans="1:29" ht="10.5">
      <c r="A96" s="503" t="s">
        <v>244</v>
      </c>
      <c r="B96" s="503">
        <v>33</v>
      </c>
      <c r="C96" s="503">
        <v>7</v>
      </c>
      <c r="D96" s="503">
        <v>11</v>
      </c>
      <c r="E96" s="503" t="s">
        <v>244</v>
      </c>
      <c r="F96" s="503" t="s">
        <v>147</v>
      </c>
      <c r="G96" s="503">
        <v>0</v>
      </c>
      <c r="H96" s="503">
        <v>0</v>
      </c>
      <c r="I96" s="503">
        <v>0</v>
      </c>
      <c r="J96" s="503">
        <v>4</v>
      </c>
      <c r="K96" s="503">
        <v>5</v>
      </c>
      <c r="L96" s="503">
        <v>6</v>
      </c>
      <c r="M96" s="503">
        <v>7</v>
      </c>
      <c r="N96" s="503">
        <v>10</v>
      </c>
      <c r="O96" s="503">
        <v>11</v>
      </c>
      <c r="P96" s="503">
        <v>14</v>
      </c>
      <c r="Q96" s="503">
        <v>17</v>
      </c>
      <c r="R96" s="503">
        <v>28</v>
      </c>
      <c r="S96" s="503">
        <v>0</v>
      </c>
      <c r="T96" s="503">
        <v>0</v>
      </c>
      <c r="U96" s="503">
        <v>0</v>
      </c>
      <c r="V96" s="503">
        <v>0</v>
      </c>
      <c r="W96" s="503">
        <v>0</v>
      </c>
      <c r="X96" s="503">
        <v>0</v>
      </c>
      <c r="Y96" s="503">
        <v>0</v>
      </c>
      <c r="Z96" s="503">
        <v>0</v>
      </c>
      <c r="AA96" s="503">
        <v>0</v>
      </c>
      <c r="AB96" s="503">
        <v>0</v>
      </c>
      <c r="AC96" s="503">
        <v>0</v>
      </c>
    </row>
    <row r="97" spans="1:29" s="505" customFormat="1" ht="10.5">
      <c r="A97" s="503" t="s">
        <v>244</v>
      </c>
      <c r="B97" s="503">
        <v>67</v>
      </c>
      <c r="C97" s="503">
        <v>8</v>
      </c>
      <c r="D97" s="503">
        <v>11</v>
      </c>
      <c r="E97" s="503" t="s">
        <v>244</v>
      </c>
      <c r="F97" s="504" t="s">
        <v>225</v>
      </c>
      <c r="G97" s="503">
        <v>0</v>
      </c>
      <c r="H97" s="503">
        <v>0</v>
      </c>
      <c r="I97" s="503">
        <v>0</v>
      </c>
      <c r="J97" s="503">
        <v>4</v>
      </c>
      <c r="K97" s="503">
        <v>5</v>
      </c>
      <c r="L97" s="503">
        <v>6</v>
      </c>
      <c r="M97" s="503">
        <v>10</v>
      </c>
      <c r="N97" s="503">
        <v>11</v>
      </c>
      <c r="O97" s="503">
        <v>14</v>
      </c>
      <c r="P97" s="503">
        <v>16</v>
      </c>
      <c r="Q97" s="503">
        <v>28</v>
      </c>
      <c r="R97" s="503">
        <v>0</v>
      </c>
      <c r="S97" s="503">
        <v>0</v>
      </c>
      <c r="T97" s="503">
        <v>0</v>
      </c>
      <c r="U97" s="503">
        <v>0</v>
      </c>
      <c r="V97" s="503">
        <v>0</v>
      </c>
      <c r="W97" s="503">
        <v>0</v>
      </c>
      <c r="X97" s="503">
        <v>0</v>
      </c>
      <c r="Y97" s="503">
        <v>0</v>
      </c>
      <c r="Z97" s="503">
        <v>0</v>
      </c>
      <c r="AA97" s="503">
        <v>0</v>
      </c>
      <c r="AB97" s="503">
        <v>0</v>
      </c>
      <c r="AC97" s="503">
        <v>0</v>
      </c>
    </row>
    <row r="98" spans="1:29" ht="10.5">
      <c r="A98" s="503" t="s">
        <v>245</v>
      </c>
      <c r="B98" s="503">
        <v>32</v>
      </c>
      <c r="C98" s="503">
        <v>4</v>
      </c>
      <c r="D98" s="503">
        <v>11</v>
      </c>
      <c r="E98" s="503" t="s">
        <v>245</v>
      </c>
      <c r="F98" s="503" t="s">
        <v>163</v>
      </c>
      <c r="G98" s="503">
        <v>0</v>
      </c>
      <c r="H98" s="503">
        <v>0</v>
      </c>
      <c r="I98" s="503">
        <v>0</v>
      </c>
      <c r="J98" s="503">
        <v>4</v>
      </c>
      <c r="K98" s="503">
        <v>5</v>
      </c>
      <c r="L98" s="503">
        <v>6</v>
      </c>
      <c r="M98" s="503">
        <v>7</v>
      </c>
      <c r="N98" s="503">
        <v>10</v>
      </c>
      <c r="O98" s="503">
        <v>11</v>
      </c>
      <c r="P98" s="503">
        <v>14</v>
      </c>
      <c r="Q98" s="503">
        <v>17</v>
      </c>
      <c r="R98" s="503">
        <v>28</v>
      </c>
      <c r="S98" s="503">
        <v>0</v>
      </c>
      <c r="T98" s="503">
        <v>0</v>
      </c>
      <c r="U98" s="503">
        <v>0</v>
      </c>
      <c r="V98" s="503">
        <v>0</v>
      </c>
      <c r="W98" s="503">
        <v>0</v>
      </c>
      <c r="X98" s="503">
        <v>0</v>
      </c>
      <c r="Y98" s="503">
        <v>0</v>
      </c>
      <c r="Z98" s="503">
        <v>0</v>
      </c>
      <c r="AA98" s="503">
        <v>0</v>
      </c>
      <c r="AB98" s="503">
        <v>0</v>
      </c>
      <c r="AC98" s="503">
        <v>0</v>
      </c>
    </row>
    <row r="99" spans="1:29" ht="10.5">
      <c r="A99" s="503" t="s">
        <v>246</v>
      </c>
      <c r="B99" s="503">
        <v>40</v>
      </c>
      <c r="C99" s="503">
        <v>4</v>
      </c>
      <c r="D99" s="503">
        <v>12</v>
      </c>
      <c r="E99" s="503" t="s">
        <v>246</v>
      </c>
      <c r="F99" s="503" t="s">
        <v>187</v>
      </c>
      <c r="G99" s="503">
        <v>0</v>
      </c>
      <c r="H99" s="503">
        <v>0</v>
      </c>
      <c r="I99" s="503">
        <v>0</v>
      </c>
      <c r="J99" s="503">
        <v>4</v>
      </c>
      <c r="K99" s="503">
        <v>5</v>
      </c>
      <c r="L99" s="503">
        <v>6</v>
      </c>
      <c r="M99" s="503">
        <v>8</v>
      </c>
      <c r="N99" s="503">
        <v>9</v>
      </c>
      <c r="O99" s="503">
        <v>10</v>
      </c>
      <c r="P99" s="503">
        <v>13</v>
      </c>
      <c r="Q99" s="503">
        <v>15</v>
      </c>
      <c r="R99" s="503">
        <v>16</v>
      </c>
      <c r="S99" s="503">
        <v>0</v>
      </c>
      <c r="T99" s="503">
        <v>0</v>
      </c>
      <c r="U99" s="503">
        <v>0</v>
      </c>
      <c r="V99" s="503">
        <v>0</v>
      </c>
      <c r="W99" s="503">
        <v>0</v>
      </c>
      <c r="X99" s="503">
        <v>0</v>
      </c>
      <c r="Y99" s="503">
        <v>0</v>
      </c>
      <c r="Z99" s="503">
        <v>0</v>
      </c>
      <c r="AA99" s="503">
        <v>0</v>
      </c>
      <c r="AB99" s="503">
        <v>0</v>
      </c>
      <c r="AC99" s="503">
        <v>0</v>
      </c>
    </row>
    <row r="100" spans="1:29" ht="10.5">
      <c r="A100" s="503" t="s">
        <v>247</v>
      </c>
      <c r="B100" s="503">
        <v>19</v>
      </c>
      <c r="C100" s="503">
        <v>24</v>
      </c>
      <c r="D100" s="507">
        <v>4</v>
      </c>
      <c r="E100" s="503" t="str">
        <f>"CAUSAS-VST-"&amp;$G$14</f>
        <v>CAUSAS-VST-03</v>
      </c>
      <c r="F100" s="503" t="s">
        <v>248</v>
      </c>
      <c r="G100" s="503">
        <v>3</v>
      </c>
      <c r="H100" s="503">
        <v>4</v>
      </c>
      <c r="I100" s="503">
        <v>5</v>
      </c>
      <c r="J100" s="503">
        <v>6</v>
      </c>
      <c r="K100" s="503">
        <v>7</v>
      </c>
      <c r="L100" s="503">
        <v>0</v>
      </c>
      <c r="M100" s="503">
        <v>0</v>
      </c>
      <c r="N100" s="503">
        <v>0</v>
      </c>
      <c r="O100" s="503">
        <v>0</v>
      </c>
      <c r="P100" s="503">
        <v>0</v>
      </c>
      <c r="Q100" s="503">
        <v>0</v>
      </c>
      <c r="R100" s="503">
        <v>0</v>
      </c>
      <c r="S100" s="503">
        <v>0</v>
      </c>
      <c r="T100" s="503">
        <v>0</v>
      </c>
      <c r="U100" s="503">
        <v>0</v>
      </c>
      <c r="V100" s="503">
        <v>0</v>
      </c>
      <c r="W100" s="503">
        <v>999</v>
      </c>
      <c r="X100" s="503">
        <v>999</v>
      </c>
      <c r="Y100" s="503">
        <v>0</v>
      </c>
      <c r="Z100" s="503">
        <v>0</v>
      </c>
      <c r="AA100" s="503">
        <v>0</v>
      </c>
      <c r="AB100" s="503">
        <v>0</v>
      </c>
      <c r="AC100" s="503">
        <v>0</v>
      </c>
    </row>
    <row r="101" spans="1:29" ht="10.5">
      <c r="A101" s="508"/>
      <c r="B101" s="508">
        <v>30</v>
      </c>
      <c r="C101" s="508">
        <v>10</v>
      </c>
      <c r="D101" s="509">
        <v>11</v>
      </c>
      <c r="E101" s="508" t="s">
        <v>249</v>
      </c>
      <c r="F101" s="510" t="s">
        <v>250</v>
      </c>
      <c r="G101" s="508">
        <v>3</v>
      </c>
      <c r="H101" s="508">
        <v>5</v>
      </c>
      <c r="I101" s="510">
        <v>0</v>
      </c>
      <c r="J101" s="510">
        <v>4</v>
      </c>
      <c r="K101" s="510">
        <v>5</v>
      </c>
      <c r="L101" s="510">
        <v>6</v>
      </c>
      <c r="M101" s="510">
        <v>8</v>
      </c>
      <c r="N101" s="510">
        <v>9</v>
      </c>
      <c r="O101" s="510">
        <v>10</v>
      </c>
      <c r="P101" s="510">
        <v>13</v>
      </c>
      <c r="Q101" s="510">
        <v>15</v>
      </c>
      <c r="R101" s="510">
        <v>16</v>
      </c>
      <c r="S101" s="510">
        <v>0</v>
      </c>
      <c r="T101" s="510">
        <v>0</v>
      </c>
      <c r="U101" s="510">
        <v>0</v>
      </c>
      <c r="V101" s="510">
        <v>0</v>
      </c>
      <c r="W101" s="508">
        <v>0</v>
      </c>
      <c r="X101" s="508">
        <v>0</v>
      </c>
      <c r="Y101" s="508">
        <v>0</v>
      </c>
      <c r="Z101" s="508">
        <v>0</v>
      </c>
      <c r="AA101" s="508">
        <v>0</v>
      </c>
      <c r="AB101" s="508">
        <v>0</v>
      </c>
      <c r="AC101" s="508">
        <v>0</v>
      </c>
    </row>
    <row r="104" spans="6:9" ht="12.75">
      <c r="F104" s="511"/>
      <c r="G104" s="511"/>
      <c r="H104" s="511"/>
      <c r="I104" s="51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AF43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640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'TOT-0312'!B2</f>
        <v>ANEXO IV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27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245" customFormat="1" ht="33" customHeight="1">
      <c r="B10" s="246"/>
      <c r="C10" s="247"/>
      <c r="D10" s="247"/>
      <c r="E10" s="247"/>
      <c r="F10" s="641" t="s">
        <v>28</v>
      </c>
      <c r="G10" s="247"/>
      <c r="H10" s="247"/>
      <c r="I10" s="247"/>
      <c r="K10" s="247"/>
      <c r="L10" s="247"/>
      <c r="M10" s="247"/>
      <c r="N10" s="247"/>
      <c r="O10" s="247"/>
      <c r="P10" s="247"/>
      <c r="Q10" s="247"/>
      <c r="R10" s="641"/>
      <c r="S10" s="641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642"/>
    </row>
    <row r="11" spans="2:32" s="248" customFormat="1" ht="33" customHeight="1">
      <c r="B11" s="249"/>
      <c r="C11" s="250"/>
      <c r="D11" s="250"/>
      <c r="E11" s="250"/>
      <c r="F11" s="643" t="s">
        <v>334</v>
      </c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645"/>
    </row>
    <row r="12" spans="2:32" s="34" customFormat="1" ht="19.5">
      <c r="B12" s="35" t="str">
        <f>'TOT-0312'!B14</f>
        <v>Desde el 01 al 31 de Marzo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2"/>
      <c r="Q12" s="10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3"/>
    </row>
    <row r="13" spans="2:32" s="8" customFormat="1" ht="16.5" customHeight="1" thickBot="1">
      <c r="B13" s="55"/>
      <c r="C13" s="11"/>
      <c r="D13" s="11"/>
      <c r="E13" s="11"/>
      <c r="F13" s="11"/>
      <c r="G13" s="86"/>
      <c r="H13" s="86"/>
      <c r="I13" s="11"/>
      <c r="J13" s="11"/>
      <c r="K13" s="11"/>
      <c r="L13" s="104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8" customFormat="1" ht="16.5" customHeight="1" thickBot="1" thickTop="1">
      <c r="B14" s="55"/>
      <c r="C14" s="11"/>
      <c r="D14" s="11"/>
      <c r="E14" s="11"/>
      <c r="F14" s="105" t="s">
        <v>30</v>
      </c>
      <c r="G14" s="106">
        <v>141.7542</v>
      </c>
      <c r="H14" s="10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0"/>
    </row>
    <row r="15" spans="2:32" s="8" customFormat="1" ht="16.5" customHeight="1" thickBot="1" thickTop="1">
      <c r="B15" s="55"/>
      <c r="C15" s="11"/>
      <c r="D15" s="11"/>
      <c r="E15" s="11"/>
      <c r="F15" s="105" t="s">
        <v>31</v>
      </c>
      <c r="G15" s="106" t="s">
        <v>325</v>
      </c>
      <c r="H15" s="107"/>
      <c r="I15" s="11"/>
      <c r="J15" s="11"/>
      <c r="K15" s="11"/>
      <c r="L15" s="108"/>
      <c r="M15" s="10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0"/>
      <c r="Y15" s="110"/>
      <c r="Z15" s="110"/>
      <c r="AA15" s="110"/>
      <c r="AB15" s="110"/>
      <c r="AC15" s="110"/>
      <c r="AD15" s="110"/>
      <c r="AF15" s="100"/>
    </row>
    <row r="16" spans="2:32" s="8" customFormat="1" ht="16.5" customHeight="1" thickBot="1" thickTop="1">
      <c r="B16" s="55"/>
      <c r="C16" s="111">
        <v>3</v>
      </c>
      <c r="D16" s="111">
        <v>4</v>
      </c>
      <c r="E16" s="111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11">
        <v>12</v>
      </c>
      <c r="M16" s="111">
        <v>13</v>
      </c>
      <c r="N16" s="111">
        <v>14</v>
      </c>
      <c r="O16" s="111">
        <v>15</v>
      </c>
      <c r="P16" s="111">
        <v>16</v>
      </c>
      <c r="Q16" s="111">
        <v>17</v>
      </c>
      <c r="R16" s="111">
        <v>18</v>
      </c>
      <c r="S16" s="111">
        <v>19</v>
      </c>
      <c r="T16" s="111">
        <v>20</v>
      </c>
      <c r="U16" s="111">
        <v>21</v>
      </c>
      <c r="V16" s="111">
        <v>22</v>
      </c>
      <c r="W16" s="111">
        <v>23</v>
      </c>
      <c r="X16" s="111">
        <v>24</v>
      </c>
      <c r="Y16" s="111">
        <v>25</v>
      </c>
      <c r="Z16" s="111">
        <v>26</v>
      </c>
      <c r="AA16" s="111">
        <v>27</v>
      </c>
      <c r="AB16" s="111">
        <v>28</v>
      </c>
      <c r="AC16" s="111">
        <v>29</v>
      </c>
      <c r="AD16" s="111">
        <v>30</v>
      </c>
      <c r="AE16" s="111">
        <v>31</v>
      </c>
      <c r="AF16" s="100"/>
    </row>
    <row r="17" spans="2:32" s="8" customFormat="1" ht="33.75" customHeight="1" thickBot="1" thickTop="1">
      <c r="B17" s="55"/>
      <c r="C17" s="112" t="s">
        <v>32</v>
      </c>
      <c r="D17" s="112" t="s">
        <v>33</v>
      </c>
      <c r="E17" s="112" t="s">
        <v>34</v>
      </c>
      <c r="F17" s="113" t="s">
        <v>5</v>
      </c>
      <c r="G17" s="114" t="s">
        <v>35</v>
      </c>
      <c r="H17" s="115" t="s">
        <v>36</v>
      </c>
      <c r="I17" s="116" t="s">
        <v>37</v>
      </c>
      <c r="J17" s="117" t="s">
        <v>38</v>
      </c>
      <c r="K17" s="118" t="s">
        <v>39</v>
      </c>
      <c r="L17" s="113" t="s">
        <v>40</v>
      </c>
      <c r="M17" s="119" t="s">
        <v>41</v>
      </c>
      <c r="N17" s="120" t="s">
        <v>42</v>
      </c>
      <c r="O17" s="115" t="s">
        <v>43</v>
      </c>
      <c r="P17" s="120" t="s">
        <v>251</v>
      </c>
      <c r="Q17" s="115" t="s">
        <v>44</v>
      </c>
      <c r="R17" s="119" t="s">
        <v>45</v>
      </c>
      <c r="S17" s="113" t="s">
        <v>46</v>
      </c>
      <c r="T17" s="121" t="s">
        <v>47</v>
      </c>
      <c r="U17" s="122" t="s">
        <v>48</v>
      </c>
      <c r="V17" s="123" t="s">
        <v>49</v>
      </c>
      <c r="W17" s="124"/>
      <c r="X17" s="125"/>
      <c r="Y17" s="126" t="s">
        <v>50</v>
      </c>
      <c r="Z17" s="127"/>
      <c r="AA17" s="128"/>
      <c r="AB17" s="129" t="s">
        <v>51</v>
      </c>
      <c r="AC17" s="130" t="s">
        <v>52</v>
      </c>
      <c r="AD17" s="131" t="s">
        <v>53</v>
      </c>
      <c r="AE17" s="131" t="s">
        <v>54</v>
      </c>
      <c r="AF17" s="132"/>
    </row>
    <row r="18" spans="2:32" s="8" customFormat="1" ht="16.5" customHeight="1" thickTop="1">
      <c r="B18" s="55"/>
      <c r="C18" s="133"/>
      <c r="D18" s="133"/>
      <c r="E18" s="133"/>
      <c r="F18" s="134"/>
      <c r="G18" s="134"/>
      <c r="H18" s="135"/>
      <c r="I18" s="136"/>
      <c r="J18" s="137"/>
      <c r="K18" s="138"/>
      <c r="L18" s="139"/>
      <c r="M18" s="139"/>
      <c r="N18" s="136"/>
      <c r="O18" s="136"/>
      <c r="P18" s="136"/>
      <c r="Q18" s="136"/>
      <c r="R18" s="136"/>
      <c r="S18" s="136"/>
      <c r="T18" s="140"/>
      <c r="U18" s="141"/>
      <c r="V18" s="142"/>
      <c r="W18" s="143"/>
      <c r="X18" s="144"/>
      <c r="Y18" s="145"/>
      <c r="Z18" s="146"/>
      <c r="AA18" s="147"/>
      <c r="AB18" s="148"/>
      <c r="AC18" s="149"/>
      <c r="AD18" s="136"/>
      <c r="AE18" s="150"/>
      <c r="AF18" s="100"/>
    </row>
    <row r="19" spans="2:32" s="8" customFormat="1" ht="16.5" customHeight="1">
      <c r="B19" s="55"/>
      <c r="C19" s="251"/>
      <c r="D19" s="251"/>
      <c r="E19" s="251"/>
      <c r="F19" s="646"/>
      <c r="G19" s="647"/>
      <c r="H19" s="648"/>
      <c r="I19" s="647"/>
      <c r="J19" s="173">
        <f>IF(I19="A",200,IF(I19="B",60,20))</f>
        <v>20</v>
      </c>
      <c r="K19" s="174" t="e">
        <f>IF(G19=500,IF(H19&lt;100,100*$G$14/100,H19*$G$14/100),IF(H19&lt;100,100*$G$15/100,H19*$G$15/100))</f>
        <v>#VALUE!</v>
      </c>
      <c r="L19" s="175"/>
      <c r="M19" s="176"/>
      <c r="N19" s="177">
        <f>IF(F19="","",(M19-L19)*24)</f>
      </c>
      <c r="O19" s="178">
        <f>IF(F19="","",ROUND((M19-L19)*24*60,0))</f>
      </c>
      <c r="P19" s="179"/>
      <c r="Q19" s="180">
        <f>IF(F19="","","--")</f>
      </c>
      <c r="R19" s="181">
        <f>IF(F19="","","NO")</f>
      </c>
      <c r="S19" s="181">
        <f>IF(F19="","",IF(OR(P19="P",P19="RP"),"--","NO"))</f>
      </c>
      <c r="T19" s="649" t="str">
        <f>IF(P19="P",K19*J19*ROUND(O19/60,2)*0.01,"--")</f>
        <v>--</v>
      </c>
      <c r="U19" s="650" t="str">
        <f>IF(P19="RP",K19*J19*ROUND(O19/60,2)*0.01*Q19/100,"--")</f>
        <v>--</v>
      </c>
      <c r="V19" s="651" t="str">
        <f>IF(AND(P19="F",S19="NO"),K19*J19*IF(R19="SI",1.2,1),"--")</f>
        <v>--</v>
      </c>
      <c r="W19" s="652" t="str">
        <f>IF(AND(P19="F",O19&gt;=10),K19*J19*IF(R19="SI",1.2,1)*IF(O19&lt;=300,ROUND(O19/60,2),5),"--")</f>
        <v>--</v>
      </c>
      <c r="X19" s="653" t="str">
        <f>IF(AND(P19="F",O19&gt;300),(ROUND(O19/60,2)-5)*K19*J19*0.1*IF(R19="SI",1.2,1),"--")</f>
        <v>--</v>
      </c>
      <c r="Y19" s="654" t="str">
        <f>IF(AND(P19="R",S19="NO"),K19*J19*Q19/100*IF(R19="SI",1.2,1),"--")</f>
        <v>--</v>
      </c>
      <c r="Z19" s="655" t="str">
        <f>IF(AND(P19="R",O19&gt;=10),K19*J19*Q19/100*IF(R19="SI",1.2,1)*IF(O19&lt;=300,ROUND(O19/60,2),5),"--")</f>
        <v>--</v>
      </c>
      <c r="AA19" s="656" t="str">
        <f>IF(AND(P19="R",O19&gt;300),(ROUND(O19/60,2)-5)*K19*J19*0.1*Q19/100*IF(R19="SI",1.2,1),"--")</f>
        <v>--</v>
      </c>
      <c r="AB19" s="657" t="str">
        <f>IF(P19="RF",ROUND(O19/60,2)*K19*J19*0.1*IF(R19="SI",1.2,1),"--")</f>
        <v>--</v>
      </c>
      <c r="AC19" s="658" t="str">
        <f>IF(P19="RR",ROUND(O19/60,2)*K19*J19*0.1*Q19/100*IF(R19="SI",1.2,1),"--")</f>
        <v>--</v>
      </c>
      <c r="AD19" s="659">
        <f>IF(F19="","","SI")</f>
      </c>
      <c r="AE19" s="193">
        <f>IF(F19="","",SUM(T19:AC19)*IF(AD19="SI",1,2))</f>
      </c>
      <c r="AF19" s="100"/>
    </row>
    <row r="20" spans="2:32" s="8" customFormat="1" ht="16.5" customHeight="1">
      <c r="B20" s="55"/>
      <c r="C20" s="251">
        <v>15</v>
      </c>
      <c r="D20" s="251">
        <v>245660</v>
      </c>
      <c r="E20" s="251">
        <v>5039</v>
      </c>
      <c r="F20" s="646" t="s">
        <v>333</v>
      </c>
      <c r="G20" s="647">
        <v>500</v>
      </c>
      <c r="H20" s="648">
        <v>285</v>
      </c>
      <c r="I20" s="647" t="s">
        <v>258</v>
      </c>
      <c r="J20" s="173">
        <f>IF(I20="A",200,IF(I20="B",60,20))</f>
        <v>20</v>
      </c>
      <c r="K20" s="174">
        <f>IF(G20=500,IF(H20&lt;100,100*$G$14/100,H20*$G$14/100),IF(H20&lt;100,100*$G$15/100,H20*$G$15/100))</f>
        <v>403.99947</v>
      </c>
      <c r="L20" s="175">
        <v>40985.67986111111</v>
      </c>
      <c r="M20" s="176">
        <v>40985.686111111114</v>
      </c>
      <c r="N20" s="177">
        <f>IF(F20="","",(M20-L20)*24)</f>
        <v>0.1500000001396984</v>
      </c>
      <c r="O20" s="178">
        <f>IF(F20="","",ROUND((M20-L20)*24*60,0))</f>
        <v>9</v>
      </c>
      <c r="P20" s="179" t="s">
        <v>256</v>
      </c>
      <c r="Q20" s="180" t="str">
        <f>IF(F20="","","--")</f>
        <v>--</v>
      </c>
      <c r="R20" s="181" t="str">
        <f>IF(F20="","","NO")</f>
        <v>NO</v>
      </c>
      <c r="S20" s="181" t="str">
        <f>IF(F20="","",IF(OR(P20="P",P20="RP"),"--","NO"))</f>
        <v>NO</v>
      </c>
      <c r="T20" s="649" t="str">
        <f>IF(P20="P",K20*J20*ROUND(O20/60,2)*0.01,"--")</f>
        <v>--</v>
      </c>
      <c r="U20" s="650" t="str">
        <f>IF(P20="RP",K20*J20*ROUND(O20/60,2)*0.01*Q20/100,"--")</f>
        <v>--</v>
      </c>
      <c r="V20" s="651">
        <f>IF(AND(P20="F",S20="NO"),K20*J20*IF(R20="SI",1.2,1),"--")</f>
        <v>8079.9893999999995</v>
      </c>
      <c r="W20" s="652" t="str">
        <f>IF(AND(P20="F",O20&gt;=10),K20*J20*IF(R20="SI",1.2,1)*IF(O20&lt;=300,ROUND(O20/60,2),5),"--")</f>
        <v>--</v>
      </c>
      <c r="X20" s="653" t="str">
        <f>IF(AND(P20="F",O20&gt;300),(ROUND(O20/60,2)-5)*K20*J20*0.1*IF(R20="SI",1.2,1),"--")</f>
        <v>--</v>
      </c>
      <c r="Y20" s="654" t="str">
        <f>IF(AND(P20="R",S20="NO"),K20*J20*Q20/100*IF(R20="SI",1.2,1),"--")</f>
        <v>--</v>
      </c>
      <c r="Z20" s="655" t="str">
        <f>IF(AND(P20="R",O20&gt;=10),K20*J20*Q20/100*IF(R20="SI",1.2,1)*IF(O20&lt;=300,ROUND(O20/60,2),5),"--")</f>
        <v>--</v>
      </c>
      <c r="AA20" s="656" t="str">
        <f>IF(AND(P20="R",O20&gt;300),(ROUND(O20/60,2)-5)*K20*J20*0.1*Q20/100*IF(R20="SI",1.2,1),"--")</f>
        <v>--</v>
      </c>
      <c r="AB20" s="657" t="str">
        <f>IF(P20="RF",ROUND(O20/60,2)*K20*J20*0.1*IF(R20="SI",1.2,1),"--")</f>
        <v>--</v>
      </c>
      <c r="AC20" s="658" t="str">
        <f>IF(P20="RR",ROUND(O20/60,2)*K20*J20*0.1*Q20/100*IF(R20="SI",1.2,1),"--")</f>
        <v>--</v>
      </c>
      <c r="AD20" s="659" t="str">
        <f>IF(F20="","","SI")</f>
        <v>SI</v>
      </c>
      <c r="AE20" s="193">
        <f>IF(F20="","",SUM(T20:AC20)*IF(AD20="SI",1,2))</f>
        <v>8079.9893999999995</v>
      </c>
      <c r="AF20" s="194"/>
    </row>
    <row r="21" spans="2:32" s="8" customFormat="1" ht="16.5" customHeight="1">
      <c r="B21" s="55"/>
      <c r="C21" s="151">
        <v>16</v>
      </c>
      <c r="D21" s="151">
        <v>246067</v>
      </c>
      <c r="E21" s="151">
        <v>5039</v>
      </c>
      <c r="F21" s="646" t="s">
        <v>333</v>
      </c>
      <c r="G21" s="647">
        <v>500</v>
      </c>
      <c r="H21" s="648">
        <v>285</v>
      </c>
      <c r="I21" s="647" t="s">
        <v>258</v>
      </c>
      <c r="J21" s="173">
        <f>IF(I21="A",200,IF(I21="B",60,20))</f>
        <v>20</v>
      </c>
      <c r="K21" s="174">
        <f>IF(G21=500,IF(H21&lt;100,100*$G$14/100,H21*$G$14/100),IF(H21&lt;100,100*$G$15/100,H21*$G$15/100))</f>
        <v>403.99947</v>
      </c>
      <c r="L21" s="175">
        <v>40999.18402777778</v>
      </c>
      <c r="M21" s="176">
        <v>40999.35833333333</v>
      </c>
      <c r="N21" s="177">
        <f>IF(F21="","",(M21-L21)*24)</f>
        <v>4.183333333174232</v>
      </c>
      <c r="O21" s="178">
        <f>IF(F21="","",ROUND((M21-L21)*24*60,0))</f>
        <v>251</v>
      </c>
      <c r="P21" s="179" t="s">
        <v>253</v>
      </c>
      <c r="Q21" s="180" t="str">
        <f>IF(F21="","","--")</f>
        <v>--</v>
      </c>
      <c r="R21" s="181" t="str">
        <f>IF(F21="","","NO")</f>
        <v>NO</v>
      </c>
      <c r="S21" s="181" t="str">
        <f>IF(F21="","",IF(OR(P21="P",P21="RP"),"--","NO"))</f>
        <v>--</v>
      </c>
      <c r="T21" s="649">
        <f>IF(P21="P",K21*J21*ROUND(O21/60,2)*0.01,"--")</f>
        <v>337.74355692</v>
      </c>
      <c r="U21" s="650" t="str">
        <f>IF(P21="RP",K21*J21*ROUND(O21/60,2)*0.01*Q21/100,"--")</f>
        <v>--</v>
      </c>
      <c r="V21" s="651" t="str">
        <f>IF(AND(P21="F",S21="NO"),K21*J21*IF(R21="SI",1.2,1),"--")</f>
        <v>--</v>
      </c>
      <c r="W21" s="652" t="str">
        <f>IF(AND(P21="F",O21&gt;=10),K21*J21*IF(R21="SI",1.2,1)*IF(O21&lt;=300,ROUND(O21/60,2),5),"--")</f>
        <v>--</v>
      </c>
      <c r="X21" s="653" t="str">
        <f>IF(AND(P21="F",O21&gt;300),(ROUND(O21/60,2)-5)*K21*J21*0.1*IF(R21="SI",1.2,1),"--")</f>
        <v>--</v>
      </c>
      <c r="Y21" s="654" t="str">
        <f>IF(AND(P21="R",S21="NO"),K21*J21*Q21/100*IF(R21="SI",1.2,1),"--")</f>
        <v>--</v>
      </c>
      <c r="Z21" s="655" t="str">
        <f>IF(AND(P21="R",O21&gt;=10),K21*J21*Q21/100*IF(R21="SI",1.2,1)*IF(O21&lt;=300,ROUND(O21/60,2),5),"--")</f>
        <v>--</v>
      </c>
      <c r="AA21" s="656" t="str">
        <f>IF(AND(P21="R",O21&gt;300),(ROUND(O21/60,2)-5)*K21*J21*0.1*Q21/100*IF(R21="SI",1.2,1),"--")</f>
        <v>--</v>
      </c>
      <c r="AB21" s="657" t="str">
        <f>IF(P21="RF",ROUND(O21/60,2)*K21*J21*0.1*IF(R21="SI",1.2,1),"--")</f>
        <v>--</v>
      </c>
      <c r="AC21" s="658" t="str">
        <f>IF(P21="RR",ROUND(O21/60,2)*K21*J21*0.1*Q21/100*IF(R21="SI",1.2,1),"--")</f>
        <v>--</v>
      </c>
      <c r="AD21" s="659" t="str">
        <f>IF(F21="","","SI")</f>
        <v>SI</v>
      </c>
      <c r="AE21" s="193">
        <f>IF(F21="","",SUM(T21:AC21)*IF(AD21="SI",1,2))</f>
        <v>337.74355692</v>
      </c>
      <c r="AF21" s="194"/>
    </row>
    <row r="22" spans="2:32" s="8" customFormat="1" ht="16.5" customHeight="1">
      <c r="B22" s="55"/>
      <c r="C22" s="170"/>
      <c r="D22" s="170"/>
      <c r="E22" s="170"/>
      <c r="F22" s="646"/>
      <c r="G22" s="647"/>
      <c r="H22" s="648"/>
      <c r="I22" s="647"/>
      <c r="J22" s="173"/>
      <c r="K22" s="174"/>
      <c r="L22" s="195"/>
      <c r="M22" s="196"/>
      <c r="N22" s="177"/>
      <c r="O22" s="178"/>
      <c r="P22" s="179"/>
      <c r="Q22" s="180"/>
      <c r="R22" s="181"/>
      <c r="S22" s="181"/>
      <c r="T22" s="649"/>
      <c r="U22" s="650"/>
      <c r="V22" s="651"/>
      <c r="W22" s="652"/>
      <c r="X22" s="653"/>
      <c r="Y22" s="654"/>
      <c r="Z22" s="655"/>
      <c r="AA22" s="656"/>
      <c r="AB22" s="657"/>
      <c r="AC22" s="658"/>
      <c r="AD22" s="192"/>
      <c r="AE22" s="193"/>
      <c r="AF22" s="194"/>
    </row>
    <row r="23" spans="2:32" s="8" customFormat="1" ht="16.5" customHeight="1">
      <c r="B23" s="55"/>
      <c r="C23" s="151"/>
      <c r="D23" s="151"/>
      <c r="E23" s="151"/>
      <c r="F23" s="646"/>
      <c r="G23" s="647"/>
      <c r="H23" s="648"/>
      <c r="I23" s="647"/>
      <c r="J23" s="173"/>
      <c r="K23" s="174"/>
      <c r="L23" s="195"/>
      <c r="M23" s="196"/>
      <c r="N23" s="177"/>
      <c r="O23" s="178"/>
      <c r="P23" s="179"/>
      <c r="Q23" s="180"/>
      <c r="R23" s="181"/>
      <c r="S23" s="181"/>
      <c r="T23" s="649"/>
      <c r="U23" s="650"/>
      <c r="V23" s="651"/>
      <c r="W23" s="652"/>
      <c r="X23" s="653"/>
      <c r="Y23" s="654"/>
      <c r="Z23" s="655"/>
      <c r="AA23" s="656"/>
      <c r="AB23" s="657"/>
      <c r="AC23" s="658"/>
      <c r="AD23" s="192"/>
      <c r="AE23" s="193"/>
      <c r="AF23" s="194"/>
    </row>
    <row r="24" spans="2:32" s="8" customFormat="1" ht="16.5" customHeight="1">
      <c r="B24" s="55"/>
      <c r="C24" s="170"/>
      <c r="D24" s="170"/>
      <c r="E24" s="170"/>
      <c r="F24" s="170"/>
      <c r="G24" s="171"/>
      <c r="H24" s="172"/>
      <c r="I24" s="171"/>
      <c r="J24" s="173">
        <f aca="true" t="shared" si="0" ref="J24:J39">IF(I24="A",200,IF(I24="B",60,20))</f>
        <v>20</v>
      </c>
      <c r="K24" s="174" t="e">
        <f aca="true" t="shared" si="1" ref="K24:K39">IF(G24=500,IF(H24&lt;100,100*$G$14/100,H24*$G$14/100),IF(H24&lt;100,100*$G$15/100,H24*$G$15/100))</f>
        <v>#VALUE!</v>
      </c>
      <c r="L24" s="175"/>
      <c r="M24" s="176"/>
      <c r="N24" s="177">
        <f aca="true" t="shared" si="2" ref="N24:N39">IF(F24="","",(M24-L24)*24)</f>
      </c>
      <c r="O24" s="178">
        <f aca="true" t="shared" si="3" ref="O24:O39">IF(F24="","",ROUND((M24-L24)*24*60,0))</f>
      </c>
      <c r="P24" s="179"/>
      <c r="Q24" s="180">
        <f aca="true" t="shared" si="4" ref="Q24:Q39">IF(F24="","","--")</f>
      </c>
      <c r="R24" s="181">
        <f aca="true" t="shared" si="5" ref="R24:R39">IF(F24="","","NO")</f>
      </c>
      <c r="S24" s="181">
        <f aca="true" t="shared" si="6" ref="S24:S39">IF(F24="","",IF(OR(P24="P",P24="RP"),"--","NO"))</f>
      </c>
      <c r="T24" s="649" t="str">
        <f aca="true" t="shared" si="7" ref="T24:T39">IF(P24="P",K24*J24*ROUND(O24/60,2)*0.01,"--")</f>
        <v>--</v>
      </c>
      <c r="U24" s="650" t="str">
        <f aca="true" t="shared" si="8" ref="U24:U39">IF(P24="RP",K24*J24*ROUND(O24/60,2)*0.01*Q24/100,"--")</f>
        <v>--</v>
      </c>
      <c r="V24" s="651" t="str">
        <f aca="true" t="shared" si="9" ref="V24:V39">IF(AND(P24="F",S24="NO"),K24*J24*IF(R24="SI",1.2,1),"--")</f>
        <v>--</v>
      </c>
      <c r="W24" s="652" t="str">
        <f aca="true" t="shared" si="10" ref="W24:W39">IF(AND(P24="F",O24&gt;=10),K24*J24*IF(R24="SI",1.2,1)*IF(O24&lt;=300,ROUND(O24/60,2),5),"--")</f>
        <v>--</v>
      </c>
      <c r="X24" s="653" t="str">
        <f aca="true" t="shared" si="11" ref="X24:X39">IF(AND(P24="F",O24&gt;300),(ROUND(O24/60,2)-5)*K24*J24*0.1*IF(R24="SI",1.2,1),"--")</f>
        <v>--</v>
      </c>
      <c r="Y24" s="654" t="str">
        <f aca="true" t="shared" si="12" ref="Y24:Y39">IF(AND(P24="R",S24="NO"),K24*J24*Q24/100*IF(R24="SI",1.2,1),"--")</f>
        <v>--</v>
      </c>
      <c r="Z24" s="655" t="str">
        <f aca="true" t="shared" si="13" ref="Z24:Z39">IF(AND(P24="R",O24&gt;=10),K24*J24*Q24/100*IF(R24="SI",1.2,1)*IF(O24&lt;=300,ROUND(O24/60,2),5),"--")</f>
        <v>--</v>
      </c>
      <c r="AA24" s="656" t="str">
        <f aca="true" t="shared" si="14" ref="AA24:AA39">IF(AND(P24="R",O24&gt;300),(ROUND(O24/60,2)-5)*K24*J24*0.1*Q24/100*IF(R24="SI",1.2,1),"--")</f>
        <v>--</v>
      </c>
      <c r="AB24" s="657" t="str">
        <f aca="true" t="shared" si="15" ref="AB24:AB39">IF(P24="RF",ROUND(O24/60,2)*K24*J24*0.1*IF(R24="SI",1.2,1),"--")</f>
        <v>--</v>
      </c>
      <c r="AC24" s="658" t="str">
        <f aca="true" t="shared" si="16" ref="AC24:AC39">IF(P24="RR",ROUND(O24/60,2)*K24*J24*0.1*Q24/100*IF(R24="SI",1.2,1),"--")</f>
        <v>--</v>
      </c>
      <c r="AD24" s="192">
        <f aca="true" t="shared" si="17" ref="AD24:AD39">IF(F24="","","SI")</f>
      </c>
      <c r="AE24" s="193">
        <f aca="true" t="shared" si="18" ref="AE24:AE39">IF(F24="","",SUM(T24:AC24)*IF(AD24="SI",1,2))</f>
      </c>
      <c r="AF24" s="194"/>
    </row>
    <row r="25" spans="2:32" s="8" customFormat="1" ht="16.5" customHeight="1">
      <c r="B25" s="55"/>
      <c r="C25" s="151"/>
      <c r="D25" s="151"/>
      <c r="E25" s="151"/>
      <c r="F25" s="170"/>
      <c r="G25" s="171"/>
      <c r="H25" s="172"/>
      <c r="I25" s="171"/>
      <c r="J25" s="173">
        <f t="shared" si="0"/>
        <v>20</v>
      </c>
      <c r="K25" s="174" t="e">
        <f t="shared" si="1"/>
        <v>#VALUE!</v>
      </c>
      <c r="L25" s="175"/>
      <c r="M25" s="176"/>
      <c r="N25" s="177">
        <f t="shared" si="2"/>
      </c>
      <c r="O25" s="178">
        <f t="shared" si="3"/>
      </c>
      <c r="P25" s="179"/>
      <c r="Q25" s="180">
        <f t="shared" si="4"/>
      </c>
      <c r="R25" s="181">
        <f t="shared" si="5"/>
      </c>
      <c r="S25" s="181">
        <f t="shared" si="6"/>
      </c>
      <c r="T25" s="649" t="str">
        <f t="shared" si="7"/>
        <v>--</v>
      </c>
      <c r="U25" s="650" t="str">
        <f t="shared" si="8"/>
        <v>--</v>
      </c>
      <c r="V25" s="651" t="str">
        <f t="shared" si="9"/>
        <v>--</v>
      </c>
      <c r="W25" s="652" t="str">
        <f t="shared" si="10"/>
        <v>--</v>
      </c>
      <c r="X25" s="653" t="str">
        <f t="shared" si="11"/>
        <v>--</v>
      </c>
      <c r="Y25" s="654" t="str">
        <f t="shared" si="12"/>
        <v>--</v>
      </c>
      <c r="Z25" s="655" t="str">
        <f t="shared" si="13"/>
        <v>--</v>
      </c>
      <c r="AA25" s="656" t="str">
        <f t="shared" si="14"/>
        <v>--</v>
      </c>
      <c r="AB25" s="657" t="str">
        <f t="shared" si="15"/>
        <v>--</v>
      </c>
      <c r="AC25" s="658" t="str">
        <f t="shared" si="16"/>
        <v>--</v>
      </c>
      <c r="AD25" s="192">
        <f t="shared" si="17"/>
      </c>
      <c r="AE25" s="193">
        <f t="shared" si="18"/>
      </c>
      <c r="AF25" s="194"/>
    </row>
    <row r="26" spans="2:32" s="8" customFormat="1" ht="16.5" customHeight="1">
      <c r="B26" s="55"/>
      <c r="C26" s="170"/>
      <c r="D26" s="170"/>
      <c r="E26" s="170"/>
      <c r="F26" s="197"/>
      <c r="G26" s="198"/>
      <c r="H26" s="199"/>
      <c r="I26" s="198"/>
      <c r="J26" s="173">
        <f t="shared" si="0"/>
        <v>20</v>
      </c>
      <c r="K26" s="174" t="e">
        <f t="shared" si="1"/>
        <v>#VALUE!</v>
      </c>
      <c r="L26" s="200"/>
      <c r="M26" s="201"/>
      <c r="N26" s="177">
        <f t="shared" si="2"/>
      </c>
      <c r="O26" s="178">
        <f t="shared" si="3"/>
      </c>
      <c r="P26" s="179"/>
      <c r="Q26" s="180">
        <f t="shared" si="4"/>
      </c>
      <c r="R26" s="181">
        <f t="shared" si="5"/>
      </c>
      <c r="S26" s="181">
        <f t="shared" si="6"/>
      </c>
      <c r="T26" s="649" t="str">
        <f t="shared" si="7"/>
        <v>--</v>
      </c>
      <c r="U26" s="650" t="str">
        <f t="shared" si="8"/>
        <v>--</v>
      </c>
      <c r="V26" s="651" t="str">
        <f t="shared" si="9"/>
        <v>--</v>
      </c>
      <c r="W26" s="652" t="str">
        <f t="shared" si="10"/>
        <v>--</v>
      </c>
      <c r="X26" s="653" t="str">
        <f t="shared" si="11"/>
        <v>--</v>
      </c>
      <c r="Y26" s="654" t="str">
        <f t="shared" si="12"/>
        <v>--</v>
      </c>
      <c r="Z26" s="655" t="str">
        <f t="shared" si="13"/>
        <v>--</v>
      </c>
      <c r="AA26" s="656" t="str">
        <f t="shared" si="14"/>
        <v>--</v>
      </c>
      <c r="AB26" s="657" t="str">
        <f t="shared" si="15"/>
        <v>--</v>
      </c>
      <c r="AC26" s="658" t="str">
        <f t="shared" si="16"/>
        <v>--</v>
      </c>
      <c r="AD26" s="192">
        <f t="shared" si="17"/>
      </c>
      <c r="AE26" s="193">
        <f t="shared" si="18"/>
      </c>
      <c r="AF26" s="194"/>
    </row>
    <row r="27" spans="2:32" s="8" customFormat="1" ht="16.5" customHeight="1">
      <c r="B27" s="55"/>
      <c r="C27" s="151"/>
      <c r="D27" s="151"/>
      <c r="E27" s="151"/>
      <c r="F27" s="197"/>
      <c r="G27" s="198"/>
      <c r="H27" s="199"/>
      <c r="I27" s="198"/>
      <c r="J27" s="173">
        <f t="shared" si="0"/>
        <v>20</v>
      </c>
      <c r="K27" s="174" t="e">
        <f t="shared" si="1"/>
        <v>#VALUE!</v>
      </c>
      <c r="L27" s="200"/>
      <c r="M27" s="201"/>
      <c r="N27" s="177">
        <f t="shared" si="2"/>
      </c>
      <c r="O27" s="178">
        <f t="shared" si="3"/>
      </c>
      <c r="P27" s="179"/>
      <c r="Q27" s="180">
        <f t="shared" si="4"/>
      </c>
      <c r="R27" s="181">
        <f t="shared" si="5"/>
      </c>
      <c r="S27" s="181">
        <f t="shared" si="6"/>
      </c>
      <c r="T27" s="649" t="str">
        <f t="shared" si="7"/>
        <v>--</v>
      </c>
      <c r="U27" s="650" t="str">
        <f t="shared" si="8"/>
        <v>--</v>
      </c>
      <c r="V27" s="651" t="str">
        <f t="shared" si="9"/>
        <v>--</v>
      </c>
      <c r="W27" s="652" t="str">
        <f t="shared" si="10"/>
        <v>--</v>
      </c>
      <c r="X27" s="653" t="str">
        <f t="shared" si="11"/>
        <v>--</v>
      </c>
      <c r="Y27" s="654" t="str">
        <f t="shared" si="12"/>
        <v>--</v>
      </c>
      <c r="Z27" s="655" t="str">
        <f t="shared" si="13"/>
        <v>--</v>
      </c>
      <c r="AA27" s="656" t="str">
        <f t="shared" si="14"/>
        <v>--</v>
      </c>
      <c r="AB27" s="657" t="str">
        <f t="shared" si="15"/>
        <v>--</v>
      </c>
      <c r="AC27" s="658" t="str">
        <f t="shared" si="16"/>
        <v>--</v>
      </c>
      <c r="AD27" s="192">
        <f t="shared" si="17"/>
      </c>
      <c r="AE27" s="193">
        <f t="shared" si="18"/>
      </c>
      <c r="AF27" s="194"/>
    </row>
    <row r="28" spans="2:32" s="8" customFormat="1" ht="16.5" customHeight="1">
      <c r="B28" s="55"/>
      <c r="C28" s="170"/>
      <c r="D28" s="170"/>
      <c r="E28" s="170"/>
      <c r="F28" s="197"/>
      <c r="G28" s="198"/>
      <c r="H28" s="199"/>
      <c r="I28" s="198"/>
      <c r="J28" s="173">
        <f t="shared" si="0"/>
        <v>20</v>
      </c>
      <c r="K28" s="174" t="e">
        <f t="shared" si="1"/>
        <v>#VALUE!</v>
      </c>
      <c r="L28" s="200"/>
      <c r="M28" s="201"/>
      <c r="N28" s="177">
        <f t="shared" si="2"/>
      </c>
      <c r="O28" s="178">
        <f t="shared" si="3"/>
      </c>
      <c r="P28" s="179"/>
      <c r="Q28" s="180">
        <f t="shared" si="4"/>
      </c>
      <c r="R28" s="181">
        <f t="shared" si="5"/>
      </c>
      <c r="S28" s="181">
        <f t="shared" si="6"/>
      </c>
      <c r="T28" s="649" t="str">
        <f t="shared" si="7"/>
        <v>--</v>
      </c>
      <c r="U28" s="650" t="str">
        <f t="shared" si="8"/>
        <v>--</v>
      </c>
      <c r="V28" s="651" t="str">
        <f t="shared" si="9"/>
        <v>--</v>
      </c>
      <c r="W28" s="652" t="str">
        <f t="shared" si="10"/>
        <v>--</v>
      </c>
      <c r="X28" s="653" t="str">
        <f t="shared" si="11"/>
        <v>--</v>
      </c>
      <c r="Y28" s="654" t="str">
        <f t="shared" si="12"/>
        <v>--</v>
      </c>
      <c r="Z28" s="655" t="str">
        <f t="shared" si="13"/>
        <v>--</v>
      </c>
      <c r="AA28" s="656" t="str">
        <f t="shared" si="14"/>
        <v>--</v>
      </c>
      <c r="AB28" s="657" t="str">
        <f t="shared" si="15"/>
        <v>--</v>
      </c>
      <c r="AC28" s="658" t="str">
        <f t="shared" si="16"/>
        <v>--</v>
      </c>
      <c r="AD28" s="192">
        <f t="shared" si="17"/>
      </c>
      <c r="AE28" s="193">
        <f t="shared" si="18"/>
      </c>
      <c r="AF28" s="194"/>
    </row>
    <row r="29" spans="2:32" s="8" customFormat="1" ht="16.5" customHeight="1">
      <c r="B29" s="55"/>
      <c r="C29" s="151"/>
      <c r="D29" s="151"/>
      <c r="E29" s="151"/>
      <c r="F29" s="197"/>
      <c r="G29" s="198"/>
      <c r="H29" s="199"/>
      <c r="I29" s="198"/>
      <c r="J29" s="173">
        <f t="shared" si="0"/>
        <v>20</v>
      </c>
      <c r="K29" s="174" t="e">
        <f t="shared" si="1"/>
        <v>#VALUE!</v>
      </c>
      <c r="L29" s="200"/>
      <c r="M29" s="201"/>
      <c r="N29" s="177">
        <f t="shared" si="2"/>
      </c>
      <c r="O29" s="178">
        <f t="shared" si="3"/>
      </c>
      <c r="P29" s="179"/>
      <c r="Q29" s="180">
        <f t="shared" si="4"/>
      </c>
      <c r="R29" s="181">
        <f t="shared" si="5"/>
      </c>
      <c r="S29" s="181">
        <f t="shared" si="6"/>
      </c>
      <c r="T29" s="649" t="str">
        <f t="shared" si="7"/>
        <v>--</v>
      </c>
      <c r="U29" s="650" t="str">
        <f t="shared" si="8"/>
        <v>--</v>
      </c>
      <c r="V29" s="651" t="str">
        <f t="shared" si="9"/>
        <v>--</v>
      </c>
      <c r="W29" s="652" t="str">
        <f t="shared" si="10"/>
        <v>--</v>
      </c>
      <c r="X29" s="653" t="str">
        <f t="shared" si="11"/>
        <v>--</v>
      </c>
      <c r="Y29" s="654" t="str">
        <f t="shared" si="12"/>
        <v>--</v>
      </c>
      <c r="Z29" s="655" t="str">
        <f t="shared" si="13"/>
        <v>--</v>
      </c>
      <c r="AA29" s="656" t="str">
        <f t="shared" si="14"/>
        <v>--</v>
      </c>
      <c r="AB29" s="657" t="str">
        <f t="shared" si="15"/>
        <v>--</v>
      </c>
      <c r="AC29" s="658" t="str">
        <f t="shared" si="16"/>
        <v>--</v>
      </c>
      <c r="AD29" s="192">
        <f t="shared" si="17"/>
      </c>
      <c r="AE29" s="193">
        <f t="shared" si="18"/>
      </c>
      <c r="AF29" s="194"/>
    </row>
    <row r="30" spans="2:32" s="8" customFormat="1" ht="16.5" customHeight="1">
      <c r="B30" s="55"/>
      <c r="C30" s="170"/>
      <c r="D30" s="170"/>
      <c r="E30" s="170"/>
      <c r="F30" s="197"/>
      <c r="G30" s="198"/>
      <c r="H30" s="199"/>
      <c r="I30" s="198"/>
      <c r="J30" s="173">
        <f t="shared" si="0"/>
        <v>20</v>
      </c>
      <c r="K30" s="174" t="e">
        <f t="shared" si="1"/>
        <v>#VALUE!</v>
      </c>
      <c r="L30" s="200"/>
      <c r="M30" s="201"/>
      <c r="N30" s="177">
        <f t="shared" si="2"/>
      </c>
      <c r="O30" s="178">
        <f t="shared" si="3"/>
      </c>
      <c r="P30" s="179"/>
      <c r="Q30" s="180">
        <f t="shared" si="4"/>
      </c>
      <c r="R30" s="181">
        <f t="shared" si="5"/>
      </c>
      <c r="S30" s="181">
        <f t="shared" si="6"/>
      </c>
      <c r="T30" s="649" t="str">
        <f t="shared" si="7"/>
        <v>--</v>
      </c>
      <c r="U30" s="650" t="str">
        <f t="shared" si="8"/>
        <v>--</v>
      </c>
      <c r="V30" s="651" t="str">
        <f t="shared" si="9"/>
        <v>--</v>
      </c>
      <c r="W30" s="652" t="str">
        <f t="shared" si="10"/>
        <v>--</v>
      </c>
      <c r="X30" s="653" t="str">
        <f t="shared" si="11"/>
        <v>--</v>
      </c>
      <c r="Y30" s="654" t="str">
        <f t="shared" si="12"/>
        <v>--</v>
      </c>
      <c r="Z30" s="655" t="str">
        <f t="shared" si="13"/>
        <v>--</v>
      </c>
      <c r="AA30" s="656" t="str">
        <f t="shared" si="14"/>
        <v>--</v>
      </c>
      <c r="AB30" s="657" t="str">
        <f t="shared" si="15"/>
        <v>--</v>
      </c>
      <c r="AC30" s="658" t="str">
        <f t="shared" si="16"/>
        <v>--</v>
      </c>
      <c r="AD30" s="192">
        <f t="shared" si="17"/>
      </c>
      <c r="AE30" s="193">
        <f t="shared" si="18"/>
      </c>
      <c r="AF30" s="194"/>
    </row>
    <row r="31" spans="2:32" s="8" customFormat="1" ht="16.5" customHeight="1">
      <c r="B31" s="55"/>
      <c r="C31" s="151"/>
      <c r="D31" s="151"/>
      <c r="E31" s="151"/>
      <c r="F31" s="197"/>
      <c r="G31" s="198"/>
      <c r="H31" s="199"/>
      <c r="I31" s="198"/>
      <c r="J31" s="173">
        <f t="shared" si="0"/>
        <v>20</v>
      </c>
      <c r="K31" s="174" t="e">
        <f t="shared" si="1"/>
        <v>#VALUE!</v>
      </c>
      <c r="L31" s="200"/>
      <c r="M31" s="202"/>
      <c r="N31" s="177">
        <f t="shared" si="2"/>
      </c>
      <c r="O31" s="178">
        <f t="shared" si="3"/>
      </c>
      <c r="P31" s="179"/>
      <c r="Q31" s="180">
        <f t="shared" si="4"/>
      </c>
      <c r="R31" s="181">
        <f t="shared" si="5"/>
      </c>
      <c r="S31" s="181">
        <f t="shared" si="6"/>
      </c>
      <c r="T31" s="649" t="str">
        <f t="shared" si="7"/>
        <v>--</v>
      </c>
      <c r="U31" s="650" t="str">
        <f t="shared" si="8"/>
        <v>--</v>
      </c>
      <c r="V31" s="651" t="str">
        <f t="shared" si="9"/>
        <v>--</v>
      </c>
      <c r="W31" s="652" t="str">
        <f t="shared" si="10"/>
        <v>--</v>
      </c>
      <c r="X31" s="653" t="str">
        <f t="shared" si="11"/>
        <v>--</v>
      </c>
      <c r="Y31" s="654" t="str">
        <f t="shared" si="12"/>
        <v>--</v>
      </c>
      <c r="Z31" s="655" t="str">
        <f t="shared" si="13"/>
        <v>--</v>
      </c>
      <c r="AA31" s="656" t="str">
        <f t="shared" si="14"/>
        <v>--</v>
      </c>
      <c r="AB31" s="657" t="str">
        <f t="shared" si="15"/>
        <v>--</v>
      </c>
      <c r="AC31" s="658" t="str">
        <f t="shared" si="16"/>
        <v>--</v>
      </c>
      <c r="AD31" s="192">
        <f t="shared" si="17"/>
      </c>
      <c r="AE31" s="193">
        <f t="shared" si="18"/>
      </c>
      <c r="AF31" s="194"/>
    </row>
    <row r="32" spans="2:32" s="8" customFormat="1" ht="16.5" customHeight="1">
      <c r="B32" s="55"/>
      <c r="C32" s="170"/>
      <c r="D32" s="170"/>
      <c r="E32" s="170"/>
      <c r="F32" s="197"/>
      <c r="G32" s="198"/>
      <c r="H32" s="199"/>
      <c r="I32" s="198"/>
      <c r="J32" s="173">
        <f t="shared" si="0"/>
        <v>20</v>
      </c>
      <c r="K32" s="174" t="e">
        <f t="shared" si="1"/>
        <v>#VALUE!</v>
      </c>
      <c r="L32" s="200"/>
      <c r="M32" s="202"/>
      <c r="N32" s="177">
        <f t="shared" si="2"/>
      </c>
      <c r="O32" s="178">
        <f t="shared" si="3"/>
      </c>
      <c r="P32" s="179"/>
      <c r="Q32" s="180">
        <f t="shared" si="4"/>
      </c>
      <c r="R32" s="181">
        <f t="shared" si="5"/>
      </c>
      <c r="S32" s="181">
        <f t="shared" si="6"/>
      </c>
      <c r="T32" s="649" t="str">
        <f t="shared" si="7"/>
        <v>--</v>
      </c>
      <c r="U32" s="650" t="str">
        <f t="shared" si="8"/>
        <v>--</v>
      </c>
      <c r="V32" s="651" t="str">
        <f t="shared" si="9"/>
        <v>--</v>
      </c>
      <c r="W32" s="652" t="str">
        <f t="shared" si="10"/>
        <v>--</v>
      </c>
      <c r="X32" s="653" t="str">
        <f t="shared" si="11"/>
        <v>--</v>
      </c>
      <c r="Y32" s="654" t="str">
        <f t="shared" si="12"/>
        <v>--</v>
      </c>
      <c r="Z32" s="655" t="str">
        <f t="shared" si="13"/>
        <v>--</v>
      </c>
      <c r="AA32" s="656" t="str">
        <f t="shared" si="14"/>
        <v>--</v>
      </c>
      <c r="AB32" s="657" t="str">
        <f t="shared" si="15"/>
        <v>--</v>
      </c>
      <c r="AC32" s="658" t="str">
        <f t="shared" si="16"/>
        <v>--</v>
      </c>
      <c r="AD32" s="192">
        <f t="shared" si="17"/>
      </c>
      <c r="AE32" s="193">
        <f t="shared" si="18"/>
      </c>
      <c r="AF32" s="194"/>
    </row>
    <row r="33" spans="2:32" s="8" customFormat="1" ht="16.5" customHeight="1">
      <c r="B33" s="55"/>
      <c r="C33" s="151"/>
      <c r="D33" s="151"/>
      <c r="E33" s="151"/>
      <c r="F33" s="197"/>
      <c r="G33" s="198"/>
      <c r="H33" s="199"/>
      <c r="I33" s="198"/>
      <c r="J33" s="173">
        <f t="shared" si="0"/>
        <v>20</v>
      </c>
      <c r="K33" s="174" t="e">
        <f t="shared" si="1"/>
        <v>#VALUE!</v>
      </c>
      <c r="L33" s="200"/>
      <c r="M33" s="202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6"/>
      </c>
      <c r="T33" s="649" t="str">
        <f t="shared" si="7"/>
        <v>--</v>
      </c>
      <c r="U33" s="650" t="str">
        <f t="shared" si="8"/>
        <v>--</v>
      </c>
      <c r="V33" s="651" t="str">
        <f t="shared" si="9"/>
        <v>--</v>
      </c>
      <c r="W33" s="652" t="str">
        <f t="shared" si="10"/>
        <v>--</v>
      </c>
      <c r="X33" s="653" t="str">
        <f t="shared" si="11"/>
        <v>--</v>
      </c>
      <c r="Y33" s="654" t="str">
        <f t="shared" si="12"/>
        <v>--</v>
      </c>
      <c r="Z33" s="655" t="str">
        <f t="shared" si="13"/>
        <v>--</v>
      </c>
      <c r="AA33" s="656" t="str">
        <f t="shared" si="14"/>
        <v>--</v>
      </c>
      <c r="AB33" s="657" t="str">
        <f t="shared" si="15"/>
        <v>--</v>
      </c>
      <c r="AC33" s="658" t="str">
        <f t="shared" si="16"/>
        <v>--</v>
      </c>
      <c r="AD33" s="192">
        <f t="shared" si="17"/>
      </c>
      <c r="AE33" s="193">
        <f t="shared" si="18"/>
      </c>
      <c r="AF33" s="194"/>
    </row>
    <row r="34" spans="2:32" s="8" customFormat="1" ht="16.5" customHeight="1">
      <c r="B34" s="55"/>
      <c r="C34" s="170"/>
      <c r="D34" s="170"/>
      <c r="E34" s="170"/>
      <c r="F34" s="197"/>
      <c r="G34" s="198"/>
      <c r="H34" s="199"/>
      <c r="I34" s="198"/>
      <c r="J34" s="173">
        <f t="shared" si="0"/>
        <v>20</v>
      </c>
      <c r="K34" s="174" t="e">
        <f t="shared" si="1"/>
        <v>#VALUE!</v>
      </c>
      <c r="L34" s="200"/>
      <c r="M34" s="202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6"/>
      </c>
      <c r="T34" s="649" t="str">
        <f t="shared" si="7"/>
        <v>--</v>
      </c>
      <c r="U34" s="650" t="str">
        <f t="shared" si="8"/>
        <v>--</v>
      </c>
      <c r="V34" s="651" t="str">
        <f t="shared" si="9"/>
        <v>--</v>
      </c>
      <c r="W34" s="652" t="str">
        <f t="shared" si="10"/>
        <v>--</v>
      </c>
      <c r="X34" s="653" t="str">
        <f t="shared" si="11"/>
        <v>--</v>
      </c>
      <c r="Y34" s="654" t="str">
        <f t="shared" si="12"/>
        <v>--</v>
      </c>
      <c r="Z34" s="655" t="str">
        <f t="shared" si="13"/>
        <v>--</v>
      </c>
      <c r="AA34" s="656" t="str">
        <f t="shared" si="14"/>
        <v>--</v>
      </c>
      <c r="AB34" s="657" t="str">
        <f t="shared" si="15"/>
        <v>--</v>
      </c>
      <c r="AC34" s="658" t="str">
        <f t="shared" si="16"/>
        <v>--</v>
      </c>
      <c r="AD34" s="192">
        <f t="shared" si="17"/>
      </c>
      <c r="AE34" s="193">
        <f t="shared" si="18"/>
      </c>
      <c r="AF34" s="194"/>
    </row>
    <row r="35" spans="2:32" s="8" customFormat="1" ht="16.5" customHeight="1">
      <c r="B35" s="55"/>
      <c r="C35" s="151"/>
      <c r="D35" s="151"/>
      <c r="E35" s="151"/>
      <c r="F35" s="197"/>
      <c r="G35" s="198"/>
      <c r="H35" s="199"/>
      <c r="I35" s="198"/>
      <c r="J35" s="173">
        <f t="shared" si="0"/>
        <v>20</v>
      </c>
      <c r="K35" s="174" t="e">
        <f t="shared" si="1"/>
        <v>#VALUE!</v>
      </c>
      <c r="L35" s="200"/>
      <c r="M35" s="202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6"/>
      </c>
      <c r="T35" s="649" t="str">
        <f t="shared" si="7"/>
        <v>--</v>
      </c>
      <c r="U35" s="650" t="str">
        <f t="shared" si="8"/>
        <v>--</v>
      </c>
      <c r="V35" s="651" t="str">
        <f t="shared" si="9"/>
        <v>--</v>
      </c>
      <c r="W35" s="652" t="str">
        <f t="shared" si="10"/>
        <v>--</v>
      </c>
      <c r="X35" s="653" t="str">
        <f t="shared" si="11"/>
        <v>--</v>
      </c>
      <c r="Y35" s="654" t="str">
        <f t="shared" si="12"/>
        <v>--</v>
      </c>
      <c r="Z35" s="655" t="str">
        <f t="shared" si="13"/>
        <v>--</v>
      </c>
      <c r="AA35" s="656" t="str">
        <f t="shared" si="14"/>
        <v>--</v>
      </c>
      <c r="AB35" s="657" t="str">
        <f t="shared" si="15"/>
        <v>--</v>
      </c>
      <c r="AC35" s="658" t="str">
        <f t="shared" si="16"/>
        <v>--</v>
      </c>
      <c r="AD35" s="192">
        <f t="shared" si="17"/>
      </c>
      <c r="AE35" s="193">
        <f t="shared" si="18"/>
      </c>
      <c r="AF35" s="194"/>
    </row>
    <row r="36" spans="2:32" s="8" customFormat="1" ht="16.5" customHeight="1">
      <c r="B36" s="55"/>
      <c r="C36" s="170"/>
      <c r="D36" s="170"/>
      <c r="E36" s="170"/>
      <c r="F36" s="197"/>
      <c r="G36" s="198"/>
      <c r="H36" s="199"/>
      <c r="I36" s="198"/>
      <c r="J36" s="173">
        <f t="shared" si="0"/>
        <v>20</v>
      </c>
      <c r="K36" s="174" t="e">
        <f t="shared" si="1"/>
        <v>#VALUE!</v>
      </c>
      <c r="L36" s="200"/>
      <c r="M36" s="202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649" t="str">
        <f t="shared" si="7"/>
        <v>--</v>
      </c>
      <c r="U36" s="650" t="str">
        <f t="shared" si="8"/>
        <v>--</v>
      </c>
      <c r="V36" s="651" t="str">
        <f t="shared" si="9"/>
        <v>--</v>
      </c>
      <c r="W36" s="652" t="str">
        <f t="shared" si="10"/>
        <v>--</v>
      </c>
      <c r="X36" s="653" t="str">
        <f t="shared" si="11"/>
        <v>--</v>
      </c>
      <c r="Y36" s="654" t="str">
        <f t="shared" si="12"/>
        <v>--</v>
      </c>
      <c r="Z36" s="655" t="str">
        <f t="shared" si="13"/>
        <v>--</v>
      </c>
      <c r="AA36" s="656" t="str">
        <f t="shared" si="14"/>
        <v>--</v>
      </c>
      <c r="AB36" s="657" t="str">
        <f t="shared" si="15"/>
        <v>--</v>
      </c>
      <c r="AC36" s="658" t="str">
        <f t="shared" si="16"/>
        <v>--</v>
      </c>
      <c r="AD36" s="192">
        <f t="shared" si="17"/>
      </c>
      <c r="AE36" s="193">
        <f t="shared" si="18"/>
      </c>
      <c r="AF36" s="194"/>
    </row>
    <row r="37" spans="2:32" s="8" customFormat="1" ht="16.5" customHeight="1">
      <c r="B37" s="55"/>
      <c r="C37" s="151"/>
      <c r="D37" s="151"/>
      <c r="E37" s="151"/>
      <c r="F37" s="197"/>
      <c r="G37" s="198"/>
      <c r="H37" s="199"/>
      <c r="I37" s="198"/>
      <c r="J37" s="173">
        <f t="shared" si="0"/>
        <v>20</v>
      </c>
      <c r="K37" s="174" t="e">
        <f t="shared" si="1"/>
        <v>#VALUE!</v>
      </c>
      <c r="L37" s="200"/>
      <c r="M37" s="202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649" t="str">
        <f t="shared" si="7"/>
        <v>--</v>
      </c>
      <c r="U37" s="650" t="str">
        <f t="shared" si="8"/>
        <v>--</v>
      </c>
      <c r="V37" s="651" t="str">
        <f t="shared" si="9"/>
        <v>--</v>
      </c>
      <c r="W37" s="652" t="str">
        <f t="shared" si="10"/>
        <v>--</v>
      </c>
      <c r="X37" s="653" t="str">
        <f t="shared" si="11"/>
        <v>--</v>
      </c>
      <c r="Y37" s="654" t="str">
        <f t="shared" si="12"/>
        <v>--</v>
      </c>
      <c r="Z37" s="655" t="str">
        <f t="shared" si="13"/>
        <v>--</v>
      </c>
      <c r="AA37" s="656" t="str">
        <f t="shared" si="14"/>
        <v>--</v>
      </c>
      <c r="AB37" s="657" t="str">
        <f t="shared" si="15"/>
        <v>--</v>
      </c>
      <c r="AC37" s="658" t="str">
        <f t="shared" si="16"/>
        <v>--</v>
      </c>
      <c r="AD37" s="192">
        <f t="shared" si="17"/>
      </c>
      <c r="AE37" s="193">
        <f t="shared" si="18"/>
      </c>
      <c r="AF37" s="194"/>
    </row>
    <row r="38" spans="2:32" s="8" customFormat="1" ht="16.5" customHeight="1">
      <c r="B38" s="55"/>
      <c r="C38" s="170"/>
      <c r="D38" s="170"/>
      <c r="E38" s="170"/>
      <c r="F38" s="197"/>
      <c r="G38" s="198"/>
      <c r="H38" s="199"/>
      <c r="I38" s="198"/>
      <c r="J38" s="173">
        <f t="shared" si="0"/>
        <v>20</v>
      </c>
      <c r="K38" s="174" t="e">
        <f t="shared" si="1"/>
        <v>#VALUE!</v>
      </c>
      <c r="L38" s="200"/>
      <c r="M38" s="202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649" t="str">
        <f t="shared" si="7"/>
        <v>--</v>
      </c>
      <c r="U38" s="650" t="str">
        <f t="shared" si="8"/>
        <v>--</v>
      </c>
      <c r="V38" s="651" t="str">
        <f t="shared" si="9"/>
        <v>--</v>
      </c>
      <c r="W38" s="652" t="str">
        <f t="shared" si="10"/>
        <v>--</v>
      </c>
      <c r="X38" s="653" t="str">
        <f t="shared" si="11"/>
        <v>--</v>
      </c>
      <c r="Y38" s="654" t="str">
        <f t="shared" si="12"/>
        <v>--</v>
      </c>
      <c r="Z38" s="655" t="str">
        <f t="shared" si="13"/>
        <v>--</v>
      </c>
      <c r="AA38" s="656" t="str">
        <f t="shared" si="14"/>
        <v>--</v>
      </c>
      <c r="AB38" s="657" t="str">
        <f t="shared" si="15"/>
        <v>--</v>
      </c>
      <c r="AC38" s="658" t="str">
        <f t="shared" si="16"/>
        <v>--</v>
      </c>
      <c r="AD38" s="192">
        <f t="shared" si="17"/>
      </c>
      <c r="AE38" s="193">
        <f t="shared" si="18"/>
      </c>
      <c r="AF38" s="194"/>
    </row>
    <row r="39" spans="2:32" s="8" customFormat="1" ht="16.5" customHeight="1">
      <c r="B39" s="55"/>
      <c r="C39" s="151"/>
      <c r="D39" s="151"/>
      <c r="E39" s="151"/>
      <c r="F39" s="197"/>
      <c r="G39" s="198"/>
      <c r="H39" s="199"/>
      <c r="I39" s="198"/>
      <c r="J39" s="173">
        <f t="shared" si="0"/>
        <v>20</v>
      </c>
      <c r="K39" s="174" t="e">
        <f t="shared" si="1"/>
        <v>#VALUE!</v>
      </c>
      <c r="L39" s="200"/>
      <c r="M39" s="202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649" t="str">
        <f t="shared" si="7"/>
        <v>--</v>
      </c>
      <c r="U39" s="650" t="str">
        <f t="shared" si="8"/>
        <v>--</v>
      </c>
      <c r="V39" s="651" t="str">
        <f t="shared" si="9"/>
        <v>--</v>
      </c>
      <c r="W39" s="652" t="str">
        <f t="shared" si="10"/>
        <v>--</v>
      </c>
      <c r="X39" s="653" t="str">
        <f t="shared" si="11"/>
        <v>--</v>
      </c>
      <c r="Y39" s="654" t="str">
        <f t="shared" si="12"/>
        <v>--</v>
      </c>
      <c r="Z39" s="655" t="str">
        <f t="shared" si="13"/>
        <v>--</v>
      </c>
      <c r="AA39" s="656" t="str">
        <f t="shared" si="14"/>
        <v>--</v>
      </c>
      <c r="AB39" s="657" t="str">
        <f t="shared" si="15"/>
        <v>--</v>
      </c>
      <c r="AC39" s="658" t="str">
        <f t="shared" si="16"/>
        <v>--</v>
      </c>
      <c r="AD39" s="192">
        <f t="shared" si="17"/>
      </c>
      <c r="AE39" s="193">
        <f t="shared" si="18"/>
      </c>
      <c r="AF39" s="194"/>
    </row>
    <row r="40" spans="2:32" s="8" customFormat="1" ht="16.5" customHeight="1" thickBot="1">
      <c r="B40" s="55"/>
      <c r="C40" s="170"/>
      <c r="D40" s="203"/>
      <c r="E40" s="170"/>
      <c r="F40" s="204"/>
      <c r="G40" s="205"/>
      <c r="H40" s="206"/>
      <c r="I40" s="207"/>
      <c r="J40" s="208"/>
      <c r="K40" s="209"/>
      <c r="L40" s="210"/>
      <c r="M40" s="210"/>
      <c r="N40" s="211"/>
      <c r="O40" s="211"/>
      <c r="P40" s="212"/>
      <c r="Q40" s="213"/>
      <c r="R40" s="212"/>
      <c r="S40" s="212"/>
      <c r="T40" s="214"/>
      <c r="U40" s="215"/>
      <c r="V40" s="216"/>
      <c r="W40" s="217"/>
      <c r="X40" s="218"/>
      <c r="Y40" s="219"/>
      <c r="Z40" s="220"/>
      <c r="AA40" s="221"/>
      <c r="AB40" s="222"/>
      <c r="AC40" s="223"/>
      <c r="AD40" s="224"/>
      <c r="AE40" s="225"/>
      <c r="AF40" s="194"/>
    </row>
    <row r="41" spans="2:32" s="8" customFormat="1" ht="16.5" customHeight="1" thickBot="1" thickTop="1">
      <c r="B41" s="55"/>
      <c r="C41" s="625" t="s">
        <v>324</v>
      </c>
      <c r="D41" s="626" t="s">
        <v>525</v>
      </c>
      <c r="E41" s="226"/>
      <c r="F41" s="227"/>
      <c r="G41" s="228"/>
      <c r="H41" s="229"/>
      <c r="I41" s="230"/>
      <c r="J41" s="229"/>
      <c r="K41" s="231"/>
      <c r="L41" s="231"/>
      <c r="M41" s="231"/>
      <c r="N41" s="231"/>
      <c r="O41" s="231"/>
      <c r="P41" s="231"/>
      <c r="Q41" s="232"/>
      <c r="R41" s="231"/>
      <c r="S41" s="231"/>
      <c r="T41" s="233">
        <f aca="true" t="shared" si="19" ref="T41:AC41">SUM(T18:T40)</f>
        <v>337.74355692</v>
      </c>
      <c r="U41" s="234">
        <f t="shared" si="19"/>
        <v>0</v>
      </c>
      <c r="V41" s="235">
        <f t="shared" si="19"/>
        <v>8079.9893999999995</v>
      </c>
      <c r="W41" s="235">
        <f t="shared" si="19"/>
        <v>0</v>
      </c>
      <c r="X41" s="235">
        <f t="shared" si="19"/>
        <v>0</v>
      </c>
      <c r="Y41" s="236">
        <f t="shared" si="19"/>
        <v>0</v>
      </c>
      <c r="Z41" s="236">
        <f t="shared" si="19"/>
        <v>0</v>
      </c>
      <c r="AA41" s="236">
        <f t="shared" si="19"/>
        <v>0</v>
      </c>
      <c r="AB41" s="237">
        <f t="shared" si="19"/>
        <v>0</v>
      </c>
      <c r="AC41" s="238">
        <f t="shared" si="19"/>
        <v>0</v>
      </c>
      <c r="AD41" s="239"/>
      <c r="AE41" s="240">
        <f>ROUND(SUM(AE18:AE40),2)</f>
        <v>8417.73</v>
      </c>
      <c r="AF41" s="194"/>
    </row>
    <row r="42" spans="2:32" s="8" customFormat="1" ht="16.5" customHeight="1" thickBot="1" thickTop="1"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3"/>
    </row>
    <row r="43" spans="2:32" ht="16.5" customHeight="1" thickTop="1">
      <c r="B43" s="244"/>
      <c r="C43" s="244"/>
      <c r="D43" s="244"/>
      <c r="AF43" s="244"/>
    </row>
  </sheetData>
  <sheetProtection password="CC12"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AF44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640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'TOT-0312'!B2</f>
        <v>ANEXO IV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27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245" customFormat="1" ht="33" customHeight="1">
      <c r="B10" s="246"/>
      <c r="C10" s="247"/>
      <c r="D10" s="247"/>
      <c r="E10" s="247"/>
      <c r="F10" s="641" t="s">
        <v>28</v>
      </c>
      <c r="G10" s="247"/>
      <c r="H10" s="247"/>
      <c r="I10" s="247"/>
      <c r="K10" s="247"/>
      <c r="L10" s="247"/>
      <c r="M10" s="247"/>
      <c r="N10" s="247"/>
      <c r="O10" s="247"/>
      <c r="P10" s="247"/>
      <c r="Q10" s="247"/>
      <c r="R10" s="641"/>
      <c r="S10" s="641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642"/>
    </row>
    <row r="11" spans="2:32" s="248" customFormat="1" ht="33" customHeight="1">
      <c r="B11" s="249"/>
      <c r="C11" s="250"/>
      <c r="D11" s="250"/>
      <c r="E11" s="250"/>
      <c r="F11" s="643" t="s">
        <v>335</v>
      </c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645"/>
    </row>
    <row r="12" spans="2:32" s="34" customFormat="1" ht="19.5">
      <c r="B12" s="35" t="str">
        <f>'TOT-0312'!B14</f>
        <v>Desde el 01 al 31 de Marzo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2"/>
      <c r="Q12" s="10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3"/>
    </row>
    <row r="13" spans="2:32" s="8" customFormat="1" ht="16.5" customHeight="1" thickBot="1">
      <c r="B13" s="55"/>
      <c r="C13" s="11"/>
      <c r="D13" s="11"/>
      <c r="E13" s="11"/>
      <c r="F13" s="11"/>
      <c r="G13" s="86"/>
      <c r="H13" s="86"/>
      <c r="I13" s="11"/>
      <c r="J13" s="11"/>
      <c r="K13" s="11"/>
      <c r="L13" s="104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8" customFormat="1" ht="16.5" customHeight="1" thickBot="1" thickTop="1">
      <c r="B14" s="55"/>
      <c r="C14" s="11"/>
      <c r="D14" s="11"/>
      <c r="E14" s="11"/>
      <c r="F14" s="105" t="s">
        <v>30</v>
      </c>
      <c r="G14" s="106">
        <f>0.6*236.257*0.666</f>
        <v>94.4082972</v>
      </c>
      <c r="H14" s="10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0"/>
    </row>
    <row r="15" spans="2:32" s="8" customFormat="1" ht="16.5" customHeight="1" thickBot="1" thickTop="1">
      <c r="B15" s="55"/>
      <c r="C15" s="11"/>
      <c r="D15" s="11"/>
      <c r="E15" s="11"/>
      <c r="F15" s="105" t="s">
        <v>31</v>
      </c>
      <c r="G15" s="106" t="s">
        <v>325</v>
      </c>
      <c r="H15" s="107"/>
      <c r="I15" s="11"/>
      <c r="J15" s="11"/>
      <c r="K15" s="11"/>
      <c r="L15" s="108"/>
      <c r="M15" s="10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0"/>
      <c r="Y15" s="110"/>
      <c r="Z15" s="110"/>
      <c r="AA15" s="110"/>
      <c r="AB15" s="110"/>
      <c r="AC15" s="110"/>
      <c r="AD15" s="110"/>
      <c r="AF15" s="100"/>
    </row>
    <row r="16" spans="2:32" s="8" customFormat="1" ht="16.5" customHeight="1" thickBot="1" thickTop="1">
      <c r="B16" s="55"/>
      <c r="C16" s="111">
        <v>3</v>
      </c>
      <c r="D16" s="111">
        <v>4</v>
      </c>
      <c r="E16" s="111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11">
        <v>12</v>
      </c>
      <c r="M16" s="111">
        <v>13</v>
      </c>
      <c r="N16" s="111">
        <v>14</v>
      </c>
      <c r="O16" s="111">
        <v>15</v>
      </c>
      <c r="P16" s="111">
        <v>16</v>
      </c>
      <c r="Q16" s="111">
        <v>17</v>
      </c>
      <c r="R16" s="111">
        <v>18</v>
      </c>
      <c r="S16" s="111">
        <v>19</v>
      </c>
      <c r="T16" s="111">
        <v>20</v>
      </c>
      <c r="U16" s="111">
        <v>21</v>
      </c>
      <c r="V16" s="111">
        <v>22</v>
      </c>
      <c r="W16" s="111">
        <v>23</v>
      </c>
      <c r="X16" s="111">
        <v>24</v>
      </c>
      <c r="Y16" s="111">
        <v>25</v>
      </c>
      <c r="Z16" s="111">
        <v>26</v>
      </c>
      <c r="AA16" s="111">
        <v>27</v>
      </c>
      <c r="AB16" s="111">
        <v>28</v>
      </c>
      <c r="AC16" s="111">
        <v>29</v>
      </c>
      <c r="AD16" s="111">
        <v>30</v>
      </c>
      <c r="AE16" s="111">
        <v>31</v>
      </c>
      <c r="AF16" s="100"/>
    </row>
    <row r="17" spans="2:32" s="8" customFormat="1" ht="33.75" customHeight="1" thickBot="1" thickTop="1">
      <c r="B17" s="55"/>
      <c r="C17" s="112" t="s">
        <v>32</v>
      </c>
      <c r="D17" s="112" t="s">
        <v>33</v>
      </c>
      <c r="E17" s="112" t="s">
        <v>34</v>
      </c>
      <c r="F17" s="113" t="s">
        <v>5</v>
      </c>
      <c r="G17" s="114" t="s">
        <v>35</v>
      </c>
      <c r="H17" s="115" t="s">
        <v>36</v>
      </c>
      <c r="I17" s="116" t="s">
        <v>37</v>
      </c>
      <c r="J17" s="117" t="s">
        <v>38</v>
      </c>
      <c r="K17" s="118" t="s">
        <v>39</v>
      </c>
      <c r="L17" s="113" t="s">
        <v>40</v>
      </c>
      <c r="M17" s="119" t="s">
        <v>41</v>
      </c>
      <c r="N17" s="120" t="s">
        <v>42</v>
      </c>
      <c r="O17" s="115" t="s">
        <v>43</v>
      </c>
      <c r="P17" s="120" t="s">
        <v>251</v>
      </c>
      <c r="Q17" s="115" t="s">
        <v>44</v>
      </c>
      <c r="R17" s="119" t="s">
        <v>45</v>
      </c>
      <c r="S17" s="113" t="s">
        <v>46</v>
      </c>
      <c r="T17" s="121" t="s">
        <v>47</v>
      </c>
      <c r="U17" s="122" t="s">
        <v>48</v>
      </c>
      <c r="V17" s="123" t="s">
        <v>49</v>
      </c>
      <c r="W17" s="124"/>
      <c r="X17" s="125"/>
      <c r="Y17" s="126" t="s">
        <v>50</v>
      </c>
      <c r="Z17" s="127"/>
      <c r="AA17" s="128"/>
      <c r="AB17" s="129" t="s">
        <v>51</v>
      </c>
      <c r="AC17" s="130" t="s">
        <v>52</v>
      </c>
      <c r="AD17" s="131" t="s">
        <v>53</v>
      </c>
      <c r="AE17" s="131" t="s">
        <v>54</v>
      </c>
      <c r="AF17" s="132"/>
    </row>
    <row r="18" spans="2:32" s="8" customFormat="1" ht="16.5" customHeight="1" thickTop="1">
      <c r="B18" s="55"/>
      <c r="C18" s="133"/>
      <c r="D18" s="133"/>
      <c r="E18" s="133"/>
      <c r="F18" s="134"/>
      <c r="G18" s="134"/>
      <c r="H18" s="135"/>
      <c r="I18" s="136"/>
      <c r="J18" s="137"/>
      <c r="K18" s="138"/>
      <c r="L18" s="139"/>
      <c r="M18" s="139"/>
      <c r="N18" s="136"/>
      <c r="O18" s="136"/>
      <c r="P18" s="136"/>
      <c r="Q18" s="136"/>
      <c r="R18" s="136"/>
      <c r="S18" s="136"/>
      <c r="T18" s="140"/>
      <c r="U18" s="141"/>
      <c r="V18" s="142"/>
      <c r="W18" s="143"/>
      <c r="X18" s="144"/>
      <c r="Y18" s="145"/>
      <c r="Z18" s="146"/>
      <c r="AA18" s="147"/>
      <c r="AB18" s="148"/>
      <c r="AC18" s="149"/>
      <c r="AD18" s="136"/>
      <c r="AE18" s="150"/>
      <c r="AF18" s="100"/>
    </row>
    <row r="19" spans="2:32" s="8" customFormat="1" ht="16.5" customHeight="1">
      <c r="B19" s="55"/>
      <c r="C19" s="152"/>
      <c r="D19" s="152"/>
      <c r="E19" s="152"/>
      <c r="F19" s="251"/>
      <c r="G19" s="251"/>
      <c r="H19" s="663"/>
      <c r="I19" s="664"/>
      <c r="J19" s="665"/>
      <c r="K19" s="666"/>
      <c r="L19" s="667"/>
      <c r="M19" s="668"/>
      <c r="N19" s="664"/>
      <c r="O19" s="664"/>
      <c r="P19" s="669"/>
      <c r="Q19" s="664"/>
      <c r="R19" s="664"/>
      <c r="S19" s="664"/>
      <c r="T19" s="670"/>
      <c r="U19" s="671"/>
      <c r="V19" s="672"/>
      <c r="W19" s="673"/>
      <c r="X19" s="669"/>
      <c r="Y19" s="674"/>
      <c r="Z19" s="675"/>
      <c r="AA19" s="676"/>
      <c r="AB19" s="677"/>
      <c r="AC19" s="678"/>
      <c r="AD19" s="664"/>
      <c r="AE19" s="679"/>
      <c r="AF19" s="100"/>
    </row>
    <row r="20" spans="2:32" s="8" customFormat="1" ht="16.5" customHeight="1">
      <c r="B20" s="55"/>
      <c r="C20" s="251">
        <v>17</v>
      </c>
      <c r="D20" s="251">
        <v>245317</v>
      </c>
      <c r="E20" s="251">
        <v>5120</v>
      </c>
      <c r="F20" s="646" t="s">
        <v>329</v>
      </c>
      <c r="G20" s="647">
        <v>500</v>
      </c>
      <c r="H20" s="648">
        <v>519.3</v>
      </c>
      <c r="I20" s="647" t="s">
        <v>258</v>
      </c>
      <c r="J20" s="173">
        <f aca="true" t="shared" si="0" ref="J20:J40">IF(I20="A",200,IF(I20="B",60,20))</f>
        <v>20</v>
      </c>
      <c r="K20" s="174">
        <f aca="true" t="shared" si="1" ref="K20:K40">IF(G20=500,IF(H20&lt;100,100*$G$14/100,H20*$G$14/100),IF(H20&lt;100,100*$G$15/100,H20*$G$15/100))</f>
        <v>490.2622873596</v>
      </c>
      <c r="L20" s="175">
        <v>40973.311111111114</v>
      </c>
      <c r="M20" s="176">
        <v>40973.39791666667</v>
      </c>
      <c r="N20" s="177">
        <f aca="true" t="shared" si="2" ref="N20:N40">IF(F20="","",(M20-L20)*24)</f>
        <v>2.083333333313931</v>
      </c>
      <c r="O20" s="178">
        <f aca="true" t="shared" si="3" ref="O20:O40">IF(F20="","",ROUND((M20-L20)*24*60,0))</f>
        <v>125</v>
      </c>
      <c r="P20" s="179" t="s">
        <v>253</v>
      </c>
      <c r="Q20" s="180" t="str">
        <f aca="true" t="shared" si="4" ref="Q20:Q40">IF(F20="","","--")</f>
        <v>--</v>
      </c>
      <c r="R20" s="181" t="str">
        <f aca="true" t="shared" si="5" ref="R20:R40">IF(F20="","","NO")</f>
        <v>NO</v>
      </c>
      <c r="S20" s="181" t="str">
        <f>IF(F20="","",IF(OR(P20="P",P20="RP"),"--","NO"))</f>
        <v>--</v>
      </c>
      <c r="T20" s="649">
        <f aca="true" t="shared" si="6" ref="T20:T40">IF(P20="P",K20*J20*ROUND(O20/60,2)*0.01,"--")</f>
        <v>203.94911154159362</v>
      </c>
      <c r="U20" s="650" t="str">
        <f aca="true" t="shared" si="7" ref="U20:U40">IF(P20="RP",K20*J20*ROUND(O20/60,2)*0.01*Q20/100,"--")</f>
        <v>--</v>
      </c>
      <c r="V20" s="651" t="str">
        <f aca="true" t="shared" si="8" ref="V20:V40">IF(AND(P20="F",S20="NO"),K20*J20*IF(R20="SI",1.2,1),"--")</f>
        <v>--</v>
      </c>
      <c r="W20" s="652" t="str">
        <f aca="true" t="shared" si="9" ref="W20:W40">IF(AND(P20="F",O20&gt;=10),K20*J20*IF(R20="SI",1.2,1)*IF(O20&lt;=300,ROUND(O20/60,2),5),"--")</f>
        <v>--</v>
      </c>
      <c r="X20" s="653" t="str">
        <f aca="true" t="shared" si="10" ref="X20:X40">IF(AND(P20="F",O20&gt;300),(ROUND(O20/60,2)-5)*K20*J20*0.1*IF(R20="SI",1.2,1),"--")</f>
        <v>--</v>
      </c>
      <c r="Y20" s="654" t="str">
        <f aca="true" t="shared" si="11" ref="Y20:Y40">IF(AND(P20="R",S20="NO"),K20*J20*Q20/100*IF(R20="SI",1.2,1),"--")</f>
        <v>--</v>
      </c>
      <c r="Z20" s="655" t="str">
        <f aca="true" t="shared" si="12" ref="Z20:Z40">IF(AND(P20="R",O20&gt;=10),K20*J20*Q20/100*IF(R20="SI",1.2,1)*IF(O20&lt;=300,ROUND(O20/60,2),5),"--")</f>
        <v>--</v>
      </c>
      <c r="AA20" s="656" t="str">
        <f aca="true" t="shared" si="13" ref="AA20:AA40">IF(AND(P20="R",O20&gt;300),(ROUND(O20/60,2)-5)*K20*J20*0.1*Q20/100*IF(R20="SI",1.2,1),"--")</f>
        <v>--</v>
      </c>
      <c r="AB20" s="657" t="str">
        <f aca="true" t="shared" si="14" ref="AB20:AB40">IF(P20="RF",ROUND(O20/60,2)*K20*J20*0.1*IF(R20="SI",1.2,1),"--")</f>
        <v>--</v>
      </c>
      <c r="AC20" s="658" t="str">
        <f aca="true" t="shared" si="15" ref="AC20:AC40">IF(P20="RR",ROUND(O20/60,2)*K20*J20*0.1*Q20/100*IF(R20="SI",1.2,1),"--")</f>
        <v>--</v>
      </c>
      <c r="AD20" s="659" t="str">
        <f aca="true" t="shared" si="16" ref="AD20:AD40">IF(F20="","","SI")</f>
        <v>SI</v>
      </c>
      <c r="AE20" s="193">
        <f aca="true" t="shared" si="17" ref="AE20:AE40">IF(F20="","",SUM(T20:AC20)*IF(AD20="SI",1,2))</f>
        <v>203.94911154159362</v>
      </c>
      <c r="AF20" s="100"/>
    </row>
    <row r="21" spans="2:32" s="8" customFormat="1" ht="16.5" customHeight="1">
      <c r="B21" s="55"/>
      <c r="C21" s="251">
        <v>18</v>
      </c>
      <c r="D21" s="251">
        <v>245324</v>
      </c>
      <c r="E21" s="251">
        <v>5120</v>
      </c>
      <c r="F21" s="646" t="s">
        <v>329</v>
      </c>
      <c r="G21" s="647">
        <v>500</v>
      </c>
      <c r="H21" s="648">
        <v>519.3</v>
      </c>
      <c r="I21" s="647" t="s">
        <v>258</v>
      </c>
      <c r="J21" s="173">
        <f t="shared" si="0"/>
        <v>20</v>
      </c>
      <c r="K21" s="174">
        <f t="shared" si="1"/>
        <v>490.2622873596</v>
      </c>
      <c r="L21" s="175">
        <v>40974.364583333336</v>
      </c>
      <c r="M21" s="176">
        <v>40974.441666666666</v>
      </c>
      <c r="N21" s="177">
        <f t="shared" si="2"/>
        <v>1.8499999999185093</v>
      </c>
      <c r="O21" s="178">
        <f t="shared" si="3"/>
        <v>111</v>
      </c>
      <c r="P21" s="179" t="s">
        <v>253</v>
      </c>
      <c r="Q21" s="180" t="str">
        <f t="shared" si="4"/>
        <v>--</v>
      </c>
      <c r="R21" s="181" t="str">
        <f t="shared" si="5"/>
        <v>NO</v>
      </c>
      <c r="S21" s="181" t="str">
        <f>IF(F21="","",IF(OR(P21="P",P21="RP"),"--","NO"))</f>
        <v>--</v>
      </c>
      <c r="T21" s="649">
        <f t="shared" si="6"/>
        <v>181.39704632305202</v>
      </c>
      <c r="U21" s="650" t="str">
        <f t="shared" si="7"/>
        <v>--</v>
      </c>
      <c r="V21" s="651" t="str">
        <f t="shared" si="8"/>
        <v>--</v>
      </c>
      <c r="W21" s="652" t="str">
        <f t="shared" si="9"/>
        <v>--</v>
      </c>
      <c r="X21" s="653" t="str">
        <f t="shared" si="10"/>
        <v>--</v>
      </c>
      <c r="Y21" s="654" t="str">
        <f t="shared" si="11"/>
        <v>--</v>
      </c>
      <c r="Z21" s="655" t="str">
        <f t="shared" si="12"/>
        <v>--</v>
      </c>
      <c r="AA21" s="656" t="str">
        <f t="shared" si="13"/>
        <v>--</v>
      </c>
      <c r="AB21" s="657" t="str">
        <f t="shared" si="14"/>
        <v>--</v>
      </c>
      <c r="AC21" s="658" t="str">
        <f t="shared" si="15"/>
        <v>--</v>
      </c>
      <c r="AD21" s="659" t="str">
        <f t="shared" si="16"/>
        <v>SI</v>
      </c>
      <c r="AE21" s="193">
        <f t="shared" si="17"/>
        <v>181.39704632305202</v>
      </c>
      <c r="AF21" s="194"/>
    </row>
    <row r="22" spans="2:32" s="8" customFormat="1" ht="16.5" customHeight="1">
      <c r="B22" s="55"/>
      <c r="C22" s="151">
        <v>19</v>
      </c>
      <c r="D22" s="151">
        <v>245639</v>
      </c>
      <c r="E22" s="251">
        <v>5120</v>
      </c>
      <c r="F22" s="646" t="s">
        <v>329</v>
      </c>
      <c r="G22" s="647">
        <v>500</v>
      </c>
      <c r="H22" s="648">
        <v>519.3</v>
      </c>
      <c r="I22" s="647" t="s">
        <v>258</v>
      </c>
      <c r="J22" s="173">
        <f t="shared" si="0"/>
        <v>20</v>
      </c>
      <c r="K22" s="174">
        <f t="shared" si="1"/>
        <v>490.2622873596</v>
      </c>
      <c r="L22" s="660">
        <v>40981.40138888889</v>
      </c>
      <c r="M22" s="176">
        <v>40981.634722222225</v>
      </c>
      <c r="N22" s="177">
        <f t="shared" si="2"/>
        <v>5.600000000093132</v>
      </c>
      <c r="O22" s="178">
        <f t="shared" si="3"/>
        <v>336</v>
      </c>
      <c r="P22" s="179" t="s">
        <v>253</v>
      </c>
      <c r="Q22" s="180" t="str">
        <f t="shared" si="4"/>
        <v>--</v>
      </c>
      <c r="R22" s="181" t="str">
        <f t="shared" si="5"/>
        <v>NO</v>
      </c>
      <c r="S22" s="181" t="str">
        <f>IF(F22="","",IF(OR(P22="P",P22="RP"),"--","NO"))</f>
        <v>--</v>
      </c>
      <c r="T22" s="649">
        <f t="shared" si="6"/>
        <v>549.093761842752</v>
      </c>
      <c r="U22" s="650" t="str">
        <f t="shared" si="7"/>
        <v>--</v>
      </c>
      <c r="V22" s="651" t="str">
        <f t="shared" si="8"/>
        <v>--</v>
      </c>
      <c r="W22" s="652" t="str">
        <f t="shared" si="9"/>
        <v>--</v>
      </c>
      <c r="X22" s="653" t="str">
        <f t="shared" si="10"/>
        <v>--</v>
      </c>
      <c r="Y22" s="654" t="str">
        <f t="shared" si="11"/>
        <v>--</v>
      </c>
      <c r="Z22" s="655" t="str">
        <f t="shared" si="12"/>
        <v>--</v>
      </c>
      <c r="AA22" s="656" t="str">
        <f t="shared" si="13"/>
        <v>--</v>
      </c>
      <c r="AB22" s="657" t="str">
        <f t="shared" si="14"/>
        <v>--</v>
      </c>
      <c r="AC22" s="658" t="str">
        <f t="shared" si="15"/>
        <v>--</v>
      </c>
      <c r="AD22" s="659" t="str">
        <f t="shared" si="16"/>
        <v>SI</v>
      </c>
      <c r="AE22" s="193">
        <f t="shared" si="17"/>
        <v>549.093761842752</v>
      </c>
      <c r="AF22" s="194"/>
    </row>
    <row r="23" spans="2:32" s="8" customFormat="1" ht="16.5" customHeight="1">
      <c r="B23" s="55"/>
      <c r="C23" s="170">
        <v>20</v>
      </c>
      <c r="D23" s="170">
        <v>245659</v>
      </c>
      <c r="E23" s="251">
        <v>5120</v>
      </c>
      <c r="F23" s="646" t="s">
        <v>329</v>
      </c>
      <c r="G23" s="647">
        <v>500</v>
      </c>
      <c r="H23" s="648">
        <v>519.3</v>
      </c>
      <c r="I23" s="647" t="s">
        <v>258</v>
      </c>
      <c r="J23" s="173">
        <f t="shared" si="0"/>
        <v>20</v>
      </c>
      <c r="K23" s="174">
        <f t="shared" si="1"/>
        <v>490.2622873596</v>
      </c>
      <c r="L23" s="175">
        <v>40985.62430555555</v>
      </c>
      <c r="M23" s="175">
        <v>40985.64166666667</v>
      </c>
      <c r="N23" s="177">
        <f t="shared" si="2"/>
        <v>0.41666666680248454</v>
      </c>
      <c r="O23" s="178">
        <f t="shared" si="3"/>
        <v>25</v>
      </c>
      <c r="P23" s="179" t="s">
        <v>256</v>
      </c>
      <c r="Q23" s="180" t="str">
        <f t="shared" si="4"/>
        <v>--</v>
      </c>
      <c r="R23" s="181" t="str">
        <f t="shared" si="5"/>
        <v>NO</v>
      </c>
      <c r="S23" s="181" t="s">
        <v>77</v>
      </c>
      <c r="T23" s="649" t="str">
        <f t="shared" si="6"/>
        <v>--</v>
      </c>
      <c r="U23" s="650" t="str">
        <f t="shared" si="7"/>
        <v>--</v>
      </c>
      <c r="V23" s="651" t="str">
        <f t="shared" si="8"/>
        <v>--</v>
      </c>
      <c r="W23" s="652">
        <f t="shared" si="9"/>
        <v>4118.2032138206405</v>
      </c>
      <c r="X23" s="653" t="str">
        <f t="shared" si="10"/>
        <v>--</v>
      </c>
      <c r="Y23" s="654" t="str">
        <f t="shared" si="11"/>
        <v>--</v>
      </c>
      <c r="Z23" s="655" t="str">
        <f t="shared" si="12"/>
        <v>--</v>
      </c>
      <c r="AA23" s="656" t="str">
        <f t="shared" si="13"/>
        <v>--</v>
      </c>
      <c r="AB23" s="657" t="str">
        <f t="shared" si="14"/>
        <v>--</v>
      </c>
      <c r="AC23" s="658" t="str">
        <f t="shared" si="15"/>
        <v>--</v>
      </c>
      <c r="AD23" s="659" t="str">
        <f t="shared" si="16"/>
        <v>SI</v>
      </c>
      <c r="AE23" s="193">
        <f t="shared" si="17"/>
        <v>4118.2032138206405</v>
      </c>
      <c r="AF23" s="194"/>
    </row>
    <row r="24" spans="2:32" s="8" customFormat="1" ht="16.5" customHeight="1">
      <c r="B24" s="55"/>
      <c r="C24" s="151"/>
      <c r="D24" s="151"/>
      <c r="E24" s="151"/>
      <c r="F24" s="646"/>
      <c r="G24" s="647"/>
      <c r="H24" s="648"/>
      <c r="I24" s="647"/>
      <c r="J24" s="173">
        <f t="shared" si="0"/>
        <v>20</v>
      </c>
      <c r="K24" s="174" t="e">
        <f t="shared" si="1"/>
        <v>#VALUE!</v>
      </c>
      <c r="L24" s="195"/>
      <c r="M24" s="196"/>
      <c r="N24" s="177">
        <f t="shared" si="2"/>
      </c>
      <c r="O24" s="178">
        <f t="shared" si="3"/>
      </c>
      <c r="P24" s="179"/>
      <c r="Q24" s="180">
        <f t="shared" si="4"/>
      </c>
      <c r="R24" s="181">
        <f t="shared" si="5"/>
      </c>
      <c r="S24" s="181">
        <f aca="true" t="shared" si="18" ref="S24:S40">IF(F24="","",IF(OR(P24="P",P24="RP"),"--","NO"))</f>
      </c>
      <c r="T24" s="649" t="str">
        <f t="shared" si="6"/>
        <v>--</v>
      </c>
      <c r="U24" s="650" t="str">
        <f t="shared" si="7"/>
        <v>--</v>
      </c>
      <c r="V24" s="651" t="str">
        <f t="shared" si="8"/>
        <v>--</v>
      </c>
      <c r="W24" s="652" t="str">
        <f t="shared" si="9"/>
        <v>--</v>
      </c>
      <c r="X24" s="653" t="str">
        <f t="shared" si="10"/>
        <v>--</v>
      </c>
      <c r="Y24" s="654" t="str">
        <f t="shared" si="11"/>
        <v>--</v>
      </c>
      <c r="Z24" s="655" t="str">
        <f t="shared" si="12"/>
        <v>--</v>
      </c>
      <c r="AA24" s="656" t="str">
        <f t="shared" si="13"/>
        <v>--</v>
      </c>
      <c r="AB24" s="657" t="str">
        <f t="shared" si="14"/>
        <v>--</v>
      </c>
      <c r="AC24" s="658" t="str">
        <f t="shared" si="15"/>
        <v>--</v>
      </c>
      <c r="AD24" s="192">
        <f t="shared" si="16"/>
      </c>
      <c r="AE24" s="193">
        <f t="shared" si="17"/>
      </c>
      <c r="AF24" s="194"/>
    </row>
    <row r="25" spans="2:32" s="8" customFormat="1" ht="16.5" customHeight="1">
      <c r="B25" s="55"/>
      <c r="C25" s="170"/>
      <c r="D25" s="170"/>
      <c r="E25" s="170"/>
      <c r="F25" s="170"/>
      <c r="G25" s="171"/>
      <c r="H25" s="172"/>
      <c r="I25" s="171"/>
      <c r="J25" s="173">
        <f t="shared" si="0"/>
        <v>20</v>
      </c>
      <c r="K25" s="174" t="e">
        <f t="shared" si="1"/>
        <v>#VALUE!</v>
      </c>
      <c r="L25" s="175"/>
      <c r="M25" s="176"/>
      <c r="N25" s="177">
        <f t="shared" si="2"/>
      </c>
      <c r="O25" s="178">
        <f t="shared" si="3"/>
      </c>
      <c r="P25" s="179"/>
      <c r="Q25" s="180">
        <f t="shared" si="4"/>
      </c>
      <c r="R25" s="181">
        <f t="shared" si="5"/>
      </c>
      <c r="S25" s="181">
        <f t="shared" si="18"/>
      </c>
      <c r="T25" s="649" t="str">
        <f t="shared" si="6"/>
        <v>--</v>
      </c>
      <c r="U25" s="650" t="str">
        <f t="shared" si="7"/>
        <v>--</v>
      </c>
      <c r="V25" s="651" t="str">
        <f t="shared" si="8"/>
        <v>--</v>
      </c>
      <c r="W25" s="652" t="str">
        <f t="shared" si="9"/>
        <v>--</v>
      </c>
      <c r="X25" s="653" t="str">
        <f t="shared" si="10"/>
        <v>--</v>
      </c>
      <c r="Y25" s="654" t="str">
        <f t="shared" si="11"/>
        <v>--</v>
      </c>
      <c r="Z25" s="655" t="str">
        <f t="shared" si="12"/>
        <v>--</v>
      </c>
      <c r="AA25" s="656" t="str">
        <f t="shared" si="13"/>
        <v>--</v>
      </c>
      <c r="AB25" s="657" t="str">
        <f t="shared" si="14"/>
        <v>--</v>
      </c>
      <c r="AC25" s="658" t="str">
        <f t="shared" si="15"/>
        <v>--</v>
      </c>
      <c r="AD25" s="192">
        <f t="shared" si="16"/>
      </c>
      <c r="AE25" s="193">
        <f t="shared" si="17"/>
      </c>
      <c r="AF25" s="194"/>
    </row>
    <row r="26" spans="2:32" s="8" customFormat="1" ht="16.5" customHeight="1">
      <c r="B26" s="55"/>
      <c r="C26" s="151"/>
      <c r="D26" s="151"/>
      <c r="E26" s="151"/>
      <c r="F26" s="170"/>
      <c r="G26" s="171"/>
      <c r="H26" s="172"/>
      <c r="I26" s="171"/>
      <c r="J26" s="173">
        <f t="shared" si="0"/>
        <v>20</v>
      </c>
      <c r="K26" s="174" t="e">
        <f t="shared" si="1"/>
        <v>#VALUE!</v>
      </c>
      <c r="L26" s="175"/>
      <c r="M26" s="176"/>
      <c r="N26" s="177">
        <f t="shared" si="2"/>
      </c>
      <c r="O26" s="178">
        <f t="shared" si="3"/>
      </c>
      <c r="P26" s="179"/>
      <c r="Q26" s="180">
        <f t="shared" si="4"/>
      </c>
      <c r="R26" s="181">
        <f t="shared" si="5"/>
      </c>
      <c r="S26" s="181">
        <f t="shared" si="18"/>
      </c>
      <c r="T26" s="649" t="str">
        <f t="shared" si="6"/>
        <v>--</v>
      </c>
      <c r="U26" s="650" t="str">
        <f t="shared" si="7"/>
        <v>--</v>
      </c>
      <c r="V26" s="651" t="str">
        <f t="shared" si="8"/>
        <v>--</v>
      </c>
      <c r="W26" s="652" t="str">
        <f t="shared" si="9"/>
        <v>--</v>
      </c>
      <c r="X26" s="653" t="str">
        <f t="shared" si="10"/>
        <v>--</v>
      </c>
      <c r="Y26" s="654" t="str">
        <f t="shared" si="11"/>
        <v>--</v>
      </c>
      <c r="Z26" s="655" t="str">
        <f t="shared" si="12"/>
        <v>--</v>
      </c>
      <c r="AA26" s="656" t="str">
        <f t="shared" si="13"/>
        <v>--</v>
      </c>
      <c r="AB26" s="657" t="str">
        <f t="shared" si="14"/>
        <v>--</v>
      </c>
      <c r="AC26" s="658" t="str">
        <f t="shared" si="15"/>
        <v>--</v>
      </c>
      <c r="AD26" s="192">
        <f t="shared" si="16"/>
      </c>
      <c r="AE26" s="193">
        <f t="shared" si="17"/>
      </c>
      <c r="AF26" s="194"/>
    </row>
    <row r="27" spans="2:32" s="8" customFormat="1" ht="16.5" customHeight="1">
      <c r="B27" s="55"/>
      <c r="C27" s="170"/>
      <c r="D27" s="170"/>
      <c r="E27" s="170"/>
      <c r="F27" s="197"/>
      <c r="G27" s="198"/>
      <c r="H27" s="199"/>
      <c r="I27" s="198"/>
      <c r="J27" s="173">
        <f t="shared" si="0"/>
        <v>20</v>
      </c>
      <c r="K27" s="174" t="e">
        <f t="shared" si="1"/>
        <v>#VALUE!</v>
      </c>
      <c r="L27" s="200"/>
      <c r="M27" s="201"/>
      <c r="N27" s="177">
        <f t="shared" si="2"/>
      </c>
      <c r="O27" s="178">
        <f t="shared" si="3"/>
      </c>
      <c r="P27" s="179"/>
      <c r="Q27" s="180">
        <f t="shared" si="4"/>
      </c>
      <c r="R27" s="181">
        <f t="shared" si="5"/>
      </c>
      <c r="S27" s="181">
        <f t="shared" si="18"/>
      </c>
      <c r="T27" s="649" t="str">
        <f t="shared" si="6"/>
        <v>--</v>
      </c>
      <c r="U27" s="650" t="str">
        <f t="shared" si="7"/>
        <v>--</v>
      </c>
      <c r="V27" s="651" t="str">
        <f t="shared" si="8"/>
        <v>--</v>
      </c>
      <c r="W27" s="652" t="str">
        <f t="shared" si="9"/>
        <v>--</v>
      </c>
      <c r="X27" s="653" t="str">
        <f t="shared" si="10"/>
        <v>--</v>
      </c>
      <c r="Y27" s="654" t="str">
        <f t="shared" si="11"/>
        <v>--</v>
      </c>
      <c r="Z27" s="655" t="str">
        <f t="shared" si="12"/>
        <v>--</v>
      </c>
      <c r="AA27" s="656" t="str">
        <f t="shared" si="13"/>
        <v>--</v>
      </c>
      <c r="AB27" s="657" t="str">
        <f t="shared" si="14"/>
        <v>--</v>
      </c>
      <c r="AC27" s="658" t="str">
        <f t="shared" si="15"/>
        <v>--</v>
      </c>
      <c r="AD27" s="192">
        <f t="shared" si="16"/>
      </c>
      <c r="AE27" s="193">
        <f t="shared" si="17"/>
      </c>
      <c r="AF27" s="194"/>
    </row>
    <row r="28" spans="2:32" s="8" customFormat="1" ht="16.5" customHeight="1">
      <c r="B28" s="55"/>
      <c r="C28" s="151"/>
      <c r="D28" s="151"/>
      <c r="E28" s="151"/>
      <c r="F28" s="197"/>
      <c r="G28" s="198"/>
      <c r="H28" s="199"/>
      <c r="I28" s="198"/>
      <c r="J28" s="173">
        <f t="shared" si="0"/>
        <v>20</v>
      </c>
      <c r="K28" s="174" t="e">
        <f t="shared" si="1"/>
        <v>#VALUE!</v>
      </c>
      <c r="L28" s="200"/>
      <c r="M28" s="201"/>
      <c r="N28" s="177">
        <f t="shared" si="2"/>
      </c>
      <c r="O28" s="178">
        <f t="shared" si="3"/>
      </c>
      <c r="P28" s="179"/>
      <c r="Q28" s="180">
        <f t="shared" si="4"/>
      </c>
      <c r="R28" s="181">
        <f t="shared" si="5"/>
      </c>
      <c r="S28" s="181">
        <f t="shared" si="18"/>
      </c>
      <c r="T28" s="649" t="str">
        <f t="shared" si="6"/>
        <v>--</v>
      </c>
      <c r="U28" s="650" t="str">
        <f t="shared" si="7"/>
        <v>--</v>
      </c>
      <c r="V28" s="651" t="str">
        <f t="shared" si="8"/>
        <v>--</v>
      </c>
      <c r="W28" s="652" t="str">
        <f t="shared" si="9"/>
        <v>--</v>
      </c>
      <c r="X28" s="653" t="str">
        <f t="shared" si="10"/>
        <v>--</v>
      </c>
      <c r="Y28" s="654" t="str">
        <f t="shared" si="11"/>
        <v>--</v>
      </c>
      <c r="Z28" s="655" t="str">
        <f t="shared" si="12"/>
        <v>--</v>
      </c>
      <c r="AA28" s="656" t="str">
        <f t="shared" si="13"/>
        <v>--</v>
      </c>
      <c r="AB28" s="657" t="str">
        <f t="shared" si="14"/>
        <v>--</v>
      </c>
      <c r="AC28" s="658" t="str">
        <f t="shared" si="15"/>
        <v>--</v>
      </c>
      <c r="AD28" s="192">
        <f t="shared" si="16"/>
      </c>
      <c r="AE28" s="193">
        <f t="shared" si="17"/>
      </c>
      <c r="AF28" s="194"/>
    </row>
    <row r="29" spans="2:32" s="8" customFormat="1" ht="16.5" customHeight="1">
      <c r="B29" s="55"/>
      <c r="C29" s="170"/>
      <c r="D29" s="170"/>
      <c r="E29" s="170"/>
      <c r="F29" s="197"/>
      <c r="G29" s="198"/>
      <c r="H29" s="199"/>
      <c r="I29" s="198"/>
      <c r="J29" s="173">
        <f t="shared" si="0"/>
        <v>20</v>
      </c>
      <c r="K29" s="174" t="e">
        <f t="shared" si="1"/>
        <v>#VALUE!</v>
      </c>
      <c r="L29" s="200"/>
      <c r="M29" s="201"/>
      <c r="N29" s="177">
        <f t="shared" si="2"/>
      </c>
      <c r="O29" s="178">
        <f t="shared" si="3"/>
      </c>
      <c r="P29" s="179"/>
      <c r="Q29" s="180">
        <f t="shared" si="4"/>
      </c>
      <c r="R29" s="181">
        <f t="shared" si="5"/>
      </c>
      <c r="S29" s="181">
        <f t="shared" si="18"/>
      </c>
      <c r="T29" s="649" t="str">
        <f t="shared" si="6"/>
        <v>--</v>
      </c>
      <c r="U29" s="650" t="str">
        <f t="shared" si="7"/>
        <v>--</v>
      </c>
      <c r="V29" s="651" t="str">
        <f t="shared" si="8"/>
        <v>--</v>
      </c>
      <c r="W29" s="652" t="str">
        <f t="shared" si="9"/>
        <v>--</v>
      </c>
      <c r="X29" s="653" t="str">
        <f t="shared" si="10"/>
        <v>--</v>
      </c>
      <c r="Y29" s="654" t="str">
        <f t="shared" si="11"/>
        <v>--</v>
      </c>
      <c r="Z29" s="655" t="str">
        <f t="shared" si="12"/>
        <v>--</v>
      </c>
      <c r="AA29" s="656" t="str">
        <f t="shared" si="13"/>
        <v>--</v>
      </c>
      <c r="AB29" s="657" t="str">
        <f t="shared" si="14"/>
        <v>--</v>
      </c>
      <c r="AC29" s="658" t="str">
        <f t="shared" si="15"/>
        <v>--</v>
      </c>
      <c r="AD29" s="192">
        <f t="shared" si="16"/>
      </c>
      <c r="AE29" s="193">
        <f t="shared" si="17"/>
      </c>
      <c r="AF29" s="194"/>
    </row>
    <row r="30" spans="2:32" s="8" customFormat="1" ht="16.5" customHeight="1">
      <c r="B30" s="55"/>
      <c r="C30" s="151"/>
      <c r="D30" s="151"/>
      <c r="E30" s="151"/>
      <c r="F30" s="197"/>
      <c r="G30" s="198"/>
      <c r="H30" s="199"/>
      <c r="I30" s="198"/>
      <c r="J30" s="173">
        <f t="shared" si="0"/>
        <v>20</v>
      </c>
      <c r="K30" s="174" t="e">
        <f t="shared" si="1"/>
        <v>#VALUE!</v>
      </c>
      <c r="L30" s="200"/>
      <c r="M30" s="201"/>
      <c r="N30" s="177">
        <f t="shared" si="2"/>
      </c>
      <c r="O30" s="178">
        <f t="shared" si="3"/>
      </c>
      <c r="P30" s="179"/>
      <c r="Q30" s="180">
        <f t="shared" si="4"/>
      </c>
      <c r="R30" s="181">
        <f t="shared" si="5"/>
      </c>
      <c r="S30" s="181">
        <f t="shared" si="18"/>
      </c>
      <c r="T30" s="649" t="str">
        <f t="shared" si="6"/>
        <v>--</v>
      </c>
      <c r="U30" s="650" t="str">
        <f t="shared" si="7"/>
        <v>--</v>
      </c>
      <c r="V30" s="651" t="str">
        <f t="shared" si="8"/>
        <v>--</v>
      </c>
      <c r="W30" s="652" t="str">
        <f t="shared" si="9"/>
        <v>--</v>
      </c>
      <c r="X30" s="653" t="str">
        <f t="shared" si="10"/>
        <v>--</v>
      </c>
      <c r="Y30" s="654" t="str">
        <f t="shared" si="11"/>
        <v>--</v>
      </c>
      <c r="Z30" s="655" t="str">
        <f t="shared" si="12"/>
        <v>--</v>
      </c>
      <c r="AA30" s="656" t="str">
        <f t="shared" si="13"/>
        <v>--</v>
      </c>
      <c r="AB30" s="657" t="str">
        <f t="shared" si="14"/>
        <v>--</v>
      </c>
      <c r="AC30" s="658" t="str">
        <f t="shared" si="15"/>
        <v>--</v>
      </c>
      <c r="AD30" s="192">
        <f t="shared" si="16"/>
      </c>
      <c r="AE30" s="193">
        <f t="shared" si="17"/>
      </c>
      <c r="AF30" s="194"/>
    </row>
    <row r="31" spans="2:32" s="8" customFormat="1" ht="16.5" customHeight="1">
      <c r="B31" s="55"/>
      <c r="C31" s="170"/>
      <c r="D31" s="170"/>
      <c r="E31" s="170"/>
      <c r="F31" s="197"/>
      <c r="G31" s="198"/>
      <c r="H31" s="199"/>
      <c r="I31" s="198"/>
      <c r="J31" s="173">
        <f t="shared" si="0"/>
        <v>20</v>
      </c>
      <c r="K31" s="174" t="e">
        <f t="shared" si="1"/>
        <v>#VALUE!</v>
      </c>
      <c r="L31" s="200"/>
      <c r="M31" s="201"/>
      <c r="N31" s="177">
        <f t="shared" si="2"/>
      </c>
      <c r="O31" s="178">
        <f t="shared" si="3"/>
      </c>
      <c r="P31" s="179"/>
      <c r="Q31" s="180">
        <f t="shared" si="4"/>
      </c>
      <c r="R31" s="181">
        <f t="shared" si="5"/>
      </c>
      <c r="S31" s="181">
        <f t="shared" si="18"/>
      </c>
      <c r="T31" s="649" t="str">
        <f t="shared" si="6"/>
        <v>--</v>
      </c>
      <c r="U31" s="650" t="str">
        <f t="shared" si="7"/>
        <v>--</v>
      </c>
      <c r="V31" s="651" t="str">
        <f t="shared" si="8"/>
        <v>--</v>
      </c>
      <c r="W31" s="652" t="str">
        <f t="shared" si="9"/>
        <v>--</v>
      </c>
      <c r="X31" s="653" t="str">
        <f t="shared" si="10"/>
        <v>--</v>
      </c>
      <c r="Y31" s="654" t="str">
        <f t="shared" si="11"/>
        <v>--</v>
      </c>
      <c r="Z31" s="655" t="str">
        <f t="shared" si="12"/>
        <v>--</v>
      </c>
      <c r="AA31" s="656" t="str">
        <f t="shared" si="13"/>
        <v>--</v>
      </c>
      <c r="AB31" s="657" t="str">
        <f t="shared" si="14"/>
        <v>--</v>
      </c>
      <c r="AC31" s="658" t="str">
        <f t="shared" si="15"/>
        <v>--</v>
      </c>
      <c r="AD31" s="192">
        <f t="shared" si="16"/>
      </c>
      <c r="AE31" s="193">
        <f t="shared" si="17"/>
      </c>
      <c r="AF31" s="194"/>
    </row>
    <row r="32" spans="2:32" s="8" customFormat="1" ht="16.5" customHeight="1">
      <c r="B32" s="55"/>
      <c r="C32" s="151"/>
      <c r="D32" s="151"/>
      <c r="E32" s="151"/>
      <c r="F32" s="197"/>
      <c r="G32" s="198"/>
      <c r="H32" s="199"/>
      <c r="I32" s="198"/>
      <c r="J32" s="173">
        <f t="shared" si="0"/>
        <v>20</v>
      </c>
      <c r="K32" s="174" t="e">
        <f t="shared" si="1"/>
        <v>#VALUE!</v>
      </c>
      <c r="L32" s="200"/>
      <c r="M32" s="202"/>
      <c r="N32" s="177">
        <f t="shared" si="2"/>
      </c>
      <c r="O32" s="178">
        <f t="shared" si="3"/>
      </c>
      <c r="P32" s="179"/>
      <c r="Q32" s="180">
        <f t="shared" si="4"/>
      </c>
      <c r="R32" s="181">
        <f t="shared" si="5"/>
      </c>
      <c r="S32" s="181">
        <f t="shared" si="18"/>
      </c>
      <c r="T32" s="649" t="str">
        <f t="shared" si="6"/>
        <v>--</v>
      </c>
      <c r="U32" s="650" t="str">
        <f t="shared" si="7"/>
        <v>--</v>
      </c>
      <c r="V32" s="651" t="str">
        <f t="shared" si="8"/>
        <v>--</v>
      </c>
      <c r="W32" s="652" t="str">
        <f t="shared" si="9"/>
        <v>--</v>
      </c>
      <c r="X32" s="653" t="str">
        <f t="shared" si="10"/>
        <v>--</v>
      </c>
      <c r="Y32" s="654" t="str">
        <f t="shared" si="11"/>
        <v>--</v>
      </c>
      <c r="Z32" s="655" t="str">
        <f t="shared" si="12"/>
        <v>--</v>
      </c>
      <c r="AA32" s="656" t="str">
        <f t="shared" si="13"/>
        <v>--</v>
      </c>
      <c r="AB32" s="657" t="str">
        <f t="shared" si="14"/>
        <v>--</v>
      </c>
      <c r="AC32" s="658" t="str">
        <f t="shared" si="15"/>
        <v>--</v>
      </c>
      <c r="AD32" s="192">
        <f t="shared" si="16"/>
      </c>
      <c r="AE32" s="193">
        <f t="shared" si="17"/>
      </c>
      <c r="AF32" s="194"/>
    </row>
    <row r="33" spans="2:32" s="8" customFormat="1" ht="16.5" customHeight="1">
      <c r="B33" s="55"/>
      <c r="C33" s="170"/>
      <c r="D33" s="170"/>
      <c r="E33" s="170"/>
      <c r="F33" s="197"/>
      <c r="G33" s="198"/>
      <c r="H33" s="199"/>
      <c r="I33" s="198"/>
      <c r="J33" s="173">
        <f t="shared" si="0"/>
        <v>20</v>
      </c>
      <c r="K33" s="174" t="e">
        <f t="shared" si="1"/>
        <v>#VALUE!</v>
      </c>
      <c r="L33" s="200"/>
      <c r="M33" s="202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18"/>
      </c>
      <c r="T33" s="649" t="str">
        <f t="shared" si="6"/>
        <v>--</v>
      </c>
      <c r="U33" s="650" t="str">
        <f t="shared" si="7"/>
        <v>--</v>
      </c>
      <c r="V33" s="651" t="str">
        <f t="shared" si="8"/>
        <v>--</v>
      </c>
      <c r="W33" s="652" t="str">
        <f t="shared" si="9"/>
        <v>--</v>
      </c>
      <c r="X33" s="653" t="str">
        <f t="shared" si="10"/>
        <v>--</v>
      </c>
      <c r="Y33" s="654" t="str">
        <f t="shared" si="11"/>
        <v>--</v>
      </c>
      <c r="Z33" s="655" t="str">
        <f t="shared" si="12"/>
        <v>--</v>
      </c>
      <c r="AA33" s="656" t="str">
        <f t="shared" si="13"/>
        <v>--</v>
      </c>
      <c r="AB33" s="657" t="str">
        <f t="shared" si="14"/>
        <v>--</v>
      </c>
      <c r="AC33" s="658" t="str">
        <f t="shared" si="15"/>
        <v>--</v>
      </c>
      <c r="AD33" s="192">
        <f t="shared" si="16"/>
      </c>
      <c r="AE33" s="193">
        <f t="shared" si="17"/>
      </c>
      <c r="AF33" s="194"/>
    </row>
    <row r="34" spans="2:32" s="8" customFormat="1" ht="16.5" customHeight="1">
      <c r="B34" s="55"/>
      <c r="C34" s="151"/>
      <c r="D34" s="151"/>
      <c r="E34" s="151"/>
      <c r="F34" s="197"/>
      <c r="G34" s="198"/>
      <c r="H34" s="199"/>
      <c r="I34" s="198"/>
      <c r="J34" s="173">
        <f t="shared" si="0"/>
        <v>20</v>
      </c>
      <c r="K34" s="174" t="e">
        <f t="shared" si="1"/>
        <v>#VALUE!</v>
      </c>
      <c r="L34" s="200"/>
      <c r="M34" s="202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18"/>
      </c>
      <c r="T34" s="649" t="str">
        <f t="shared" si="6"/>
        <v>--</v>
      </c>
      <c r="U34" s="650" t="str">
        <f t="shared" si="7"/>
        <v>--</v>
      </c>
      <c r="V34" s="651" t="str">
        <f t="shared" si="8"/>
        <v>--</v>
      </c>
      <c r="W34" s="652" t="str">
        <f t="shared" si="9"/>
        <v>--</v>
      </c>
      <c r="X34" s="653" t="str">
        <f t="shared" si="10"/>
        <v>--</v>
      </c>
      <c r="Y34" s="654" t="str">
        <f t="shared" si="11"/>
        <v>--</v>
      </c>
      <c r="Z34" s="655" t="str">
        <f t="shared" si="12"/>
        <v>--</v>
      </c>
      <c r="AA34" s="656" t="str">
        <f t="shared" si="13"/>
        <v>--</v>
      </c>
      <c r="AB34" s="657" t="str">
        <f t="shared" si="14"/>
        <v>--</v>
      </c>
      <c r="AC34" s="658" t="str">
        <f t="shared" si="15"/>
        <v>--</v>
      </c>
      <c r="AD34" s="192">
        <f t="shared" si="16"/>
      </c>
      <c r="AE34" s="193">
        <f t="shared" si="17"/>
      </c>
      <c r="AF34" s="194"/>
    </row>
    <row r="35" spans="2:32" s="8" customFormat="1" ht="16.5" customHeight="1">
      <c r="B35" s="55"/>
      <c r="C35" s="170"/>
      <c r="D35" s="170"/>
      <c r="E35" s="170"/>
      <c r="F35" s="197"/>
      <c r="G35" s="198"/>
      <c r="H35" s="199"/>
      <c r="I35" s="198"/>
      <c r="J35" s="173">
        <f t="shared" si="0"/>
        <v>20</v>
      </c>
      <c r="K35" s="174" t="e">
        <f t="shared" si="1"/>
        <v>#VALUE!</v>
      </c>
      <c r="L35" s="200"/>
      <c r="M35" s="202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18"/>
      </c>
      <c r="T35" s="649" t="str">
        <f t="shared" si="6"/>
        <v>--</v>
      </c>
      <c r="U35" s="650" t="str">
        <f t="shared" si="7"/>
        <v>--</v>
      </c>
      <c r="V35" s="651" t="str">
        <f t="shared" si="8"/>
        <v>--</v>
      </c>
      <c r="W35" s="652" t="str">
        <f t="shared" si="9"/>
        <v>--</v>
      </c>
      <c r="X35" s="653" t="str">
        <f t="shared" si="10"/>
        <v>--</v>
      </c>
      <c r="Y35" s="654" t="str">
        <f t="shared" si="11"/>
        <v>--</v>
      </c>
      <c r="Z35" s="655" t="str">
        <f t="shared" si="12"/>
        <v>--</v>
      </c>
      <c r="AA35" s="656" t="str">
        <f t="shared" si="13"/>
        <v>--</v>
      </c>
      <c r="AB35" s="657" t="str">
        <f t="shared" si="14"/>
        <v>--</v>
      </c>
      <c r="AC35" s="658" t="str">
        <f t="shared" si="15"/>
        <v>--</v>
      </c>
      <c r="AD35" s="192">
        <f t="shared" si="16"/>
      </c>
      <c r="AE35" s="193">
        <f t="shared" si="17"/>
      </c>
      <c r="AF35" s="194"/>
    </row>
    <row r="36" spans="2:32" s="8" customFormat="1" ht="16.5" customHeight="1">
      <c r="B36" s="55"/>
      <c r="C36" s="151"/>
      <c r="D36" s="151"/>
      <c r="E36" s="151"/>
      <c r="F36" s="197"/>
      <c r="G36" s="198"/>
      <c r="H36" s="199"/>
      <c r="I36" s="198"/>
      <c r="J36" s="173">
        <f t="shared" si="0"/>
        <v>20</v>
      </c>
      <c r="K36" s="174" t="e">
        <f t="shared" si="1"/>
        <v>#VALUE!</v>
      </c>
      <c r="L36" s="200"/>
      <c r="M36" s="202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18"/>
      </c>
      <c r="T36" s="649" t="str">
        <f t="shared" si="6"/>
        <v>--</v>
      </c>
      <c r="U36" s="650" t="str">
        <f t="shared" si="7"/>
        <v>--</v>
      </c>
      <c r="V36" s="651" t="str">
        <f t="shared" si="8"/>
        <v>--</v>
      </c>
      <c r="W36" s="652" t="str">
        <f t="shared" si="9"/>
        <v>--</v>
      </c>
      <c r="X36" s="653" t="str">
        <f t="shared" si="10"/>
        <v>--</v>
      </c>
      <c r="Y36" s="654" t="str">
        <f t="shared" si="11"/>
        <v>--</v>
      </c>
      <c r="Z36" s="655" t="str">
        <f t="shared" si="12"/>
        <v>--</v>
      </c>
      <c r="AA36" s="656" t="str">
        <f t="shared" si="13"/>
        <v>--</v>
      </c>
      <c r="AB36" s="657" t="str">
        <f t="shared" si="14"/>
        <v>--</v>
      </c>
      <c r="AC36" s="658" t="str">
        <f t="shared" si="15"/>
        <v>--</v>
      </c>
      <c r="AD36" s="192">
        <f t="shared" si="16"/>
      </c>
      <c r="AE36" s="193">
        <f t="shared" si="17"/>
      </c>
      <c r="AF36" s="194"/>
    </row>
    <row r="37" spans="2:32" s="8" customFormat="1" ht="16.5" customHeight="1">
      <c r="B37" s="55"/>
      <c r="C37" s="170"/>
      <c r="D37" s="170"/>
      <c r="E37" s="170"/>
      <c r="F37" s="197"/>
      <c r="G37" s="198"/>
      <c r="H37" s="199"/>
      <c r="I37" s="198"/>
      <c r="J37" s="173">
        <f t="shared" si="0"/>
        <v>20</v>
      </c>
      <c r="K37" s="174" t="e">
        <f t="shared" si="1"/>
        <v>#VALUE!</v>
      </c>
      <c r="L37" s="200"/>
      <c r="M37" s="202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18"/>
      </c>
      <c r="T37" s="649" t="str">
        <f t="shared" si="6"/>
        <v>--</v>
      </c>
      <c r="U37" s="650" t="str">
        <f t="shared" si="7"/>
        <v>--</v>
      </c>
      <c r="V37" s="651" t="str">
        <f t="shared" si="8"/>
        <v>--</v>
      </c>
      <c r="W37" s="652" t="str">
        <f t="shared" si="9"/>
        <v>--</v>
      </c>
      <c r="X37" s="653" t="str">
        <f t="shared" si="10"/>
        <v>--</v>
      </c>
      <c r="Y37" s="654" t="str">
        <f t="shared" si="11"/>
        <v>--</v>
      </c>
      <c r="Z37" s="655" t="str">
        <f t="shared" si="12"/>
        <v>--</v>
      </c>
      <c r="AA37" s="656" t="str">
        <f t="shared" si="13"/>
        <v>--</v>
      </c>
      <c r="AB37" s="657" t="str">
        <f t="shared" si="14"/>
        <v>--</v>
      </c>
      <c r="AC37" s="658" t="str">
        <f t="shared" si="15"/>
        <v>--</v>
      </c>
      <c r="AD37" s="192">
        <f t="shared" si="16"/>
      </c>
      <c r="AE37" s="193">
        <f t="shared" si="17"/>
      </c>
      <c r="AF37" s="194"/>
    </row>
    <row r="38" spans="2:32" s="8" customFormat="1" ht="16.5" customHeight="1">
      <c r="B38" s="55"/>
      <c r="C38" s="151"/>
      <c r="D38" s="151"/>
      <c r="E38" s="151"/>
      <c r="F38" s="197"/>
      <c r="G38" s="198"/>
      <c r="H38" s="199"/>
      <c r="I38" s="198"/>
      <c r="J38" s="173">
        <f t="shared" si="0"/>
        <v>20</v>
      </c>
      <c r="K38" s="174" t="e">
        <f t="shared" si="1"/>
        <v>#VALUE!</v>
      </c>
      <c r="L38" s="200"/>
      <c r="M38" s="202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18"/>
      </c>
      <c r="T38" s="649" t="str">
        <f t="shared" si="6"/>
        <v>--</v>
      </c>
      <c r="U38" s="650" t="str">
        <f t="shared" si="7"/>
        <v>--</v>
      </c>
      <c r="V38" s="651" t="str">
        <f t="shared" si="8"/>
        <v>--</v>
      </c>
      <c r="W38" s="652" t="str">
        <f t="shared" si="9"/>
        <v>--</v>
      </c>
      <c r="X38" s="653" t="str">
        <f t="shared" si="10"/>
        <v>--</v>
      </c>
      <c r="Y38" s="654" t="str">
        <f t="shared" si="11"/>
        <v>--</v>
      </c>
      <c r="Z38" s="655" t="str">
        <f t="shared" si="12"/>
        <v>--</v>
      </c>
      <c r="AA38" s="656" t="str">
        <f t="shared" si="13"/>
        <v>--</v>
      </c>
      <c r="AB38" s="657" t="str">
        <f t="shared" si="14"/>
        <v>--</v>
      </c>
      <c r="AC38" s="658" t="str">
        <f t="shared" si="15"/>
        <v>--</v>
      </c>
      <c r="AD38" s="192">
        <f t="shared" si="16"/>
      </c>
      <c r="AE38" s="193">
        <f t="shared" si="17"/>
      </c>
      <c r="AF38" s="194"/>
    </row>
    <row r="39" spans="2:32" s="8" customFormat="1" ht="16.5" customHeight="1">
      <c r="B39" s="55"/>
      <c r="C39" s="170"/>
      <c r="D39" s="170"/>
      <c r="E39" s="170"/>
      <c r="F39" s="197"/>
      <c r="G39" s="198"/>
      <c r="H39" s="199"/>
      <c r="I39" s="198"/>
      <c r="J39" s="173">
        <f t="shared" si="0"/>
        <v>20</v>
      </c>
      <c r="K39" s="174" t="e">
        <f t="shared" si="1"/>
        <v>#VALUE!</v>
      </c>
      <c r="L39" s="200"/>
      <c r="M39" s="202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18"/>
      </c>
      <c r="T39" s="649" t="str">
        <f t="shared" si="6"/>
        <v>--</v>
      </c>
      <c r="U39" s="650" t="str">
        <f t="shared" si="7"/>
        <v>--</v>
      </c>
      <c r="V39" s="651" t="str">
        <f t="shared" si="8"/>
        <v>--</v>
      </c>
      <c r="W39" s="652" t="str">
        <f t="shared" si="9"/>
        <v>--</v>
      </c>
      <c r="X39" s="653" t="str">
        <f t="shared" si="10"/>
        <v>--</v>
      </c>
      <c r="Y39" s="654" t="str">
        <f t="shared" si="11"/>
        <v>--</v>
      </c>
      <c r="Z39" s="655" t="str">
        <f t="shared" si="12"/>
        <v>--</v>
      </c>
      <c r="AA39" s="656" t="str">
        <f t="shared" si="13"/>
        <v>--</v>
      </c>
      <c r="AB39" s="657" t="str">
        <f t="shared" si="14"/>
        <v>--</v>
      </c>
      <c r="AC39" s="658" t="str">
        <f t="shared" si="15"/>
        <v>--</v>
      </c>
      <c r="AD39" s="192">
        <f t="shared" si="16"/>
      </c>
      <c r="AE39" s="193">
        <f t="shared" si="17"/>
      </c>
      <c r="AF39" s="194"/>
    </row>
    <row r="40" spans="2:32" s="8" customFormat="1" ht="16.5" customHeight="1">
      <c r="B40" s="55"/>
      <c r="C40" s="151"/>
      <c r="D40" s="151"/>
      <c r="E40" s="151"/>
      <c r="F40" s="197"/>
      <c r="G40" s="198"/>
      <c r="H40" s="199"/>
      <c r="I40" s="198"/>
      <c r="J40" s="173">
        <f t="shared" si="0"/>
        <v>20</v>
      </c>
      <c r="K40" s="174" t="e">
        <f t="shared" si="1"/>
        <v>#VALUE!</v>
      </c>
      <c r="L40" s="200"/>
      <c r="M40" s="202"/>
      <c r="N40" s="177">
        <f t="shared" si="2"/>
      </c>
      <c r="O40" s="178">
        <f t="shared" si="3"/>
      </c>
      <c r="P40" s="179"/>
      <c r="Q40" s="180">
        <f t="shared" si="4"/>
      </c>
      <c r="R40" s="181">
        <f t="shared" si="5"/>
      </c>
      <c r="S40" s="181">
        <f t="shared" si="18"/>
      </c>
      <c r="T40" s="649" t="str">
        <f t="shared" si="6"/>
        <v>--</v>
      </c>
      <c r="U40" s="650" t="str">
        <f t="shared" si="7"/>
        <v>--</v>
      </c>
      <c r="V40" s="651" t="str">
        <f t="shared" si="8"/>
        <v>--</v>
      </c>
      <c r="W40" s="652" t="str">
        <f t="shared" si="9"/>
        <v>--</v>
      </c>
      <c r="X40" s="653" t="str">
        <f t="shared" si="10"/>
        <v>--</v>
      </c>
      <c r="Y40" s="654" t="str">
        <f t="shared" si="11"/>
        <v>--</v>
      </c>
      <c r="Z40" s="655" t="str">
        <f t="shared" si="12"/>
        <v>--</v>
      </c>
      <c r="AA40" s="656" t="str">
        <f t="shared" si="13"/>
        <v>--</v>
      </c>
      <c r="AB40" s="657" t="str">
        <f t="shared" si="14"/>
        <v>--</v>
      </c>
      <c r="AC40" s="658" t="str">
        <f t="shared" si="15"/>
        <v>--</v>
      </c>
      <c r="AD40" s="192">
        <f t="shared" si="16"/>
      </c>
      <c r="AE40" s="193">
        <f t="shared" si="17"/>
      </c>
      <c r="AF40" s="194"/>
    </row>
    <row r="41" spans="2:32" s="8" customFormat="1" ht="16.5" customHeight="1" thickBot="1">
      <c r="B41" s="55"/>
      <c r="C41" s="170"/>
      <c r="D41" s="203"/>
      <c r="E41" s="170"/>
      <c r="F41" s="204"/>
      <c r="G41" s="205"/>
      <c r="H41" s="206"/>
      <c r="I41" s="207"/>
      <c r="J41" s="208"/>
      <c r="K41" s="209"/>
      <c r="L41" s="210"/>
      <c r="M41" s="210"/>
      <c r="N41" s="211"/>
      <c r="O41" s="211"/>
      <c r="P41" s="212"/>
      <c r="Q41" s="213"/>
      <c r="R41" s="212"/>
      <c r="S41" s="212"/>
      <c r="T41" s="214"/>
      <c r="U41" s="215"/>
      <c r="V41" s="216"/>
      <c r="W41" s="217"/>
      <c r="X41" s="218"/>
      <c r="Y41" s="219"/>
      <c r="Z41" s="220"/>
      <c r="AA41" s="221"/>
      <c r="AB41" s="222"/>
      <c r="AC41" s="223"/>
      <c r="AD41" s="224"/>
      <c r="AE41" s="225"/>
      <c r="AF41" s="194"/>
    </row>
    <row r="42" spans="2:32" s="8" customFormat="1" ht="16.5" customHeight="1" thickBot="1" thickTop="1">
      <c r="B42" s="55"/>
      <c r="C42" s="661" t="s">
        <v>324</v>
      </c>
      <c r="D42" s="662" t="s">
        <v>330</v>
      </c>
      <c r="E42" s="226"/>
      <c r="F42" s="227"/>
      <c r="G42" s="228"/>
      <c r="H42" s="229"/>
      <c r="I42" s="230"/>
      <c r="J42" s="229"/>
      <c r="K42" s="231"/>
      <c r="L42" s="231"/>
      <c r="M42" s="231"/>
      <c r="N42" s="231"/>
      <c r="O42" s="231"/>
      <c r="P42" s="231"/>
      <c r="Q42" s="232"/>
      <c r="R42" s="231"/>
      <c r="S42" s="231"/>
      <c r="T42" s="233">
        <f aca="true" t="shared" si="19" ref="T42:AC42">SUM(T18:T41)</f>
        <v>934.4399197073976</v>
      </c>
      <c r="U42" s="234">
        <f t="shared" si="19"/>
        <v>0</v>
      </c>
      <c r="V42" s="235">
        <f t="shared" si="19"/>
        <v>0</v>
      </c>
      <c r="W42" s="235">
        <f t="shared" si="19"/>
        <v>4118.2032138206405</v>
      </c>
      <c r="X42" s="235">
        <f t="shared" si="19"/>
        <v>0</v>
      </c>
      <c r="Y42" s="236">
        <f t="shared" si="19"/>
        <v>0</v>
      </c>
      <c r="Z42" s="236">
        <f t="shared" si="19"/>
        <v>0</v>
      </c>
      <c r="AA42" s="236">
        <f t="shared" si="19"/>
        <v>0</v>
      </c>
      <c r="AB42" s="237">
        <f t="shared" si="19"/>
        <v>0</v>
      </c>
      <c r="AC42" s="238">
        <f t="shared" si="19"/>
        <v>0</v>
      </c>
      <c r="AD42" s="239"/>
      <c r="AE42" s="240">
        <f>ROUND(SUM(AE18:AE41),2)</f>
        <v>5052.64</v>
      </c>
      <c r="AF42" s="194"/>
    </row>
    <row r="43" spans="2:32" s="8" customFormat="1" ht="16.5" customHeight="1" thickBot="1" thickTop="1"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3"/>
    </row>
    <row r="44" spans="2:32" ht="16.5" customHeight="1" thickTop="1">
      <c r="B44" s="244"/>
      <c r="C44" s="244"/>
      <c r="D44" s="244"/>
      <c r="AF44" s="244"/>
    </row>
  </sheetData>
  <sheetProtection password="CC12"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AF44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421875" style="9" hidden="1" customWidth="1"/>
    <col min="11" max="11" width="10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640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'TOT-0312'!B2</f>
        <v>ANEXO IV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27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245" customFormat="1" ht="33" customHeight="1">
      <c r="B10" s="246"/>
      <c r="C10" s="247"/>
      <c r="D10" s="247"/>
      <c r="E10" s="247"/>
      <c r="F10" s="641" t="s">
        <v>28</v>
      </c>
      <c r="G10" s="247"/>
      <c r="H10" s="247"/>
      <c r="I10" s="247"/>
      <c r="K10" s="247"/>
      <c r="L10" s="247"/>
      <c r="M10" s="247"/>
      <c r="N10" s="247"/>
      <c r="O10" s="247"/>
      <c r="P10" s="247"/>
      <c r="Q10" s="247"/>
      <c r="R10" s="641"/>
      <c r="S10" s="641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642"/>
    </row>
    <row r="11" spans="2:32" s="248" customFormat="1" ht="33" customHeight="1">
      <c r="B11" s="249"/>
      <c r="C11" s="250"/>
      <c r="D11" s="250"/>
      <c r="E11" s="250"/>
      <c r="F11" s="643" t="s">
        <v>328</v>
      </c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645"/>
    </row>
    <row r="12" spans="2:32" s="34" customFormat="1" ht="19.5">
      <c r="B12" s="35" t="str">
        <f>'TOT-0312'!B14</f>
        <v>Desde el 01 al 31 de Marzo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2"/>
      <c r="Q12" s="10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3"/>
    </row>
    <row r="13" spans="2:32" s="8" customFormat="1" ht="16.5" customHeight="1" thickBot="1">
      <c r="B13" s="55"/>
      <c r="C13" s="11"/>
      <c r="D13" s="11"/>
      <c r="E13" s="11"/>
      <c r="F13" s="11"/>
      <c r="G13" s="86"/>
      <c r="H13" s="86"/>
      <c r="I13" s="11"/>
      <c r="J13" s="11"/>
      <c r="K13" s="11"/>
      <c r="L13" s="104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8" customFormat="1" ht="16.5" customHeight="1" thickBot="1" thickTop="1">
      <c r="B14" s="55"/>
      <c r="C14" s="11"/>
      <c r="D14" s="11"/>
      <c r="E14" s="11"/>
      <c r="F14" s="105" t="s">
        <v>30</v>
      </c>
      <c r="G14" s="106">
        <v>141.7542</v>
      </c>
      <c r="H14" s="10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0"/>
    </row>
    <row r="15" spans="2:32" s="8" customFormat="1" ht="16.5" customHeight="1" thickBot="1" thickTop="1">
      <c r="B15" s="55"/>
      <c r="C15" s="11"/>
      <c r="D15" s="11"/>
      <c r="E15" s="11"/>
      <c r="F15" s="105" t="s">
        <v>31</v>
      </c>
      <c r="G15" s="106" t="s">
        <v>325</v>
      </c>
      <c r="H15" s="107"/>
      <c r="I15" s="11"/>
      <c r="J15" s="11"/>
      <c r="K15" s="11"/>
      <c r="L15" s="108"/>
      <c r="M15" s="10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0"/>
      <c r="Y15" s="110"/>
      <c r="Z15" s="110"/>
      <c r="AA15" s="110"/>
      <c r="AB15" s="110"/>
      <c r="AC15" s="110"/>
      <c r="AD15" s="110"/>
      <c r="AF15" s="100"/>
    </row>
    <row r="16" spans="2:32" s="8" customFormat="1" ht="16.5" customHeight="1" thickBot="1" thickTop="1">
      <c r="B16" s="55"/>
      <c r="C16" s="111">
        <v>3</v>
      </c>
      <c r="D16" s="111">
        <v>4</v>
      </c>
      <c r="E16" s="111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11">
        <v>12</v>
      </c>
      <c r="M16" s="111">
        <v>13</v>
      </c>
      <c r="N16" s="111">
        <v>14</v>
      </c>
      <c r="O16" s="111">
        <v>15</v>
      </c>
      <c r="P16" s="111">
        <v>16</v>
      </c>
      <c r="Q16" s="111">
        <v>17</v>
      </c>
      <c r="R16" s="111">
        <v>18</v>
      </c>
      <c r="S16" s="111">
        <v>19</v>
      </c>
      <c r="T16" s="111">
        <v>20</v>
      </c>
      <c r="U16" s="111">
        <v>21</v>
      </c>
      <c r="V16" s="111">
        <v>22</v>
      </c>
      <c r="W16" s="111">
        <v>23</v>
      </c>
      <c r="X16" s="111">
        <v>24</v>
      </c>
      <c r="Y16" s="111">
        <v>25</v>
      </c>
      <c r="Z16" s="111">
        <v>26</v>
      </c>
      <c r="AA16" s="111">
        <v>27</v>
      </c>
      <c r="AB16" s="111">
        <v>28</v>
      </c>
      <c r="AC16" s="111">
        <v>29</v>
      </c>
      <c r="AD16" s="111">
        <v>30</v>
      </c>
      <c r="AE16" s="111">
        <v>31</v>
      </c>
      <c r="AF16" s="100"/>
    </row>
    <row r="17" spans="2:32" s="8" customFormat="1" ht="33.75" customHeight="1" thickBot="1" thickTop="1">
      <c r="B17" s="55"/>
      <c r="C17" s="112" t="s">
        <v>32</v>
      </c>
      <c r="D17" s="112" t="s">
        <v>33</v>
      </c>
      <c r="E17" s="112" t="s">
        <v>34</v>
      </c>
      <c r="F17" s="113" t="s">
        <v>5</v>
      </c>
      <c r="G17" s="114" t="s">
        <v>35</v>
      </c>
      <c r="H17" s="115" t="s">
        <v>36</v>
      </c>
      <c r="I17" s="116" t="s">
        <v>37</v>
      </c>
      <c r="J17" s="117" t="s">
        <v>38</v>
      </c>
      <c r="K17" s="118" t="s">
        <v>39</v>
      </c>
      <c r="L17" s="113" t="s">
        <v>40</v>
      </c>
      <c r="M17" s="119" t="s">
        <v>41</v>
      </c>
      <c r="N17" s="120" t="s">
        <v>42</v>
      </c>
      <c r="O17" s="115" t="s">
        <v>43</v>
      </c>
      <c r="P17" s="120" t="s">
        <v>251</v>
      </c>
      <c r="Q17" s="115" t="s">
        <v>44</v>
      </c>
      <c r="R17" s="119" t="s">
        <v>45</v>
      </c>
      <c r="S17" s="113" t="s">
        <v>46</v>
      </c>
      <c r="T17" s="121" t="s">
        <v>47</v>
      </c>
      <c r="U17" s="122" t="s">
        <v>48</v>
      </c>
      <c r="V17" s="123" t="s">
        <v>49</v>
      </c>
      <c r="W17" s="124"/>
      <c r="X17" s="125"/>
      <c r="Y17" s="126" t="s">
        <v>50</v>
      </c>
      <c r="Z17" s="127"/>
      <c r="AA17" s="128"/>
      <c r="AB17" s="129" t="s">
        <v>51</v>
      </c>
      <c r="AC17" s="130" t="s">
        <v>52</v>
      </c>
      <c r="AD17" s="131" t="s">
        <v>53</v>
      </c>
      <c r="AE17" s="131" t="s">
        <v>54</v>
      </c>
      <c r="AF17" s="132"/>
    </row>
    <row r="18" spans="2:32" s="8" customFormat="1" ht="16.5" customHeight="1" thickTop="1">
      <c r="B18" s="55"/>
      <c r="C18" s="133"/>
      <c r="D18" s="133"/>
      <c r="E18" s="133"/>
      <c r="F18" s="134"/>
      <c r="G18" s="134"/>
      <c r="H18" s="135"/>
      <c r="I18" s="136"/>
      <c r="J18" s="137"/>
      <c r="K18" s="138"/>
      <c r="L18" s="139"/>
      <c r="M18" s="139"/>
      <c r="N18" s="136"/>
      <c r="O18" s="136"/>
      <c r="P18" s="136"/>
      <c r="Q18" s="136"/>
      <c r="R18" s="136"/>
      <c r="S18" s="136"/>
      <c r="T18" s="140"/>
      <c r="U18" s="141"/>
      <c r="V18" s="142"/>
      <c r="W18" s="143"/>
      <c r="X18" s="144"/>
      <c r="Y18" s="145"/>
      <c r="Z18" s="146"/>
      <c r="AA18" s="147"/>
      <c r="AB18" s="148"/>
      <c r="AC18" s="149"/>
      <c r="AD18" s="136"/>
      <c r="AE18" s="150"/>
      <c r="AF18" s="100"/>
    </row>
    <row r="19" spans="2:32" s="8" customFormat="1" ht="16.5" customHeight="1">
      <c r="B19" s="55"/>
      <c r="C19" s="152"/>
      <c r="D19" s="152"/>
      <c r="E19" s="152"/>
      <c r="F19" s="251"/>
      <c r="G19" s="251"/>
      <c r="H19" s="663"/>
      <c r="I19" s="664"/>
      <c r="J19" s="665"/>
      <c r="K19" s="666"/>
      <c r="L19" s="667"/>
      <c r="M19" s="668"/>
      <c r="N19" s="664"/>
      <c r="O19" s="664"/>
      <c r="P19" s="669"/>
      <c r="Q19" s="664"/>
      <c r="R19" s="664"/>
      <c r="S19" s="664"/>
      <c r="T19" s="670"/>
      <c r="U19" s="671"/>
      <c r="V19" s="672"/>
      <c r="W19" s="673"/>
      <c r="X19" s="669"/>
      <c r="Y19" s="674"/>
      <c r="Z19" s="675"/>
      <c r="AA19" s="676"/>
      <c r="AB19" s="677"/>
      <c r="AC19" s="678"/>
      <c r="AD19" s="664"/>
      <c r="AE19" s="679"/>
      <c r="AF19" s="100"/>
    </row>
    <row r="20" spans="2:32" s="8" customFormat="1" ht="16.5" customHeight="1">
      <c r="B20" s="55"/>
      <c r="C20" s="251">
        <v>21</v>
      </c>
      <c r="D20" s="251">
        <v>245866</v>
      </c>
      <c r="E20" s="251">
        <v>4790</v>
      </c>
      <c r="F20" s="646" t="s">
        <v>326</v>
      </c>
      <c r="G20" s="647">
        <v>500</v>
      </c>
      <c r="H20" s="648">
        <v>552.31</v>
      </c>
      <c r="I20" s="647" t="s">
        <v>258</v>
      </c>
      <c r="J20" s="173">
        <f aca="true" t="shared" si="0" ref="J20:J40">IF(I20="A",200,IF(I20="B",60,20))</f>
        <v>20</v>
      </c>
      <c r="K20" s="174">
        <f aca="true" t="shared" si="1" ref="K20:K40">IF(G20=500,IF(H20&lt;100,100*$G$14/100,H20*$G$14/100),IF(H20&lt;100,100*$G$15/100,H20*$G$15/100))</f>
        <v>782.9226220199998</v>
      </c>
      <c r="L20" s="175">
        <v>40992.35833333333</v>
      </c>
      <c r="M20" s="176">
        <v>40992.81736111111</v>
      </c>
      <c r="N20" s="177">
        <f aca="true" t="shared" si="2" ref="N20:N40">IF(F20="","",(M20-L20)*24)</f>
        <v>11.016666666779201</v>
      </c>
      <c r="O20" s="178">
        <f aca="true" t="shared" si="3" ref="O20:O40">IF(F20="","",ROUND((M20-L20)*24*60,0))</f>
        <v>661</v>
      </c>
      <c r="P20" s="179" t="s">
        <v>253</v>
      </c>
      <c r="Q20" s="180" t="str">
        <f aca="true" t="shared" si="4" ref="Q20:Q40">IF(F20="","","--")</f>
        <v>--</v>
      </c>
      <c r="R20" s="181" t="str">
        <f aca="true" t="shared" si="5" ref="R20:R40">IF(F20="","","NO")</f>
        <v>NO</v>
      </c>
      <c r="S20" s="181" t="str">
        <f aca="true" t="shared" si="6" ref="S20:S40">IF(F20="","",IF(OR(P20="P",P20="RP"),"--","NO"))</f>
        <v>--</v>
      </c>
      <c r="T20" s="649">
        <f aca="true" t="shared" si="7" ref="T20:T40">IF(P20="P",K20*J20*ROUND(O20/60,2)*0.01,"--")</f>
        <v>1725.5614589320796</v>
      </c>
      <c r="U20" s="650" t="str">
        <f aca="true" t="shared" si="8" ref="U20:U40">IF(P20="RP",K20*J20*ROUND(O20/60,2)*0.01*Q20/100,"--")</f>
        <v>--</v>
      </c>
      <c r="V20" s="651" t="str">
        <f aca="true" t="shared" si="9" ref="V20:V40">IF(AND(P20="F",S20="NO"),K20*J20*IF(R20="SI",1.2,1),"--")</f>
        <v>--</v>
      </c>
      <c r="W20" s="652" t="str">
        <f aca="true" t="shared" si="10" ref="W20:W40">IF(AND(P20="F",O20&gt;=10),K20*J20*IF(R20="SI",1.2,1)*IF(O20&lt;=300,ROUND(O20/60,2),5),"--")</f>
        <v>--</v>
      </c>
      <c r="X20" s="653" t="str">
        <f aca="true" t="shared" si="11" ref="X20:X40">IF(AND(P20="F",O20&gt;300),(ROUND(O20/60,2)-5)*K20*J20*0.1*IF(R20="SI",1.2,1),"--")</f>
        <v>--</v>
      </c>
      <c r="Y20" s="654" t="str">
        <f aca="true" t="shared" si="12" ref="Y20:Y40">IF(AND(P20="R",S20="NO"),K20*J20*Q20/100*IF(R20="SI",1.2,1),"--")</f>
        <v>--</v>
      </c>
      <c r="Z20" s="655" t="str">
        <f aca="true" t="shared" si="13" ref="Z20:Z40">IF(AND(P20="R",O20&gt;=10),K20*J20*Q20/100*IF(R20="SI",1.2,1)*IF(O20&lt;=300,ROUND(O20/60,2),5),"--")</f>
        <v>--</v>
      </c>
      <c r="AA20" s="656" t="str">
        <f aca="true" t="shared" si="14" ref="AA20:AA40">IF(AND(P20="R",O20&gt;300),(ROUND(O20/60,2)-5)*K20*J20*0.1*Q20/100*IF(R20="SI",1.2,1),"--")</f>
        <v>--</v>
      </c>
      <c r="AB20" s="657" t="str">
        <f aca="true" t="shared" si="15" ref="AB20:AB40">IF(P20="RF",ROUND(O20/60,2)*K20*J20*0.1*IF(R20="SI",1.2,1),"--")</f>
        <v>--</v>
      </c>
      <c r="AC20" s="658" t="str">
        <f aca="true" t="shared" si="16" ref="AC20:AC40">IF(P20="RR",ROUND(O20/60,2)*K20*J20*0.1*Q20/100*IF(R20="SI",1.2,1),"--")</f>
        <v>--</v>
      </c>
      <c r="AD20" s="659" t="str">
        <f aca="true" t="shared" si="17" ref="AD20:AD40">IF(F20="","","SI")</f>
        <v>SI</v>
      </c>
      <c r="AE20" s="193">
        <f aca="true" t="shared" si="18" ref="AE20:AE40">IF(F20="","",SUM(T20:AC20)*IF(AD20="SI",1,2))</f>
        <v>1725.5614589320796</v>
      </c>
      <c r="AF20" s="194"/>
    </row>
    <row r="21" spans="2:32" s="8" customFormat="1" ht="16.5" customHeight="1">
      <c r="B21" s="55"/>
      <c r="C21" s="151">
        <v>22</v>
      </c>
      <c r="D21" s="151">
        <v>245871</v>
      </c>
      <c r="E21" s="251">
        <v>4790</v>
      </c>
      <c r="F21" s="646" t="s">
        <v>326</v>
      </c>
      <c r="G21" s="647">
        <v>500</v>
      </c>
      <c r="H21" s="648">
        <v>552.31</v>
      </c>
      <c r="I21" s="647" t="s">
        <v>258</v>
      </c>
      <c r="J21" s="173">
        <f t="shared" si="0"/>
        <v>20</v>
      </c>
      <c r="K21" s="174">
        <f t="shared" si="1"/>
        <v>782.9226220199998</v>
      </c>
      <c r="L21" s="175">
        <v>40993.28888888889</v>
      </c>
      <c r="M21" s="176">
        <v>40993.73819444444</v>
      </c>
      <c r="N21" s="177">
        <f t="shared" si="2"/>
        <v>10.783333333209157</v>
      </c>
      <c r="O21" s="178">
        <f t="shared" si="3"/>
        <v>647</v>
      </c>
      <c r="P21" s="179" t="s">
        <v>253</v>
      </c>
      <c r="Q21" s="180" t="str">
        <f t="shared" si="4"/>
        <v>--</v>
      </c>
      <c r="R21" s="181" t="str">
        <f t="shared" si="5"/>
        <v>NO</v>
      </c>
      <c r="S21" s="181" t="str">
        <f t="shared" si="6"/>
        <v>--</v>
      </c>
      <c r="T21" s="649">
        <f t="shared" si="7"/>
        <v>1687.9811730751194</v>
      </c>
      <c r="U21" s="650" t="str">
        <f t="shared" si="8"/>
        <v>--</v>
      </c>
      <c r="V21" s="651" t="str">
        <f t="shared" si="9"/>
        <v>--</v>
      </c>
      <c r="W21" s="652" t="str">
        <f t="shared" si="10"/>
        <v>--</v>
      </c>
      <c r="X21" s="653" t="str">
        <f t="shared" si="11"/>
        <v>--</v>
      </c>
      <c r="Y21" s="654" t="str">
        <f t="shared" si="12"/>
        <v>--</v>
      </c>
      <c r="Z21" s="655" t="str">
        <f t="shared" si="13"/>
        <v>--</v>
      </c>
      <c r="AA21" s="656" t="str">
        <f t="shared" si="14"/>
        <v>--</v>
      </c>
      <c r="AB21" s="657" t="str">
        <f t="shared" si="15"/>
        <v>--</v>
      </c>
      <c r="AC21" s="658" t="str">
        <f t="shared" si="16"/>
        <v>--</v>
      </c>
      <c r="AD21" s="659" t="str">
        <f t="shared" si="17"/>
        <v>SI</v>
      </c>
      <c r="AE21" s="193">
        <f t="shared" si="18"/>
        <v>1687.9811730751194</v>
      </c>
      <c r="AF21" s="194"/>
    </row>
    <row r="22" spans="2:32" s="8" customFormat="1" ht="16.5" customHeight="1">
      <c r="B22" s="55"/>
      <c r="C22" s="170"/>
      <c r="D22" s="170"/>
      <c r="E22" s="170"/>
      <c r="F22" s="646"/>
      <c r="G22" s="647"/>
      <c r="H22" s="648"/>
      <c r="I22" s="647"/>
      <c r="J22" s="173">
        <f t="shared" si="0"/>
        <v>20</v>
      </c>
      <c r="K22" s="174" t="e">
        <f t="shared" si="1"/>
        <v>#VALUE!</v>
      </c>
      <c r="L22" s="195"/>
      <c r="M22" s="196"/>
      <c r="N22" s="177">
        <f t="shared" si="2"/>
      </c>
      <c r="O22" s="178">
        <f t="shared" si="3"/>
      </c>
      <c r="P22" s="179"/>
      <c r="Q22" s="180">
        <f t="shared" si="4"/>
      </c>
      <c r="R22" s="181">
        <f t="shared" si="5"/>
      </c>
      <c r="S22" s="181">
        <f t="shared" si="6"/>
      </c>
      <c r="T22" s="649" t="str">
        <f t="shared" si="7"/>
        <v>--</v>
      </c>
      <c r="U22" s="650" t="str">
        <f t="shared" si="8"/>
        <v>--</v>
      </c>
      <c r="V22" s="651" t="str">
        <f t="shared" si="9"/>
        <v>--</v>
      </c>
      <c r="W22" s="652" t="str">
        <f t="shared" si="10"/>
        <v>--</v>
      </c>
      <c r="X22" s="653" t="str">
        <f t="shared" si="11"/>
        <v>--</v>
      </c>
      <c r="Y22" s="654" t="str">
        <f t="shared" si="12"/>
        <v>--</v>
      </c>
      <c r="Z22" s="655" t="str">
        <f t="shared" si="13"/>
        <v>--</v>
      </c>
      <c r="AA22" s="656" t="str">
        <f t="shared" si="14"/>
        <v>--</v>
      </c>
      <c r="AB22" s="657" t="str">
        <f t="shared" si="15"/>
        <v>--</v>
      </c>
      <c r="AC22" s="658" t="str">
        <f t="shared" si="16"/>
        <v>--</v>
      </c>
      <c r="AD22" s="659">
        <f t="shared" si="17"/>
      </c>
      <c r="AE22" s="193">
        <f t="shared" si="18"/>
      </c>
      <c r="AF22" s="194"/>
    </row>
    <row r="23" spans="2:32" s="8" customFormat="1" ht="16.5" customHeight="1">
      <c r="B23" s="55"/>
      <c r="C23" s="170"/>
      <c r="D23" s="170"/>
      <c r="E23" s="170"/>
      <c r="F23" s="646"/>
      <c r="G23" s="647"/>
      <c r="H23" s="648"/>
      <c r="I23" s="647"/>
      <c r="J23" s="173"/>
      <c r="K23" s="174"/>
      <c r="L23" s="195"/>
      <c r="M23" s="196"/>
      <c r="N23" s="177"/>
      <c r="O23" s="178"/>
      <c r="P23" s="179"/>
      <c r="Q23" s="180"/>
      <c r="R23" s="181"/>
      <c r="S23" s="181"/>
      <c r="T23" s="649"/>
      <c r="U23" s="650"/>
      <c r="V23" s="651"/>
      <c r="W23" s="652"/>
      <c r="X23" s="653"/>
      <c r="Y23" s="654"/>
      <c r="Z23" s="655"/>
      <c r="AA23" s="656"/>
      <c r="AB23" s="657"/>
      <c r="AC23" s="658"/>
      <c r="AD23" s="659"/>
      <c r="AE23" s="193"/>
      <c r="AF23" s="194"/>
    </row>
    <row r="24" spans="2:32" s="8" customFormat="1" ht="16.5" customHeight="1">
      <c r="B24" s="55"/>
      <c r="C24" s="151"/>
      <c r="D24" s="151"/>
      <c r="E24" s="151"/>
      <c r="F24" s="646"/>
      <c r="G24" s="647"/>
      <c r="H24" s="648"/>
      <c r="I24" s="647"/>
      <c r="J24" s="173">
        <f t="shared" si="0"/>
        <v>20</v>
      </c>
      <c r="K24" s="174" t="e">
        <f t="shared" si="1"/>
        <v>#VALUE!</v>
      </c>
      <c r="L24" s="195"/>
      <c r="M24" s="196"/>
      <c r="N24" s="177">
        <f t="shared" si="2"/>
      </c>
      <c r="O24" s="178">
        <f t="shared" si="3"/>
      </c>
      <c r="P24" s="179"/>
      <c r="Q24" s="180">
        <f t="shared" si="4"/>
      </c>
      <c r="R24" s="181">
        <f t="shared" si="5"/>
      </c>
      <c r="S24" s="181">
        <f t="shared" si="6"/>
      </c>
      <c r="T24" s="649" t="str">
        <f t="shared" si="7"/>
        <v>--</v>
      </c>
      <c r="U24" s="650" t="str">
        <f t="shared" si="8"/>
        <v>--</v>
      </c>
      <c r="V24" s="651" t="str">
        <f t="shared" si="9"/>
        <v>--</v>
      </c>
      <c r="W24" s="652" t="str">
        <f t="shared" si="10"/>
        <v>--</v>
      </c>
      <c r="X24" s="653" t="str">
        <f t="shared" si="11"/>
        <v>--</v>
      </c>
      <c r="Y24" s="654" t="str">
        <f t="shared" si="12"/>
        <v>--</v>
      </c>
      <c r="Z24" s="655" t="str">
        <f t="shared" si="13"/>
        <v>--</v>
      </c>
      <c r="AA24" s="656" t="str">
        <f t="shared" si="14"/>
        <v>--</v>
      </c>
      <c r="AB24" s="657" t="str">
        <f t="shared" si="15"/>
        <v>--</v>
      </c>
      <c r="AC24" s="658" t="str">
        <f t="shared" si="16"/>
        <v>--</v>
      </c>
      <c r="AD24" s="659">
        <f t="shared" si="17"/>
      </c>
      <c r="AE24" s="193">
        <f t="shared" si="18"/>
      </c>
      <c r="AF24" s="194"/>
    </row>
    <row r="25" spans="2:32" s="8" customFormat="1" ht="16.5" customHeight="1">
      <c r="B25" s="55"/>
      <c r="C25" s="170"/>
      <c r="D25" s="151"/>
      <c r="E25" s="151"/>
      <c r="F25" s="646"/>
      <c r="G25" s="647"/>
      <c r="H25" s="648"/>
      <c r="I25" s="647"/>
      <c r="J25" s="173">
        <f t="shared" si="0"/>
        <v>20</v>
      </c>
      <c r="K25" s="174" t="e">
        <f t="shared" si="1"/>
        <v>#VALUE!</v>
      </c>
      <c r="L25" s="195"/>
      <c r="M25" s="196"/>
      <c r="N25" s="177">
        <f t="shared" si="2"/>
      </c>
      <c r="O25" s="178">
        <f t="shared" si="3"/>
      </c>
      <c r="P25" s="179"/>
      <c r="Q25" s="180">
        <f t="shared" si="4"/>
      </c>
      <c r="R25" s="181">
        <f t="shared" si="5"/>
      </c>
      <c r="S25" s="181">
        <f t="shared" si="6"/>
      </c>
      <c r="T25" s="649" t="str">
        <f t="shared" si="7"/>
        <v>--</v>
      </c>
      <c r="U25" s="650" t="str">
        <f t="shared" si="8"/>
        <v>--</v>
      </c>
      <c r="V25" s="651" t="str">
        <f t="shared" si="9"/>
        <v>--</v>
      </c>
      <c r="W25" s="652" t="str">
        <f t="shared" si="10"/>
        <v>--</v>
      </c>
      <c r="X25" s="653" t="str">
        <f t="shared" si="11"/>
        <v>--</v>
      </c>
      <c r="Y25" s="654" t="str">
        <f t="shared" si="12"/>
        <v>--</v>
      </c>
      <c r="Z25" s="655" t="str">
        <f t="shared" si="13"/>
        <v>--</v>
      </c>
      <c r="AA25" s="656" t="str">
        <f t="shared" si="14"/>
        <v>--</v>
      </c>
      <c r="AB25" s="657" t="str">
        <f t="shared" si="15"/>
        <v>--</v>
      </c>
      <c r="AC25" s="658" t="str">
        <f t="shared" si="16"/>
        <v>--</v>
      </c>
      <c r="AD25" s="659">
        <f t="shared" si="17"/>
      </c>
      <c r="AE25" s="193">
        <f t="shared" si="18"/>
      </c>
      <c r="AF25" s="194"/>
    </row>
    <row r="26" spans="2:32" s="8" customFormat="1" ht="16.5" customHeight="1">
      <c r="B26" s="55"/>
      <c r="C26" s="151"/>
      <c r="D26" s="151"/>
      <c r="E26" s="151"/>
      <c r="F26" s="170"/>
      <c r="G26" s="171"/>
      <c r="H26" s="172"/>
      <c r="I26" s="171"/>
      <c r="J26" s="173">
        <f t="shared" si="0"/>
        <v>20</v>
      </c>
      <c r="K26" s="174" t="e">
        <f t="shared" si="1"/>
        <v>#VALUE!</v>
      </c>
      <c r="L26" s="175"/>
      <c r="M26" s="176"/>
      <c r="N26" s="177">
        <f t="shared" si="2"/>
      </c>
      <c r="O26" s="178">
        <f t="shared" si="3"/>
      </c>
      <c r="P26" s="179"/>
      <c r="Q26" s="180">
        <f t="shared" si="4"/>
      </c>
      <c r="R26" s="181">
        <f t="shared" si="5"/>
      </c>
      <c r="S26" s="181">
        <f t="shared" si="6"/>
      </c>
      <c r="T26" s="649" t="str">
        <f t="shared" si="7"/>
        <v>--</v>
      </c>
      <c r="U26" s="650" t="str">
        <f t="shared" si="8"/>
        <v>--</v>
      </c>
      <c r="V26" s="651" t="str">
        <f t="shared" si="9"/>
        <v>--</v>
      </c>
      <c r="W26" s="652" t="str">
        <f t="shared" si="10"/>
        <v>--</v>
      </c>
      <c r="X26" s="653" t="str">
        <f t="shared" si="11"/>
        <v>--</v>
      </c>
      <c r="Y26" s="654" t="str">
        <f t="shared" si="12"/>
        <v>--</v>
      </c>
      <c r="Z26" s="655" t="str">
        <f t="shared" si="13"/>
        <v>--</v>
      </c>
      <c r="AA26" s="656" t="str">
        <f t="shared" si="14"/>
        <v>--</v>
      </c>
      <c r="AB26" s="657" t="str">
        <f t="shared" si="15"/>
        <v>--</v>
      </c>
      <c r="AC26" s="658" t="str">
        <f t="shared" si="16"/>
        <v>--</v>
      </c>
      <c r="AD26" s="192">
        <f t="shared" si="17"/>
      </c>
      <c r="AE26" s="193">
        <f t="shared" si="18"/>
      </c>
      <c r="AF26" s="194"/>
    </row>
    <row r="27" spans="2:32" s="8" customFormat="1" ht="16.5" customHeight="1">
      <c r="B27" s="55"/>
      <c r="C27" s="170"/>
      <c r="D27" s="170"/>
      <c r="E27" s="170"/>
      <c r="F27" s="197"/>
      <c r="G27" s="198"/>
      <c r="H27" s="199"/>
      <c r="I27" s="198"/>
      <c r="J27" s="173">
        <f t="shared" si="0"/>
        <v>20</v>
      </c>
      <c r="K27" s="174" t="e">
        <f t="shared" si="1"/>
        <v>#VALUE!</v>
      </c>
      <c r="L27" s="200"/>
      <c r="M27" s="201"/>
      <c r="N27" s="177">
        <f t="shared" si="2"/>
      </c>
      <c r="O27" s="178">
        <f t="shared" si="3"/>
      </c>
      <c r="P27" s="179"/>
      <c r="Q27" s="180">
        <f t="shared" si="4"/>
      </c>
      <c r="R27" s="181">
        <f t="shared" si="5"/>
      </c>
      <c r="S27" s="181">
        <f t="shared" si="6"/>
      </c>
      <c r="T27" s="649" t="str">
        <f t="shared" si="7"/>
        <v>--</v>
      </c>
      <c r="U27" s="650" t="str">
        <f t="shared" si="8"/>
        <v>--</v>
      </c>
      <c r="V27" s="651" t="str">
        <f t="shared" si="9"/>
        <v>--</v>
      </c>
      <c r="W27" s="652" t="str">
        <f t="shared" si="10"/>
        <v>--</v>
      </c>
      <c r="X27" s="653" t="str">
        <f t="shared" si="11"/>
        <v>--</v>
      </c>
      <c r="Y27" s="654" t="str">
        <f t="shared" si="12"/>
        <v>--</v>
      </c>
      <c r="Z27" s="655" t="str">
        <f t="shared" si="13"/>
        <v>--</v>
      </c>
      <c r="AA27" s="656" t="str">
        <f t="shared" si="14"/>
        <v>--</v>
      </c>
      <c r="AB27" s="657" t="str">
        <f t="shared" si="15"/>
        <v>--</v>
      </c>
      <c r="AC27" s="658" t="str">
        <f t="shared" si="16"/>
        <v>--</v>
      </c>
      <c r="AD27" s="192">
        <f t="shared" si="17"/>
      </c>
      <c r="AE27" s="193">
        <f t="shared" si="18"/>
      </c>
      <c r="AF27" s="194"/>
    </row>
    <row r="28" spans="2:32" s="8" customFormat="1" ht="16.5" customHeight="1">
      <c r="B28" s="55"/>
      <c r="C28" s="151"/>
      <c r="D28" s="151"/>
      <c r="E28" s="151"/>
      <c r="F28" s="197"/>
      <c r="G28" s="198"/>
      <c r="H28" s="199"/>
      <c r="I28" s="198"/>
      <c r="J28" s="173">
        <f t="shared" si="0"/>
        <v>20</v>
      </c>
      <c r="K28" s="174" t="e">
        <f t="shared" si="1"/>
        <v>#VALUE!</v>
      </c>
      <c r="L28" s="200"/>
      <c r="M28" s="201"/>
      <c r="N28" s="177">
        <f t="shared" si="2"/>
      </c>
      <c r="O28" s="178">
        <f t="shared" si="3"/>
      </c>
      <c r="P28" s="179"/>
      <c r="Q28" s="180">
        <f t="shared" si="4"/>
      </c>
      <c r="R28" s="181">
        <f t="shared" si="5"/>
      </c>
      <c r="S28" s="181">
        <f t="shared" si="6"/>
      </c>
      <c r="T28" s="649" t="str">
        <f t="shared" si="7"/>
        <v>--</v>
      </c>
      <c r="U28" s="650" t="str">
        <f t="shared" si="8"/>
        <v>--</v>
      </c>
      <c r="V28" s="651" t="str">
        <f t="shared" si="9"/>
        <v>--</v>
      </c>
      <c r="W28" s="652" t="str">
        <f t="shared" si="10"/>
        <v>--</v>
      </c>
      <c r="X28" s="653" t="str">
        <f t="shared" si="11"/>
        <v>--</v>
      </c>
      <c r="Y28" s="654" t="str">
        <f t="shared" si="12"/>
        <v>--</v>
      </c>
      <c r="Z28" s="655" t="str">
        <f t="shared" si="13"/>
        <v>--</v>
      </c>
      <c r="AA28" s="656" t="str">
        <f t="shared" si="14"/>
        <v>--</v>
      </c>
      <c r="AB28" s="657" t="str">
        <f t="shared" si="15"/>
        <v>--</v>
      </c>
      <c r="AC28" s="658" t="str">
        <f t="shared" si="16"/>
        <v>--</v>
      </c>
      <c r="AD28" s="192">
        <f t="shared" si="17"/>
      </c>
      <c r="AE28" s="193">
        <f t="shared" si="18"/>
      </c>
      <c r="AF28" s="194"/>
    </row>
    <row r="29" spans="2:32" s="8" customFormat="1" ht="16.5" customHeight="1">
      <c r="B29" s="55"/>
      <c r="C29" s="170"/>
      <c r="D29" s="170"/>
      <c r="E29" s="170"/>
      <c r="F29" s="197"/>
      <c r="G29" s="198"/>
      <c r="H29" s="199"/>
      <c r="I29" s="198"/>
      <c r="J29" s="173">
        <f t="shared" si="0"/>
        <v>20</v>
      </c>
      <c r="K29" s="174" t="e">
        <f t="shared" si="1"/>
        <v>#VALUE!</v>
      </c>
      <c r="L29" s="200"/>
      <c r="M29" s="201"/>
      <c r="N29" s="177">
        <f t="shared" si="2"/>
      </c>
      <c r="O29" s="178">
        <f t="shared" si="3"/>
      </c>
      <c r="P29" s="179"/>
      <c r="Q29" s="180">
        <f t="shared" si="4"/>
      </c>
      <c r="R29" s="181">
        <f t="shared" si="5"/>
      </c>
      <c r="S29" s="181">
        <f t="shared" si="6"/>
      </c>
      <c r="T29" s="649" t="str">
        <f t="shared" si="7"/>
        <v>--</v>
      </c>
      <c r="U29" s="650" t="str">
        <f t="shared" si="8"/>
        <v>--</v>
      </c>
      <c r="V29" s="651" t="str">
        <f t="shared" si="9"/>
        <v>--</v>
      </c>
      <c r="W29" s="652" t="str">
        <f t="shared" si="10"/>
        <v>--</v>
      </c>
      <c r="X29" s="653" t="str">
        <f t="shared" si="11"/>
        <v>--</v>
      </c>
      <c r="Y29" s="654" t="str">
        <f t="shared" si="12"/>
        <v>--</v>
      </c>
      <c r="Z29" s="655" t="str">
        <f t="shared" si="13"/>
        <v>--</v>
      </c>
      <c r="AA29" s="656" t="str">
        <f t="shared" si="14"/>
        <v>--</v>
      </c>
      <c r="AB29" s="657" t="str">
        <f t="shared" si="15"/>
        <v>--</v>
      </c>
      <c r="AC29" s="658" t="str">
        <f t="shared" si="16"/>
        <v>--</v>
      </c>
      <c r="AD29" s="192">
        <f t="shared" si="17"/>
      </c>
      <c r="AE29" s="193">
        <f t="shared" si="18"/>
      </c>
      <c r="AF29" s="194"/>
    </row>
    <row r="30" spans="2:32" s="8" customFormat="1" ht="16.5" customHeight="1">
      <c r="B30" s="55"/>
      <c r="C30" s="151"/>
      <c r="D30" s="151"/>
      <c r="E30" s="151"/>
      <c r="F30" s="197"/>
      <c r="G30" s="198"/>
      <c r="H30" s="199"/>
      <c r="I30" s="198"/>
      <c r="J30" s="173">
        <f t="shared" si="0"/>
        <v>20</v>
      </c>
      <c r="K30" s="174" t="e">
        <f t="shared" si="1"/>
        <v>#VALUE!</v>
      </c>
      <c r="L30" s="200"/>
      <c r="M30" s="201"/>
      <c r="N30" s="177">
        <f t="shared" si="2"/>
      </c>
      <c r="O30" s="178">
        <f t="shared" si="3"/>
      </c>
      <c r="P30" s="179"/>
      <c r="Q30" s="180">
        <f t="shared" si="4"/>
      </c>
      <c r="R30" s="181">
        <f t="shared" si="5"/>
      </c>
      <c r="S30" s="181">
        <f t="shared" si="6"/>
      </c>
      <c r="T30" s="649" t="str">
        <f t="shared" si="7"/>
        <v>--</v>
      </c>
      <c r="U30" s="650" t="str">
        <f t="shared" si="8"/>
        <v>--</v>
      </c>
      <c r="V30" s="651" t="str">
        <f t="shared" si="9"/>
        <v>--</v>
      </c>
      <c r="W30" s="652" t="str">
        <f t="shared" si="10"/>
        <v>--</v>
      </c>
      <c r="X30" s="653" t="str">
        <f t="shared" si="11"/>
        <v>--</v>
      </c>
      <c r="Y30" s="654" t="str">
        <f t="shared" si="12"/>
        <v>--</v>
      </c>
      <c r="Z30" s="655" t="str">
        <f t="shared" si="13"/>
        <v>--</v>
      </c>
      <c r="AA30" s="656" t="str">
        <f t="shared" si="14"/>
        <v>--</v>
      </c>
      <c r="AB30" s="657" t="str">
        <f t="shared" si="15"/>
        <v>--</v>
      </c>
      <c r="AC30" s="658" t="str">
        <f t="shared" si="16"/>
        <v>--</v>
      </c>
      <c r="AD30" s="192">
        <f t="shared" si="17"/>
      </c>
      <c r="AE30" s="193">
        <f t="shared" si="18"/>
      </c>
      <c r="AF30" s="194"/>
    </row>
    <row r="31" spans="2:32" s="8" customFormat="1" ht="16.5" customHeight="1">
      <c r="B31" s="55"/>
      <c r="C31" s="170"/>
      <c r="D31" s="170"/>
      <c r="E31" s="170"/>
      <c r="F31" s="197"/>
      <c r="G31" s="198"/>
      <c r="H31" s="199"/>
      <c r="I31" s="198"/>
      <c r="J31" s="173">
        <f t="shared" si="0"/>
        <v>20</v>
      </c>
      <c r="K31" s="174" t="e">
        <f t="shared" si="1"/>
        <v>#VALUE!</v>
      </c>
      <c r="L31" s="200"/>
      <c r="M31" s="201"/>
      <c r="N31" s="177">
        <f t="shared" si="2"/>
      </c>
      <c r="O31" s="178">
        <f t="shared" si="3"/>
      </c>
      <c r="P31" s="179"/>
      <c r="Q31" s="180">
        <f t="shared" si="4"/>
      </c>
      <c r="R31" s="181">
        <f t="shared" si="5"/>
      </c>
      <c r="S31" s="181">
        <f t="shared" si="6"/>
      </c>
      <c r="T31" s="649" t="str">
        <f t="shared" si="7"/>
        <v>--</v>
      </c>
      <c r="U31" s="650" t="str">
        <f t="shared" si="8"/>
        <v>--</v>
      </c>
      <c r="V31" s="651" t="str">
        <f t="shared" si="9"/>
        <v>--</v>
      </c>
      <c r="W31" s="652" t="str">
        <f t="shared" si="10"/>
        <v>--</v>
      </c>
      <c r="X31" s="653" t="str">
        <f t="shared" si="11"/>
        <v>--</v>
      </c>
      <c r="Y31" s="654" t="str">
        <f t="shared" si="12"/>
        <v>--</v>
      </c>
      <c r="Z31" s="655" t="str">
        <f t="shared" si="13"/>
        <v>--</v>
      </c>
      <c r="AA31" s="656" t="str">
        <f t="shared" si="14"/>
        <v>--</v>
      </c>
      <c r="AB31" s="657" t="str">
        <f t="shared" si="15"/>
        <v>--</v>
      </c>
      <c r="AC31" s="658" t="str">
        <f t="shared" si="16"/>
        <v>--</v>
      </c>
      <c r="AD31" s="192">
        <f t="shared" si="17"/>
      </c>
      <c r="AE31" s="193">
        <f t="shared" si="18"/>
      </c>
      <c r="AF31" s="194"/>
    </row>
    <row r="32" spans="2:32" s="8" customFormat="1" ht="16.5" customHeight="1">
      <c r="B32" s="55"/>
      <c r="C32" s="151"/>
      <c r="D32" s="151"/>
      <c r="E32" s="151"/>
      <c r="F32" s="197"/>
      <c r="G32" s="198"/>
      <c r="H32" s="199"/>
      <c r="I32" s="198"/>
      <c r="J32" s="173">
        <f t="shared" si="0"/>
        <v>20</v>
      </c>
      <c r="K32" s="174" t="e">
        <f t="shared" si="1"/>
        <v>#VALUE!</v>
      </c>
      <c r="L32" s="200"/>
      <c r="M32" s="202"/>
      <c r="N32" s="177">
        <f t="shared" si="2"/>
      </c>
      <c r="O32" s="178">
        <f t="shared" si="3"/>
      </c>
      <c r="P32" s="179"/>
      <c r="Q32" s="180">
        <f t="shared" si="4"/>
      </c>
      <c r="R32" s="181">
        <f t="shared" si="5"/>
      </c>
      <c r="S32" s="181">
        <f t="shared" si="6"/>
      </c>
      <c r="T32" s="649" t="str">
        <f t="shared" si="7"/>
        <v>--</v>
      </c>
      <c r="U32" s="650" t="str">
        <f t="shared" si="8"/>
        <v>--</v>
      </c>
      <c r="V32" s="651" t="str">
        <f t="shared" si="9"/>
        <v>--</v>
      </c>
      <c r="W32" s="652" t="str">
        <f t="shared" si="10"/>
        <v>--</v>
      </c>
      <c r="X32" s="653" t="str">
        <f t="shared" si="11"/>
        <v>--</v>
      </c>
      <c r="Y32" s="654" t="str">
        <f t="shared" si="12"/>
        <v>--</v>
      </c>
      <c r="Z32" s="655" t="str">
        <f t="shared" si="13"/>
        <v>--</v>
      </c>
      <c r="AA32" s="656" t="str">
        <f t="shared" si="14"/>
        <v>--</v>
      </c>
      <c r="AB32" s="657" t="str">
        <f t="shared" si="15"/>
        <v>--</v>
      </c>
      <c r="AC32" s="658" t="str">
        <f t="shared" si="16"/>
        <v>--</v>
      </c>
      <c r="AD32" s="192">
        <f t="shared" si="17"/>
      </c>
      <c r="AE32" s="193">
        <f t="shared" si="18"/>
      </c>
      <c r="AF32" s="194"/>
    </row>
    <row r="33" spans="2:32" s="8" customFormat="1" ht="16.5" customHeight="1">
      <c r="B33" s="55"/>
      <c r="C33" s="170"/>
      <c r="D33" s="170"/>
      <c r="E33" s="170"/>
      <c r="F33" s="197"/>
      <c r="G33" s="198"/>
      <c r="H33" s="199"/>
      <c r="I33" s="198"/>
      <c r="J33" s="173">
        <f t="shared" si="0"/>
        <v>20</v>
      </c>
      <c r="K33" s="174" t="e">
        <f t="shared" si="1"/>
        <v>#VALUE!</v>
      </c>
      <c r="L33" s="200"/>
      <c r="M33" s="202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6"/>
      </c>
      <c r="T33" s="649" t="str">
        <f t="shared" si="7"/>
        <v>--</v>
      </c>
      <c r="U33" s="650" t="str">
        <f t="shared" si="8"/>
        <v>--</v>
      </c>
      <c r="V33" s="651" t="str">
        <f t="shared" si="9"/>
        <v>--</v>
      </c>
      <c r="W33" s="652" t="str">
        <f t="shared" si="10"/>
        <v>--</v>
      </c>
      <c r="X33" s="653" t="str">
        <f t="shared" si="11"/>
        <v>--</v>
      </c>
      <c r="Y33" s="654" t="str">
        <f t="shared" si="12"/>
        <v>--</v>
      </c>
      <c r="Z33" s="655" t="str">
        <f t="shared" si="13"/>
        <v>--</v>
      </c>
      <c r="AA33" s="656" t="str">
        <f t="shared" si="14"/>
        <v>--</v>
      </c>
      <c r="AB33" s="657" t="str">
        <f t="shared" si="15"/>
        <v>--</v>
      </c>
      <c r="AC33" s="658" t="str">
        <f t="shared" si="16"/>
        <v>--</v>
      </c>
      <c r="AD33" s="192">
        <f t="shared" si="17"/>
      </c>
      <c r="AE33" s="193">
        <f t="shared" si="18"/>
      </c>
      <c r="AF33" s="194"/>
    </row>
    <row r="34" spans="2:32" s="8" customFormat="1" ht="16.5" customHeight="1">
      <c r="B34" s="55"/>
      <c r="C34" s="151"/>
      <c r="D34" s="151"/>
      <c r="E34" s="151"/>
      <c r="F34" s="197"/>
      <c r="G34" s="198"/>
      <c r="H34" s="199"/>
      <c r="I34" s="198"/>
      <c r="J34" s="173">
        <f t="shared" si="0"/>
        <v>20</v>
      </c>
      <c r="K34" s="174" t="e">
        <f t="shared" si="1"/>
        <v>#VALUE!</v>
      </c>
      <c r="L34" s="200"/>
      <c r="M34" s="202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6"/>
      </c>
      <c r="T34" s="649" t="str">
        <f t="shared" si="7"/>
        <v>--</v>
      </c>
      <c r="U34" s="650" t="str">
        <f t="shared" si="8"/>
        <v>--</v>
      </c>
      <c r="V34" s="651" t="str">
        <f t="shared" si="9"/>
        <v>--</v>
      </c>
      <c r="W34" s="652" t="str">
        <f t="shared" si="10"/>
        <v>--</v>
      </c>
      <c r="X34" s="653" t="str">
        <f t="shared" si="11"/>
        <v>--</v>
      </c>
      <c r="Y34" s="654" t="str">
        <f t="shared" si="12"/>
        <v>--</v>
      </c>
      <c r="Z34" s="655" t="str">
        <f t="shared" si="13"/>
        <v>--</v>
      </c>
      <c r="AA34" s="656" t="str">
        <f t="shared" si="14"/>
        <v>--</v>
      </c>
      <c r="AB34" s="657" t="str">
        <f t="shared" si="15"/>
        <v>--</v>
      </c>
      <c r="AC34" s="658" t="str">
        <f t="shared" si="16"/>
        <v>--</v>
      </c>
      <c r="AD34" s="192">
        <f t="shared" si="17"/>
      </c>
      <c r="AE34" s="193">
        <f t="shared" si="18"/>
      </c>
      <c r="AF34" s="194"/>
    </row>
    <row r="35" spans="2:32" s="8" customFormat="1" ht="16.5" customHeight="1">
      <c r="B35" s="55"/>
      <c r="C35" s="170"/>
      <c r="D35" s="170"/>
      <c r="E35" s="170"/>
      <c r="F35" s="197"/>
      <c r="G35" s="198"/>
      <c r="H35" s="199"/>
      <c r="I35" s="198"/>
      <c r="J35" s="173">
        <f t="shared" si="0"/>
        <v>20</v>
      </c>
      <c r="K35" s="174" t="e">
        <f t="shared" si="1"/>
        <v>#VALUE!</v>
      </c>
      <c r="L35" s="200"/>
      <c r="M35" s="202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6"/>
      </c>
      <c r="T35" s="649" t="str">
        <f t="shared" si="7"/>
        <v>--</v>
      </c>
      <c r="U35" s="650" t="str">
        <f t="shared" si="8"/>
        <v>--</v>
      </c>
      <c r="V35" s="651" t="str">
        <f t="shared" si="9"/>
        <v>--</v>
      </c>
      <c r="W35" s="652" t="str">
        <f t="shared" si="10"/>
        <v>--</v>
      </c>
      <c r="X35" s="653" t="str">
        <f t="shared" si="11"/>
        <v>--</v>
      </c>
      <c r="Y35" s="654" t="str">
        <f t="shared" si="12"/>
        <v>--</v>
      </c>
      <c r="Z35" s="655" t="str">
        <f t="shared" si="13"/>
        <v>--</v>
      </c>
      <c r="AA35" s="656" t="str">
        <f t="shared" si="14"/>
        <v>--</v>
      </c>
      <c r="AB35" s="657" t="str">
        <f t="shared" si="15"/>
        <v>--</v>
      </c>
      <c r="AC35" s="658" t="str">
        <f t="shared" si="16"/>
        <v>--</v>
      </c>
      <c r="AD35" s="192">
        <f t="shared" si="17"/>
      </c>
      <c r="AE35" s="193">
        <f t="shared" si="18"/>
      </c>
      <c r="AF35" s="194"/>
    </row>
    <row r="36" spans="2:32" s="8" customFormat="1" ht="16.5" customHeight="1">
      <c r="B36" s="55"/>
      <c r="C36" s="151"/>
      <c r="D36" s="151"/>
      <c r="E36" s="151"/>
      <c r="F36" s="197"/>
      <c r="G36" s="198"/>
      <c r="H36" s="199"/>
      <c r="I36" s="198"/>
      <c r="J36" s="173">
        <f t="shared" si="0"/>
        <v>20</v>
      </c>
      <c r="K36" s="174" t="e">
        <f t="shared" si="1"/>
        <v>#VALUE!</v>
      </c>
      <c r="L36" s="200"/>
      <c r="M36" s="202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649" t="str">
        <f t="shared" si="7"/>
        <v>--</v>
      </c>
      <c r="U36" s="650" t="str">
        <f t="shared" si="8"/>
        <v>--</v>
      </c>
      <c r="V36" s="651" t="str">
        <f t="shared" si="9"/>
        <v>--</v>
      </c>
      <c r="W36" s="652" t="str">
        <f t="shared" si="10"/>
        <v>--</v>
      </c>
      <c r="X36" s="653" t="str">
        <f t="shared" si="11"/>
        <v>--</v>
      </c>
      <c r="Y36" s="654" t="str">
        <f t="shared" si="12"/>
        <v>--</v>
      </c>
      <c r="Z36" s="655" t="str">
        <f t="shared" si="13"/>
        <v>--</v>
      </c>
      <c r="AA36" s="656" t="str">
        <f t="shared" si="14"/>
        <v>--</v>
      </c>
      <c r="AB36" s="657" t="str">
        <f t="shared" si="15"/>
        <v>--</v>
      </c>
      <c r="AC36" s="658" t="str">
        <f t="shared" si="16"/>
        <v>--</v>
      </c>
      <c r="AD36" s="192">
        <f t="shared" si="17"/>
      </c>
      <c r="AE36" s="193">
        <f t="shared" si="18"/>
      </c>
      <c r="AF36" s="194"/>
    </row>
    <row r="37" spans="2:32" s="8" customFormat="1" ht="16.5" customHeight="1">
      <c r="B37" s="55"/>
      <c r="C37" s="170"/>
      <c r="D37" s="170"/>
      <c r="E37" s="170"/>
      <c r="F37" s="197"/>
      <c r="G37" s="198"/>
      <c r="H37" s="199"/>
      <c r="I37" s="198"/>
      <c r="J37" s="173">
        <f t="shared" si="0"/>
        <v>20</v>
      </c>
      <c r="K37" s="174" t="e">
        <f t="shared" si="1"/>
        <v>#VALUE!</v>
      </c>
      <c r="L37" s="200"/>
      <c r="M37" s="202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649" t="str">
        <f t="shared" si="7"/>
        <v>--</v>
      </c>
      <c r="U37" s="650" t="str">
        <f t="shared" si="8"/>
        <v>--</v>
      </c>
      <c r="V37" s="651" t="str">
        <f t="shared" si="9"/>
        <v>--</v>
      </c>
      <c r="W37" s="652" t="str">
        <f t="shared" si="10"/>
        <v>--</v>
      </c>
      <c r="X37" s="653" t="str">
        <f t="shared" si="11"/>
        <v>--</v>
      </c>
      <c r="Y37" s="654" t="str">
        <f t="shared" si="12"/>
        <v>--</v>
      </c>
      <c r="Z37" s="655" t="str">
        <f t="shared" si="13"/>
        <v>--</v>
      </c>
      <c r="AA37" s="656" t="str">
        <f t="shared" si="14"/>
        <v>--</v>
      </c>
      <c r="AB37" s="657" t="str">
        <f t="shared" si="15"/>
        <v>--</v>
      </c>
      <c r="AC37" s="658" t="str">
        <f t="shared" si="16"/>
        <v>--</v>
      </c>
      <c r="AD37" s="192">
        <f t="shared" si="17"/>
      </c>
      <c r="AE37" s="193">
        <f t="shared" si="18"/>
      </c>
      <c r="AF37" s="194"/>
    </row>
    <row r="38" spans="2:32" s="8" customFormat="1" ht="16.5" customHeight="1">
      <c r="B38" s="55"/>
      <c r="C38" s="151"/>
      <c r="D38" s="151"/>
      <c r="E38" s="151"/>
      <c r="F38" s="197"/>
      <c r="G38" s="198"/>
      <c r="H38" s="199"/>
      <c r="I38" s="198"/>
      <c r="J38" s="173">
        <f t="shared" si="0"/>
        <v>20</v>
      </c>
      <c r="K38" s="174" t="e">
        <f t="shared" si="1"/>
        <v>#VALUE!</v>
      </c>
      <c r="L38" s="200"/>
      <c r="M38" s="202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649" t="str">
        <f t="shared" si="7"/>
        <v>--</v>
      </c>
      <c r="U38" s="650" t="str">
        <f t="shared" si="8"/>
        <v>--</v>
      </c>
      <c r="V38" s="651" t="str">
        <f t="shared" si="9"/>
        <v>--</v>
      </c>
      <c r="W38" s="652" t="str">
        <f t="shared" si="10"/>
        <v>--</v>
      </c>
      <c r="X38" s="653" t="str">
        <f t="shared" si="11"/>
        <v>--</v>
      </c>
      <c r="Y38" s="654" t="str">
        <f t="shared" si="12"/>
        <v>--</v>
      </c>
      <c r="Z38" s="655" t="str">
        <f t="shared" si="13"/>
        <v>--</v>
      </c>
      <c r="AA38" s="656" t="str">
        <f t="shared" si="14"/>
        <v>--</v>
      </c>
      <c r="AB38" s="657" t="str">
        <f t="shared" si="15"/>
        <v>--</v>
      </c>
      <c r="AC38" s="658" t="str">
        <f t="shared" si="16"/>
        <v>--</v>
      </c>
      <c r="AD38" s="192">
        <f t="shared" si="17"/>
      </c>
      <c r="AE38" s="193">
        <f t="shared" si="18"/>
      </c>
      <c r="AF38" s="194"/>
    </row>
    <row r="39" spans="2:32" s="8" customFormat="1" ht="16.5" customHeight="1">
      <c r="B39" s="55"/>
      <c r="C39" s="170"/>
      <c r="D39" s="170"/>
      <c r="E39" s="170"/>
      <c r="F39" s="197"/>
      <c r="G39" s="198"/>
      <c r="H39" s="199"/>
      <c r="I39" s="198"/>
      <c r="J39" s="173">
        <f t="shared" si="0"/>
        <v>20</v>
      </c>
      <c r="K39" s="174" t="e">
        <f t="shared" si="1"/>
        <v>#VALUE!</v>
      </c>
      <c r="L39" s="200"/>
      <c r="M39" s="202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649" t="str">
        <f t="shared" si="7"/>
        <v>--</v>
      </c>
      <c r="U39" s="650" t="str">
        <f t="shared" si="8"/>
        <v>--</v>
      </c>
      <c r="V39" s="651" t="str">
        <f t="shared" si="9"/>
        <v>--</v>
      </c>
      <c r="W39" s="652" t="str">
        <f t="shared" si="10"/>
        <v>--</v>
      </c>
      <c r="X39" s="653" t="str">
        <f t="shared" si="11"/>
        <v>--</v>
      </c>
      <c r="Y39" s="654" t="str">
        <f t="shared" si="12"/>
        <v>--</v>
      </c>
      <c r="Z39" s="655" t="str">
        <f t="shared" si="13"/>
        <v>--</v>
      </c>
      <c r="AA39" s="656" t="str">
        <f t="shared" si="14"/>
        <v>--</v>
      </c>
      <c r="AB39" s="657" t="str">
        <f t="shared" si="15"/>
        <v>--</v>
      </c>
      <c r="AC39" s="658" t="str">
        <f t="shared" si="16"/>
        <v>--</v>
      </c>
      <c r="AD39" s="192">
        <f t="shared" si="17"/>
      </c>
      <c r="AE39" s="193">
        <f t="shared" si="18"/>
      </c>
      <c r="AF39" s="194"/>
    </row>
    <row r="40" spans="2:32" s="8" customFormat="1" ht="16.5" customHeight="1">
      <c r="B40" s="55"/>
      <c r="C40" s="151"/>
      <c r="D40" s="151"/>
      <c r="E40" s="151"/>
      <c r="F40" s="197"/>
      <c r="G40" s="198"/>
      <c r="H40" s="199"/>
      <c r="I40" s="198"/>
      <c r="J40" s="173">
        <f t="shared" si="0"/>
        <v>20</v>
      </c>
      <c r="K40" s="174" t="e">
        <f t="shared" si="1"/>
        <v>#VALUE!</v>
      </c>
      <c r="L40" s="200"/>
      <c r="M40" s="202"/>
      <c r="N40" s="177">
        <f t="shared" si="2"/>
      </c>
      <c r="O40" s="178">
        <f t="shared" si="3"/>
      </c>
      <c r="P40" s="179"/>
      <c r="Q40" s="180">
        <f t="shared" si="4"/>
      </c>
      <c r="R40" s="181">
        <f t="shared" si="5"/>
      </c>
      <c r="S40" s="181">
        <f t="shared" si="6"/>
      </c>
      <c r="T40" s="649" t="str">
        <f t="shared" si="7"/>
        <v>--</v>
      </c>
      <c r="U40" s="650" t="str">
        <f t="shared" si="8"/>
        <v>--</v>
      </c>
      <c r="V40" s="651" t="str">
        <f t="shared" si="9"/>
        <v>--</v>
      </c>
      <c r="W40" s="652" t="str">
        <f t="shared" si="10"/>
        <v>--</v>
      </c>
      <c r="X40" s="653" t="str">
        <f t="shared" si="11"/>
        <v>--</v>
      </c>
      <c r="Y40" s="654" t="str">
        <f t="shared" si="12"/>
        <v>--</v>
      </c>
      <c r="Z40" s="655" t="str">
        <f t="shared" si="13"/>
        <v>--</v>
      </c>
      <c r="AA40" s="656" t="str">
        <f t="shared" si="14"/>
        <v>--</v>
      </c>
      <c r="AB40" s="657" t="str">
        <f t="shared" si="15"/>
        <v>--</v>
      </c>
      <c r="AC40" s="658" t="str">
        <f t="shared" si="16"/>
        <v>--</v>
      </c>
      <c r="AD40" s="192">
        <f t="shared" si="17"/>
      </c>
      <c r="AE40" s="193">
        <f t="shared" si="18"/>
      </c>
      <c r="AF40" s="194"/>
    </row>
    <row r="41" spans="2:32" s="8" customFormat="1" ht="16.5" customHeight="1" thickBot="1">
      <c r="B41" s="55"/>
      <c r="C41" s="170"/>
      <c r="D41" s="203"/>
      <c r="E41" s="170"/>
      <c r="F41" s="204"/>
      <c r="G41" s="205"/>
      <c r="H41" s="206"/>
      <c r="I41" s="207"/>
      <c r="J41" s="208"/>
      <c r="K41" s="209"/>
      <c r="L41" s="210"/>
      <c r="M41" s="210"/>
      <c r="N41" s="211"/>
      <c r="O41" s="211"/>
      <c r="P41" s="212"/>
      <c r="Q41" s="213"/>
      <c r="R41" s="212"/>
      <c r="S41" s="212"/>
      <c r="T41" s="214"/>
      <c r="U41" s="215"/>
      <c r="V41" s="216"/>
      <c r="W41" s="217"/>
      <c r="X41" s="218"/>
      <c r="Y41" s="219"/>
      <c r="Z41" s="220"/>
      <c r="AA41" s="221"/>
      <c r="AB41" s="222"/>
      <c r="AC41" s="223"/>
      <c r="AD41" s="224"/>
      <c r="AE41" s="225"/>
      <c r="AF41" s="194"/>
    </row>
    <row r="42" spans="2:32" s="8" customFormat="1" ht="16.5" customHeight="1" thickBot="1" thickTop="1">
      <c r="B42" s="55"/>
      <c r="C42" s="226" t="s">
        <v>252</v>
      </c>
      <c r="D42" s="252" t="s">
        <v>327</v>
      </c>
      <c r="E42" s="226"/>
      <c r="F42" s="227"/>
      <c r="G42" s="228"/>
      <c r="H42" s="229"/>
      <c r="I42" s="230"/>
      <c r="J42" s="229"/>
      <c r="K42" s="231"/>
      <c r="L42" s="231"/>
      <c r="M42" s="231"/>
      <c r="N42" s="231"/>
      <c r="O42" s="231"/>
      <c r="P42" s="231"/>
      <c r="Q42" s="232"/>
      <c r="R42" s="231"/>
      <c r="S42" s="231"/>
      <c r="T42" s="233">
        <f aca="true" t="shared" si="19" ref="T42:AC42">SUM(T18:T41)</f>
        <v>3413.5426320071992</v>
      </c>
      <c r="U42" s="234">
        <f t="shared" si="19"/>
        <v>0</v>
      </c>
      <c r="V42" s="235">
        <f t="shared" si="19"/>
        <v>0</v>
      </c>
      <c r="W42" s="235">
        <f t="shared" si="19"/>
        <v>0</v>
      </c>
      <c r="X42" s="235">
        <f t="shared" si="19"/>
        <v>0</v>
      </c>
      <c r="Y42" s="236">
        <f t="shared" si="19"/>
        <v>0</v>
      </c>
      <c r="Z42" s="236">
        <f t="shared" si="19"/>
        <v>0</v>
      </c>
      <c r="AA42" s="236">
        <f t="shared" si="19"/>
        <v>0</v>
      </c>
      <c r="AB42" s="237">
        <f t="shared" si="19"/>
        <v>0</v>
      </c>
      <c r="AC42" s="238">
        <f t="shared" si="19"/>
        <v>0</v>
      </c>
      <c r="AD42" s="239"/>
      <c r="AE42" s="240">
        <f>ROUND(SUM(AE18:AE41),2)</f>
        <v>3413.54</v>
      </c>
      <c r="AF42" s="194"/>
    </row>
    <row r="43" spans="2:32" s="8" customFormat="1" ht="16.5" customHeight="1" thickBot="1" thickTop="1"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3"/>
    </row>
    <row r="44" spans="2:32" ht="16.5" customHeight="1" thickTop="1">
      <c r="B44" s="244"/>
      <c r="C44" s="244"/>
      <c r="D44" s="244"/>
      <c r="AF44" s="244"/>
    </row>
  </sheetData>
  <sheetProtection password="CC12"/>
  <printOptions horizontalCentered="1"/>
  <pageMargins left="0.24" right="0.4" top="0.7874015748031497" bottom="0.7874015748031497" header="0.5118110236220472" footer="0.5118110236220472"/>
  <pageSetup fitToHeight="1" fitToWidth="1" horizontalDpi="600" verticalDpi="600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8"/>
  <sheetViews>
    <sheetView zoomScale="70" zoomScaleNormal="70" zoomScalePageLayoutView="0" workbookViewId="0" topLeftCell="B1">
      <selection activeCell="N47" sqref="N47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6.851562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4.00390625" style="9" hidden="1" customWidth="1"/>
    <col min="20" max="21" width="12.140625" style="9" hidden="1" customWidth="1"/>
    <col min="22" max="22" width="9.28125" style="9" hidden="1" customWidth="1"/>
    <col min="23" max="23" width="10.140625" style="9" hidden="1" customWidth="1"/>
    <col min="24" max="25" width="6.00390625" style="9" hidden="1" customWidth="1"/>
    <col min="26" max="26" width="11.7109375" style="9" hidden="1" customWidth="1"/>
    <col min="27" max="27" width="12.85156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55"/>
    </row>
    <row r="2" spans="1:30" s="3" customFormat="1" ht="26.25">
      <c r="A2" s="89"/>
      <c r="B2" s="256" t="str">
        <f>+'TOT-0312'!B2</f>
        <v>ANEXO IV al Memorándum D.T.E.E.  N° 783/ 2013</v>
      </c>
      <c r="C2" s="256"/>
      <c r="D2" s="256"/>
      <c r="E2" s="256"/>
      <c r="F2" s="256"/>
      <c r="G2" s="2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</row>
    <row r="3" spans="1:30" s="8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14" customFormat="1" ht="11.25">
      <c r="A4" s="257" t="s">
        <v>55</v>
      </c>
      <c r="B4" s="258"/>
      <c r="C4" s="258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</row>
    <row r="5" spans="1:30" s="14" customFormat="1" ht="11.25">
      <c r="A5" s="257" t="s">
        <v>3</v>
      </c>
      <c r="B5" s="258"/>
      <c r="C5" s="258"/>
      <c r="D5" s="258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</row>
    <row r="6" spans="1:30" s="8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8" customFormat="1" ht="13.5" thickTop="1">
      <c r="A7" s="90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95"/>
    </row>
    <row r="8" spans="1:30" s="18" customFormat="1" ht="20.25">
      <c r="A8" s="262"/>
      <c r="B8" s="263"/>
      <c r="C8" s="264"/>
      <c r="D8" s="264"/>
      <c r="E8" s="262"/>
      <c r="F8" s="265" t="s">
        <v>27</v>
      </c>
      <c r="G8" s="262"/>
      <c r="H8" s="262"/>
      <c r="I8" s="266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99"/>
    </row>
    <row r="9" spans="1:30" s="8" customFormat="1" ht="12.75">
      <c r="A9" s="90"/>
      <c r="B9" s="267"/>
      <c r="C9" s="84"/>
      <c r="D9" s="84"/>
      <c r="E9" s="90"/>
      <c r="F9" s="84"/>
      <c r="G9" s="268"/>
      <c r="H9" s="90"/>
      <c r="I9" s="84"/>
      <c r="J9" s="90"/>
      <c r="K9" s="90"/>
      <c r="L9" s="90"/>
      <c r="M9" s="90"/>
      <c r="N9" s="90"/>
      <c r="O9" s="90"/>
      <c r="P9" s="90"/>
      <c r="Q9" s="90"/>
      <c r="R9" s="90"/>
      <c r="S9" s="90"/>
      <c r="T9" s="84"/>
      <c r="U9" s="84"/>
      <c r="V9" s="84"/>
      <c r="W9" s="84"/>
      <c r="X9" s="84"/>
      <c r="Y9" s="84"/>
      <c r="Z9" s="84"/>
      <c r="AA9" s="84"/>
      <c r="AB9" s="84"/>
      <c r="AC9" s="84"/>
      <c r="AD9" s="100"/>
    </row>
    <row r="10" spans="1:30" s="275" customFormat="1" ht="30" customHeight="1">
      <c r="A10" s="269"/>
      <c r="B10" s="270"/>
      <c r="C10" s="271"/>
      <c r="D10" s="271"/>
      <c r="E10" s="269"/>
      <c r="F10" s="272" t="s">
        <v>56</v>
      </c>
      <c r="G10" s="269"/>
      <c r="H10" s="273"/>
      <c r="I10" s="271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4"/>
    </row>
    <row r="11" spans="1:30" s="279" customFormat="1" ht="9.75" customHeight="1">
      <c r="A11" s="276"/>
      <c r="B11" s="277"/>
      <c r="C11" s="278"/>
      <c r="D11" s="278"/>
      <c r="E11" s="276"/>
      <c r="G11" s="278"/>
      <c r="H11" s="278"/>
      <c r="I11" s="278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80"/>
    </row>
    <row r="12" spans="1:30" s="279" customFormat="1" ht="21" customHeight="1">
      <c r="A12" s="269"/>
      <c r="B12" s="270"/>
      <c r="C12" s="271"/>
      <c r="D12" s="271"/>
      <c r="E12" s="269"/>
      <c r="F12" s="281" t="s">
        <v>57</v>
      </c>
      <c r="G12" s="269"/>
      <c r="H12" s="269"/>
      <c r="I12" s="269"/>
      <c r="J12" s="282"/>
      <c r="K12" s="282"/>
      <c r="L12" s="282"/>
      <c r="M12" s="282"/>
      <c r="N12" s="282"/>
      <c r="O12" s="276"/>
      <c r="P12" s="276"/>
      <c r="Q12" s="276"/>
      <c r="R12" s="276"/>
      <c r="S12" s="276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80"/>
    </row>
    <row r="13" spans="1:30" s="8" customFormat="1" ht="12.75">
      <c r="A13" s="90"/>
      <c r="B13" s="267"/>
      <c r="C13" s="84"/>
      <c r="D13" s="84"/>
      <c r="E13" s="90"/>
      <c r="F13" s="84"/>
      <c r="G13" s="84"/>
      <c r="H13" s="84"/>
      <c r="I13" s="283"/>
      <c r="J13" s="84"/>
      <c r="K13" s="84"/>
      <c r="L13" s="84"/>
      <c r="M13" s="84"/>
      <c r="N13" s="84"/>
      <c r="O13" s="90"/>
      <c r="P13" s="90"/>
      <c r="Q13" s="90"/>
      <c r="R13" s="90"/>
      <c r="S13" s="90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00"/>
    </row>
    <row r="14" spans="1:30" s="34" customFormat="1" ht="19.5">
      <c r="A14" s="284"/>
      <c r="B14" s="35" t="str">
        <f>'TOT-0312'!B14</f>
        <v>Desde el 01 al 31 de Marzo de 2012</v>
      </c>
      <c r="C14" s="39"/>
      <c r="D14" s="39"/>
      <c r="E14" s="285"/>
      <c r="F14" s="286"/>
      <c r="G14" s="286"/>
      <c r="H14" s="286"/>
      <c r="I14" s="286"/>
      <c r="J14" s="286"/>
      <c r="K14" s="286"/>
      <c r="L14" s="286"/>
      <c r="M14" s="286"/>
      <c r="N14" s="286"/>
      <c r="O14" s="285"/>
      <c r="P14" s="285"/>
      <c r="Q14" s="285"/>
      <c r="R14" s="285"/>
      <c r="S14" s="285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7"/>
    </row>
    <row r="15" spans="1:30" s="8" customFormat="1" ht="13.5" thickBot="1">
      <c r="A15" s="90"/>
      <c r="B15" s="267"/>
      <c r="C15" s="84"/>
      <c r="D15" s="84"/>
      <c r="E15" s="90"/>
      <c r="F15" s="84"/>
      <c r="G15" s="84"/>
      <c r="H15" s="84"/>
      <c r="I15" s="283"/>
      <c r="J15" s="84"/>
      <c r="K15" s="84"/>
      <c r="L15" s="84"/>
      <c r="M15" s="84"/>
      <c r="N15" s="84"/>
      <c r="O15" s="90"/>
      <c r="P15" s="90"/>
      <c r="Q15" s="90"/>
      <c r="R15" s="90"/>
      <c r="S15" s="90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00"/>
    </row>
    <row r="16" spans="1:30" s="8" customFormat="1" ht="16.5" customHeight="1" thickBot="1" thickTop="1">
      <c r="A16" s="90"/>
      <c r="B16" s="267"/>
      <c r="C16" s="84"/>
      <c r="D16" s="84"/>
      <c r="E16" s="90"/>
      <c r="F16" s="288" t="s">
        <v>58</v>
      </c>
      <c r="G16" s="289"/>
      <c r="H16" s="290">
        <v>0.649</v>
      </c>
      <c r="J16" s="90"/>
      <c r="K16" s="90"/>
      <c r="L16" s="90"/>
      <c r="M16" s="90"/>
      <c r="N16" s="90"/>
      <c r="O16" s="90"/>
      <c r="P16" s="90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00"/>
    </row>
    <row r="17" spans="1:30" s="8" customFormat="1" ht="16.5" customHeight="1" thickBot="1" thickTop="1">
      <c r="A17" s="90"/>
      <c r="B17" s="267"/>
      <c r="C17" s="84"/>
      <c r="D17" s="84"/>
      <c r="E17" s="90"/>
      <c r="F17" s="291" t="s">
        <v>59</v>
      </c>
      <c r="G17" s="292"/>
      <c r="H17" s="293">
        <v>200</v>
      </c>
      <c r="I17" s="9"/>
      <c r="J17" s="84"/>
      <c r="K17" s="108"/>
      <c r="L17" s="109"/>
      <c r="M17" s="11"/>
      <c r="N17" s="84"/>
      <c r="O17" s="84"/>
      <c r="P17" s="84"/>
      <c r="Q17" s="84"/>
      <c r="R17" s="84"/>
      <c r="S17" s="84"/>
      <c r="T17" s="84"/>
      <c r="U17" s="84"/>
      <c r="V17" s="84"/>
      <c r="W17" s="294"/>
      <c r="X17" s="294"/>
      <c r="Y17" s="294"/>
      <c r="Z17" s="294"/>
      <c r="AA17" s="294"/>
      <c r="AB17" s="294"/>
      <c r="AC17" s="90"/>
      <c r="AD17" s="100"/>
    </row>
    <row r="18" spans="1:30" s="8" customFormat="1" ht="16.5" customHeight="1" thickBot="1" thickTop="1">
      <c r="A18" s="90"/>
      <c r="B18" s="267"/>
      <c r="C18" s="295">
        <v>3</v>
      </c>
      <c r="D18" s="295">
        <v>4</v>
      </c>
      <c r="E18" s="295">
        <v>5</v>
      </c>
      <c r="F18" s="295">
        <v>6</v>
      </c>
      <c r="G18" s="295">
        <v>7</v>
      </c>
      <c r="H18" s="295">
        <v>8</v>
      </c>
      <c r="I18" s="295">
        <v>9</v>
      </c>
      <c r="J18" s="295">
        <v>10</v>
      </c>
      <c r="K18" s="295">
        <v>11</v>
      </c>
      <c r="L18" s="295">
        <v>12</v>
      </c>
      <c r="M18" s="295">
        <v>13</v>
      </c>
      <c r="N18" s="295">
        <v>14</v>
      </c>
      <c r="O18" s="295">
        <v>15</v>
      </c>
      <c r="P18" s="295">
        <v>16</v>
      </c>
      <c r="Q18" s="295">
        <v>17</v>
      </c>
      <c r="R18" s="295">
        <v>18</v>
      </c>
      <c r="S18" s="295">
        <v>19</v>
      </c>
      <c r="T18" s="295">
        <v>20</v>
      </c>
      <c r="U18" s="295">
        <v>21</v>
      </c>
      <c r="V18" s="295">
        <v>22</v>
      </c>
      <c r="W18" s="295">
        <v>23</v>
      </c>
      <c r="X18" s="295">
        <v>24</v>
      </c>
      <c r="Y18" s="295">
        <v>25</v>
      </c>
      <c r="Z18" s="295">
        <v>26</v>
      </c>
      <c r="AA18" s="295">
        <v>27</v>
      </c>
      <c r="AB18" s="295">
        <v>28</v>
      </c>
      <c r="AC18" s="295">
        <v>29</v>
      </c>
      <c r="AD18" s="100"/>
    </row>
    <row r="19" spans="1:30" s="8" customFormat="1" ht="33.75" customHeight="1" thickBot="1" thickTop="1">
      <c r="A19" s="90"/>
      <c r="B19" s="267"/>
      <c r="C19" s="296" t="s">
        <v>32</v>
      </c>
      <c r="D19" s="112" t="s">
        <v>33</v>
      </c>
      <c r="E19" s="112" t="s">
        <v>34</v>
      </c>
      <c r="F19" s="297" t="s">
        <v>60</v>
      </c>
      <c r="G19" s="298" t="s">
        <v>61</v>
      </c>
      <c r="H19" s="299" t="s">
        <v>62</v>
      </c>
      <c r="I19" s="300" t="s">
        <v>35</v>
      </c>
      <c r="J19" s="301" t="s">
        <v>39</v>
      </c>
      <c r="K19" s="298" t="s">
        <v>40</v>
      </c>
      <c r="L19" s="298" t="s">
        <v>41</v>
      </c>
      <c r="M19" s="297" t="s">
        <v>63</v>
      </c>
      <c r="N19" s="297" t="s">
        <v>43</v>
      </c>
      <c r="O19" s="120" t="s">
        <v>251</v>
      </c>
      <c r="P19" s="120" t="s">
        <v>44</v>
      </c>
      <c r="Q19" s="302" t="s">
        <v>46</v>
      </c>
      <c r="R19" s="298" t="s">
        <v>64</v>
      </c>
      <c r="S19" s="303" t="s">
        <v>38</v>
      </c>
      <c r="T19" s="304" t="s">
        <v>47</v>
      </c>
      <c r="U19" s="305" t="s">
        <v>48</v>
      </c>
      <c r="V19" s="123" t="s">
        <v>65</v>
      </c>
      <c r="W19" s="125"/>
      <c r="X19" s="306" t="s">
        <v>66</v>
      </c>
      <c r="Y19" s="307"/>
      <c r="Z19" s="308" t="s">
        <v>51</v>
      </c>
      <c r="AA19" s="309" t="s">
        <v>52</v>
      </c>
      <c r="AB19" s="131" t="s">
        <v>53</v>
      </c>
      <c r="AC19" s="300" t="s">
        <v>54</v>
      </c>
      <c r="AD19" s="100"/>
    </row>
    <row r="20" spans="1:30" s="8" customFormat="1" ht="16.5" customHeight="1" thickTop="1">
      <c r="A20" s="90"/>
      <c r="B20" s="267"/>
      <c r="C20" s="310"/>
      <c r="D20" s="310"/>
      <c r="E20" s="310"/>
      <c r="F20" s="310"/>
      <c r="G20" s="310"/>
      <c r="H20" s="310"/>
      <c r="I20" s="311"/>
      <c r="J20" s="312"/>
      <c r="K20" s="310"/>
      <c r="L20" s="310"/>
      <c r="M20" s="310"/>
      <c r="N20" s="310"/>
      <c r="O20" s="310"/>
      <c r="P20" s="133"/>
      <c r="Q20" s="313"/>
      <c r="R20" s="310"/>
      <c r="S20" s="314"/>
      <c r="T20" s="315"/>
      <c r="U20" s="316"/>
      <c r="V20" s="317"/>
      <c r="W20" s="318"/>
      <c r="X20" s="319"/>
      <c r="Y20" s="320"/>
      <c r="Z20" s="321"/>
      <c r="AA20" s="322"/>
      <c r="AB20" s="313"/>
      <c r="AC20" s="323"/>
      <c r="AD20" s="100"/>
    </row>
    <row r="21" spans="1:30" s="8" customFormat="1" ht="16.5" customHeight="1">
      <c r="A21" s="90"/>
      <c r="B21" s="267"/>
      <c r="C21" s="151"/>
      <c r="D21" s="151"/>
      <c r="E21" s="151"/>
      <c r="F21" s="151"/>
      <c r="G21" s="151"/>
      <c r="H21" s="151"/>
      <c r="I21" s="324"/>
      <c r="J21" s="325"/>
      <c r="K21" s="151"/>
      <c r="L21" s="151"/>
      <c r="M21" s="151"/>
      <c r="N21" s="151"/>
      <c r="O21" s="151"/>
      <c r="P21" s="158"/>
      <c r="Q21" s="326"/>
      <c r="R21" s="151"/>
      <c r="S21" s="327"/>
      <c r="T21" s="328"/>
      <c r="U21" s="329"/>
      <c r="V21" s="330"/>
      <c r="W21" s="331"/>
      <c r="X21" s="332"/>
      <c r="Y21" s="333"/>
      <c r="Z21" s="334"/>
      <c r="AA21" s="335"/>
      <c r="AB21" s="326"/>
      <c r="AC21" s="336"/>
      <c r="AD21" s="100"/>
    </row>
    <row r="22" spans="1:30" s="8" customFormat="1" ht="16.5" customHeight="1">
      <c r="A22" s="90"/>
      <c r="B22" s="267"/>
      <c r="C22" s="251">
        <v>23</v>
      </c>
      <c r="D22" s="251">
        <v>245238</v>
      </c>
      <c r="E22" s="251">
        <v>66</v>
      </c>
      <c r="F22" s="151" t="s">
        <v>307</v>
      </c>
      <c r="G22" s="513" t="s">
        <v>308</v>
      </c>
      <c r="H22" s="151">
        <v>300</v>
      </c>
      <c r="I22" s="514" t="s">
        <v>78</v>
      </c>
      <c r="J22" s="341">
        <f aca="true" t="shared" si="0" ref="J22:J43">H22*$H$16</f>
        <v>194.70000000000002</v>
      </c>
      <c r="K22" s="487">
        <v>40969.19027777778</v>
      </c>
      <c r="L22" s="487">
        <v>40969.407638888886</v>
      </c>
      <c r="M22" s="343">
        <f>IF(F22="","",(L22-K22)*24)</f>
        <v>5.216666666558012</v>
      </c>
      <c r="N22" s="344">
        <f>IF(F22="","",ROUND((L22-K22)*24*60,0))</f>
        <v>313</v>
      </c>
      <c r="O22" s="251" t="s">
        <v>256</v>
      </c>
      <c r="P22" s="254" t="str">
        <f aca="true" t="shared" si="1" ref="P22:P43">IF(F22="","","--")</f>
        <v>--</v>
      </c>
      <c r="Q22" s="346" t="str">
        <f>IF(F22="","",IF(OR(O22="P",O22="RP"),"--","NO"))</f>
        <v>NO</v>
      </c>
      <c r="R22" s="181" t="str">
        <f>IF(F22="","","NO")</f>
        <v>NO</v>
      </c>
      <c r="S22" s="347">
        <f>$H$17*IF(OR(O22="P",O22="RP"),0.1,1)*IF(R22="SI",1,0.1)</f>
        <v>20</v>
      </c>
      <c r="T22" s="348" t="str">
        <f>IF(O22="P",J22*S22*ROUND(N22/60,2),"--")</f>
        <v>--</v>
      </c>
      <c r="U22" s="349" t="str">
        <f>IF(O22="RP",J22*S22*P22/100*ROUND(N22/60,2),"--")</f>
        <v>--</v>
      </c>
      <c r="V22" s="350">
        <f>IF(AND(O22="F",Q22="NO"),J22*S22,"--")</f>
        <v>3894.0000000000005</v>
      </c>
      <c r="W22" s="351">
        <f>IF(O22="F",J22*S22*ROUND(N22/60,2),"--")</f>
        <v>20326.68</v>
      </c>
      <c r="X22" s="352" t="str">
        <f>IF(AND(O22="R",Q22="NO"),J22*S22*P22/100,"--")</f>
        <v>--</v>
      </c>
      <c r="Y22" s="353" t="str">
        <f>IF(O22="R",J22*S22*P22/100*ROUND(N22/60,2),"--")</f>
        <v>--</v>
      </c>
      <c r="Z22" s="354" t="str">
        <f>IF(O22="RF",J22*S22*ROUND(N22/60,2),"--")</f>
        <v>--</v>
      </c>
      <c r="AA22" s="355" t="str">
        <f>IF(O22="RR",J22*S22*P22/100*ROUND(N22/60,2),"--")</f>
        <v>--</v>
      </c>
      <c r="AB22" s="356" t="s">
        <v>77</v>
      </c>
      <c r="AC22" s="193">
        <f aca="true" t="shared" si="2" ref="AC22:AC43">IF(F22="","",(SUM(T22:AA22)*IF(AB22="SI",1,2)*IF(AND(P22&lt;&gt;"--",O22="RF"),P22/100,1)))</f>
        <v>24220.68</v>
      </c>
      <c r="AD22" s="100"/>
    </row>
    <row r="23" spans="1:30" s="8" customFormat="1" ht="16.5" customHeight="1">
      <c r="A23" s="90"/>
      <c r="B23" s="267"/>
      <c r="C23" s="251">
        <v>24</v>
      </c>
      <c r="D23" s="251">
        <v>245252</v>
      </c>
      <c r="E23" s="251">
        <v>66</v>
      </c>
      <c r="F23" s="151" t="s">
        <v>307</v>
      </c>
      <c r="G23" s="513" t="s">
        <v>308</v>
      </c>
      <c r="H23" s="151">
        <v>300</v>
      </c>
      <c r="I23" s="514" t="s">
        <v>78</v>
      </c>
      <c r="J23" s="341">
        <f t="shared" si="0"/>
        <v>194.70000000000002</v>
      </c>
      <c r="K23" s="487">
        <v>40971.27777777778</v>
      </c>
      <c r="L23" s="487">
        <v>40971.39375</v>
      </c>
      <c r="M23" s="343">
        <f>IF(F23="","",(L23-K23)*24)</f>
        <v>2.7833333333255723</v>
      </c>
      <c r="N23" s="344">
        <f>IF(F23="","",ROUND((L23-K23)*24*60,0))</f>
        <v>167</v>
      </c>
      <c r="O23" s="251" t="s">
        <v>253</v>
      </c>
      <c r="P23" s="254" t="str">
        <f t="shared" si="1"/>
        <v>--</v>
      </c>
      <c r="Q23" s="346" t="str">
        <f>IF(F23="","",IF(OR(O23="P",O23="RP"),"--","NO"))</f>
        <v>--</v>
      </c>
      <c r="R23" s="181" t="str">
        <f>IF(F23="","","NO")</f>
        <v>NO</v>
      </c>
      <c r="S23" s="347">
        <f>$H$17*IF(OR(O23="P",O23="RP"),0.1,1)*IF(R23="SI",1,0.1)</f>
        <v>2</v>
      </c>
      <c r="T23" s="348">
        <f>IF(O23="P",J23*S23*ROUND(N23/60,2),"--")</f>
        <v>1082.532</v>
      </c>
      <c r="U23" s="349" t="str">
        <f>IF(O23="RP",J23*S23*P23/100*ROUND(N23/60,2),"--")</f>
        <v>--</v>
      </c>
      <c r="V23" s="350" t="str">
        <f>IF(AND(O23="F",Q23="NO"),J23*S23,"--")</f>
        <v>--</v>
      </c>
      <c r="W23" s="351" t="str">
        <f>IF(O23="F",J23*S23*ROUND(N23/60,2),"--")</f>
        <v>--</v>
      </c>
      <c r="X23" s="352" t="str">
        <f>IF(AND(O23="R",Q23="NO"),J23*S23*P23/100,"--")</f>
        <v>--</v>
      </c>
      <c r="Y23" s="353" t="str">
        <f>IF(O23="R",J23*S23*P23/100*ROUND(N23/60,2),"--")</f>
        <v>--</v>
      </c>
      <c r="Z23" s="354" t="str">
        <f>IF(O23="RF",J23*S23*ROUND(N23/60,2),"--")</f>
        <v>--</v>
      </c>
      <c r="AA23" s="355" t="str">
        <f>IF(O23="RR",J23*S23*P23/100*ROUND(N23/60,2),"--")</f>
        <v>--</v>
      </c>
      <c r="AB23" s="356" t="s">
        <v>77</v>
      </c>
      <c r="AC23" s="193">
        <f t="shared" si="2"/>
        <v>1082.532</v>
      </c>
      <c r="AD23" s="100"/>
    </row>
    <row r="24" spans="1:30" s="8" customFormat="1" ht="16.5" customHeight="1">
      <c r="A24" s="90"/>
      <c r="B24" s="267"/>
      <c r="C24" s="251">
        <v>25</v>
      </c>
      <c r="D24" s="170">
        <v>245254</v>
      </c>
      <c r="E24" s="170">
        <v>84</v>
      </c>
      <c r="F24" s="337" t="s">
        <v>261</v>
      </c>
      <c r="G24" s="338" t="s">
        <v>262</v>
      </c>
      <c r="H24" s="339">
        <v>150</v>
      </c>
      <c r="I24" s="512" t="s">
        <v>310</v>
      </c>
      <c r="J24" s="341">
        <f t="shared" si="0"/>
        <v>97.35000000000001</v>
      </c>
      <c r="K24" s="342">
        <v>40971.43263888889</v>
      </c>
      <c r="L24" s="342">
        <v>40971.55972222222</v>
      </c>
      <c r="M24" s="343">
        <f aca="true" t="shared" si="3" ref="M24:M43">IF(F24="","",(L24-K24)*24)</f>
        <v>3.0499999999883585</v>
      </c>
      <c r="N24" s="344">
        <f aca="true" t="shared" si="4" ref="N24:N43">IF(F24="","",ROUND((L24-K24)*24*60,0))</f>
        <v>183</v>
      </c>
      <c r="O24" s="345" t="s">
        <v>256</v>
      </c>
      <c r="P24" s="254" t="str">
        <f t="shared" si="1"/>
        <v>--</v>
      </c>
      <c r="Q24" s="346" t="str">
        <f aca="true" t="shared" si="5" ref="Q24:Q43">IF(F24="","",IF(OR(O24="P",O24="RP"),"--","NO"))</f>
        <v>NO</v>
      </c>
      <c r="R24" s="181" t="str">
        <f aca="true" t="shared" si="6" ref="R24:R43">IF(F24="","","NO")</f>
        <v>NO</v>
      </c>
      <c r="S24" s="347">
        <f aca="true" t="shared" si="7" ref="S24:S43">$H$17*IF(OR(O24="P",O24="RP"),0.1,1)*IF(R24="SI",1,0.1)</f>
        <v>20</v>
      </c>
      <c r="T24" s="348" t="str">
        <f aca="true" t="shared" si="8" ref="T24:T43">IF(O24="P",J24*S24*ROUND(N24/60,2),"--")</f>
        <v>--</v>
      </c>
      <c r="U24" s="349" t="str">
        <f aca="true" t="shared" si="9" ref="U24:U43">IF(O24="RP",J24*S24*P24/100*ROUND(N24/60,2),"--")</f>
        <v>--</v>
      </c>
      <c r="V24" s="350">
        <f aca="true" t="shared" si="10" ref="V24:V43">IF(AND(O24="F",Q24="NO"),J24*S24,"--")</f>
        <v>1947.0000000000002</v>
      </c>
      <c r="W24" s="351">
        <f aca="true" t="shared" si="11" ref="W24:W43">IF(O24="F",J24*S24*ROUND(N24/60,2),"--")</f>
        <v>5938.35</v>
      </c>
      <c r="X24" s="352" t="str">
        <f aca="true" t="shared" si="12" ref="X24:X43">IF(AND(O24="R",Q24="NO"),J24*S24*P24/100,"--")</f>
        <v>--</v>
      </c>
      <c r="Y24" s="353" t="str">
        <f aca="true" t="shared" si="13" ref="Y24:Y43">IF(O24="R",J24*S24*P24/100*ROUND(N24/60,2),"--")</f>
        <v>--</v>
      </c>
      <c r="Z24" s="354" t="str">
        <f aca="true" t="shared" si="14" ref="Z24:Z43">IF(O24="RF",J24*S24*ROUND(N24/60,2),"--")</f>
        <v>--</v>
      </c>
      <c r="AA24" s="355" t="str">
        <f aca="true" t="shared" si="15" ref="AA24:AA43">IF(O24="RR",J24*S24*P24/100*ROUND(N24/60,2),"--")</f>
        <v>--</v>
      </c>
      <c r="AB24" s="356" t="s">
        <v>77</v>
      </c>
      <c r="AC24" s="193">
        <f t="shared" si="2"/>
        <v>7885.35</v>
      </c>
      <c r="AD24" s="100"/>
    </row>
    <row r="25" spans="1:30" s="8" customFormat="1" ht="16.5" customHeight="1">
      <c r="A25" s="90"/>
      <c r="B25" s="267"/>
      <c r="C25" s="251">
        <v>26</v>
      </c>
      <c r="D25" s="151">
        <v>245331</v>
      </c>
      <c r="E25" s="151">
        <v>60</v>
      </c>
      <c r="F25" s="337" t="s">
        <v>263</v>
      </c>
      <c r="G25" s="338" t="s">
        <v>264</v>
      </c>
      <c r="H25" s="339">
        <v>100</v>
      </c>
      <c r="I25" s="512" t="s">
        <v>79</v>
      </c>
      <c r="J25" s="341">
        <f t="shared" si="0"/>
        <v>64.9</v>
      </c>
      <c r="K25" s="342">
        <v>40975.45138888889</v>
      </c>
      <c r="L25" s="342">
        <v>40975.60625</v>
      </c>
      <c r="M25" s="343">
        <f t="shared" si="3"/>
        <v>3.7166666665580124</v>
      </c>
      <c r="N25" s="344">
        <f t="shared" si="4"/>
        <v>223</v>
      </c>
      <c r="O25" s="345" t="s">
        <v>253</v>
      </c>
      <c r="P25" s="254" t="str">
        <f t="shared" si="1"/>
        <v>--</v>
      </c>
      <c r="Q25" s="346" t="str">
        <f t="shared" si="5"/>
        <v>--</v>
      </c>
      <c r="R25" s="181" t="str">
        <f t="shared" si="6"/>
        <v>NO</v>
      </c>
      <c r="S25" s="347">
        <f t="shared" si="7"/>
        <v>2</v>
      </c>
      <c r="T25" s="348">
        <f t="shared" si="8"/>
        <v>482.85600000000005</v>
      </c>
      <c r="U25" s="349" t="str">
        <f t="shared" si="9"/>
        <v>--</v>
      </c>
      <c r="V25" s="350" t="str">
        <f t="shared" si="10"/>
        <v>--</v>
      </c>
      <c r="W25" s="351" t="str">
        <f t="shared" si="11"/>
        <v>--</v>
      </c>
      <c r="X25" s="352" t="str">
        <f t="shared" si="12"/>
        <v>--</v>
      </c>
      <c r="Y25" s="353" t="str">
        <f t="shared" si="13"/>
        <v>--</v>
      </c>
      <c r="Z25" s="354" t="str">
        <f t="shared" si="14"/>
        <v>--</v>
      </c>
      <c r="AA25" s="355" t="str">
        <f t="shared" si="15"/>
        <v>--</v>
      </c>
      <c r="AB25" s="356" t="s">
        <v>77</v>
      </c>
      <c r="AC25" s="193">
        <v>0</v>
      </c>
      <c r="AD25" s="100"/>
    </row>
    <row r="26" spans="1:30" s="8" customFormat="1" ht="16.5" customHeight="1">
      <c r="A26" s="90"/>
      <c r="B26" s="267"/>
      <c r="C26" s="251">
        <v>27</v>
      </c>
      <c r="D26" s="170">
        <v>245340</v>
      </c>
      <c r="E26" s="170">
        <v>1689</v>
      </c>
      <c r="F26" s="337" t="s">
        <v>263</v>
      </c>
      <c r="G26" s="338" t="s">
        <v>265</v>
      </c>
      <c r="H26" s="339">
        <v>150</v>
      </c>
      <c r="I26" s="512" t="s">
        <v>79</v>
      </c>
      <c r="J26" s="341">
        <f t="shared" si="0"/>
        <v>97.35000000000001</v>
      </c>
      <c r="K26" s="342">
        <v>40977.436111111114</v>
      </c>
      <c r="L26" s="342">
        <v>40977.620833333334</v>
      </c>
      <c r="M26" s="343">
        <f t="shared" si="3"/>
        <v>4.433333333290648</v>
      </c>
      <c r="N26" s="344">
        <f t="shared" si="4"/>
        <v>266</v>
      </c>
      <c r="O26" s="345" t="s">
        <v>253</v>
      </c>
      <c r="P26" s="254" t="str">
        <f t="shared" si="1"/>
        <v>--</v>
      </c>
      <c r="Q26" s="346" t="str">
        <f t="shared" si="5"/>
        <v>--</v>
      </c>
      <c r="R26" s="181" t="str">
        <f t="shared" si="6"/>
        <v>NO</v>
      </c>
      <c r="S26" s="347">
        <f t="shared" si="7"/>
        <v>2</v>
      </c>
      <c r="T26" s="348">
        <f t="shared" si="8"/>
        <v>862.5210000000001</v>
      </c>
      <c r="U26" s="349" t="str">
        <f t="shared" si="9"/>
        <v>--</v>
      </c>
      <c r="V26" s="350" t="str">
        <f t="shared" si="10"/>
        <v>--</v>
      </c>
      <c r="W26" s="351" t="str">
        <f t="shared" si="11"/>
        <v>--</v>
      </c>
      <c r="X26" s="352" t="str">
        <f t="shared" si="12"/>
        <v>--</v>
      </c>
      <c r="Y26" s="353" t="str">
        <f t="shared" si="13"/>
        <v>--</v>
      </c>
      <c r="Z26" s="354" t="str">
        <f t="shared" si="14"/>
        <v>--</v>
      </c>
      <c r="AA26" s="355" t="str">
        <f t="shared" si="15"/>
        <v>--</v>
      </c>
      <c r="AB26" s="356" t="s">
        <v>77</v>
      </c>
      <c r="AC26" s="193">
        <v>0</v>
      </c>
      <c r="AD26" s="100"/>
    </row>
    <row r="27" spans="1:30" s="8" customFormat="1" ht="16.5" customHeight="1">
      <c r="A27" s="90"/>
      <c r="B27" s="267"/>
      <c r="C27" s="251">
        <v>28</v>
      </c>
      <c r="D27" s="151">
        <v>245347</v>
      </c>
      <c r="E27" s="151">
        <v>75</v>
      </c>
      <c r="F27" s="337" t="s">
        <v>309</v>
      </c>
      <c r="G27" s="338" t="s">
        <v>308</v>
      </c>
      <c r="H27" s="339">
        <v>150</v>
      </c>
      <c r="I27" s="512" t="s">
        <v>310</v>
      </c>
      <c r="J27" s="341">
        <f t="shared" si="0"/>
        <v>97.35000000000001</v>
      </c>
      <c r="K27" s="342">
        <v>40979.33194444444</v>
      </c>
      <c r="L27" s="342">
        <v>40979.45486111111</v>
      </c>
      <c r="M27" s="343">
        <f t="shared" si="3"/>
        <v>2.9500000000116415</v>
      </c>
      <c r="N27" s="344">
        <f t="shared" si="4"/>
        <v>177</v>
      </c>
      <c r="O27" s="345" t="s">
        <v>253</v>
      </c>
      <c r="P27" s="254" t="str">
        <f t="shared" si="1"/>
        <v>--</v>
      </c>
      <c r="Q27" s="346" t="str">
        <f t="shared" si="5"/>
        <v>--</v>
      </c>
      <c r="R27" s="181" t="str">
        <f t="shared" si="6"/>
        <v>NO</v>
      </c>
      <c r="S27" s="347">
        <f t="shared" si="7"/>
        <v>2</v>
      </c>
      <c r="T27" s="348">
        <f t="shared" si="8"/>
        <v>574.3650000000001</v>
      </c>
      <c r="U27" s="349" t="str">
        <f t="shared" si="9"/>
        <v>--</v>
      </c>
      <c r="V27" s="350" t="str">
        <f t="shared" si="10"/>
        <v>--</v>
      </c>
      <c r="W27" s="351" t="str">
        <f t="shared" si="11"/>
        <v>--</v>
      </c>
      <c r="X27" s="352" t="str">
        <f t="shared" si="12"/>
        <v>--</v>
      </c>
      <c r="Y27" s="353" t="str">
        <f t="shared" si="13"/>
        <v>--</v>
      </c>
      <c r="Z27" s="354" t="str">
        <f t="shared" si="14"/>
        <v>--</v>
      </c>
      <c r="AA27" s="355" t="str">
        <f t="shared" si="15"/>
        <v>--</v>
      </c>
      <c r="AB27" s="356" t="str">
        <f aca="true" t="shared" si="16" ref="AB27:AB43">IF(F27="","","SI")</f>
        <v>SI</v>
      </c>
      <c r="AC27" s="193">
        <f t="shared" si="2"/>
        <v>574.3650000000001</v>
      </c>
      <c r="AD27" s="100"/>
    </row>
    <row r="28" spans="1:30" s="8" customFormat="1" ht="16.5" customHeight="1">
      <c r="A28" s="90"/>
      <c r="B28" s="267"/>
      <c r="C28" s="251">
        <v>29</v>
      </c>
      <c r="D28" s="170">
        <v>245050</v>
      </c>
      <c r="E28" s="170">
        <v>66</v>
      </c>
      <c r="F28" s="337" t="s">
        <v>307</v>
      </c>
      <c r="G28" s="338" t="s">
        <v>308</v>
      </c>
      <c r="H28" s="339">
        <v>300</v>
      </c>
      <c r="I28" s="512" t="s">
        <v>78</v>
      </c>
      <c r="J28" s="341">
        <f t="shared" si="0"/>
        <v>194.70000000000002</v>
      </c>
      <c r="K28" s="342">
        <v>40995.36666666667</v>
      </c>
      <c r="L28" s="342">
        <v>40995.69930555556</v>
      </c>
      <c r="M28" s="343">
        <f t="shared" si="3"/>
        <v>7.983333333337214</v>
      </c>
      <c r="N28" s="344">
        <f t="shared" si="4"/>
        <v>479</v>
      </c>
      <c r="O28" s="345" t="s">
        <v>253</v>
      </c>
      <c r="P28" s="254" t="str">
        <f t="shared" si="1"/>
        <v>--</v>
      </c>
      <c r="Q28" s="346" t="str">
        <f t="shared" si="5"/>
        <v>--</v>
      </c>
      <c r="R28" s="181" t="str">
        <f t="shared" si="6"/>
        <v>NO</v>
      </c>
      <c r="S28" s="347">
        <f t="shared" si="7"/>
        <v>2</v>
      </c>
      <c r="T28" s="348">
        <f t="shared" si="8"/>
        <v>3107.4120000000003</v>
      </c>
      <c r="U28" s="349" t="str">
        <f t="shared" si="9"/>
        <v>--</v>
      </c>
      <c r="V28" s="350" t="str">
        <f t="shared" si="10"/>
        <v>--</v>
      </c>
      <c r="W28" s="351" t="str">
        <f t="shared" si="11"/>
        <v>--</v>
      </c>
      <c r="X28" s="352" t="str">
        <f t="shared" si="12"/>
        <v>--</v>
      </c>
      <c r="Y28" s="353" t="str">
        <f t="shared" si="13"/>
        <v>--</v>
      </c>
      <c r="Z28" s="354" t="str">
        <f t="shared" si="14"/>
        <v>--</v>
      </c>
      <c r="AA28" s="355" t="str">
        <f t="shared" si="15"/>
        <v>--</v>
      </c>
      <c r="AB28" s="356" t="str">
        <f t="shared" si="16"/>
        <v>SI</v>
      </c>
      <c r="AC28" s="193">
        <f t="shared" si="2"/>
        <v>3107.4120000000003</v>
      </c>
      <c r="AD28" s="100"/>
    </row>
    <row r="29" spans="1:30" s="8" customFormat="1" ht="16.5" customHeight="1">
      <c r="A29" s="90"/>
      <c r="B29" s="267"/>
      <c r="C29" s="251">
        <v>30</v>
      </c>
      <c r="D29" s="151">
        <v>245060</v>
      </c>
      <c r="E29" s="151">
        <v>66</v>
      </c>
      <c r="F29" s="337" t="s">
        <v>307</v>
      </c>
      <c r="G29" s="338" t="s">
        <v>308</v>
      </c>
      <c r="H29" s="339">
        <v>300</v>
      </c>
      <c r="I29" s="512" t="s">
        <v>78</v>
      </c>
      <c r="J29" s="341">
        <f t="shared" si="0"/>
        <v>194.70000000000002</v>
      </c>
      <c r="K29" s="342">
        <v>40996.38125</v>
      </c>
      <c r="L29" s="342">
        <v>40996.708333333336</v>
      </c>
      <c r="M29" s="343">
        <f t="shared" si="3"/>
        <v>7.850000000093132</v>
      </c>
      <c r="N29" s="344">
        <f t="shared" si="4"/>
        <v>471</v>
      </c>
      <c r="O29" s="345" t="s">
        <v>253</v>
      </c>
      <c r="P29" s="254" t="str">
        <f t="shared" si="1"/>
        <v>--</v>
      </c>
      <c r="Q29" s="346" t="str">
        <f t="shared" si="5"/>
        <v>--</v>
      </c>
      <c r="R29" s="181" t="str">
        <f t="shared" si="6"/>
        <v>NO</v>
      </c>
      <c r="S29" s="347">
        <f t="shared" si="7"/>
        <v>2</v>
      </c>
      <c r="T29" s="348">
        <f t="shared" si="8"/>
        <v>3056.79</v>
      </c>
      <c r="U29" s="349" t="str">
        <f t="shared" si="9"/>
        <v>--</v>
      </c>
      <c r="V29" s="350" t="str">
        <f t="shared" si="10"/>
        <v>--</v>
      </c>
      <c r="W29" s="351" t="str">
        <f t="shared" si="11"/>
        <v>--</v>
      </c>
      <c r="X29" s="352" t="str">
        <f t="shared" si="12"/>
        <v>--</v>
      </c>
      <c r="Y29" s="353" t="str">
        <f t="shared" si="13"/>
        <v>--</v>
      </c>
      <c r="Z29" s="354" t="str">
        <f t="shared" si="14"/>
        <v>--</v>
      </c>
      <c r="AA29" s="355" t="str">
        <f t="shared" si="15"/>
        <v>--</v>
      </c>
      <c r="AB29" s="356" t="str">
        <f t="shared" si="16"/>
        <v>SI</v>
      </c>
      <c r="AC29" s="193">
        <f t="shared" si="2"/>
        <v>3056.79</v>
      </c>
      <c r="AD29" s="100"/>
    </row>
    <row r="30" spans="1:31" s="8" customFormat="1" ht="16.5" customHeight="1">
      <c r="A30" s="90"/>
      <c r="B30" s="267"/>
      <c r="C30" s="251">
        <v>31</v>
      </c>
      <c r="D30" s="170">
        <v>246063</v>
      </c>
      <c r="E30" s="170">
        <v>67</v>
      </c>
      <c r="F30" s="337" t="s">
        <v>307</v>
      </c>
      <c r="G30" s="338" t="s">
        <v>311</v>
      </c>
      <c r="H30" s="339">
        <v>300</v>
      </c>
      <c r="I30" s="512" t="s">
        <v>78</v>
      </c>
      <c r="J30" s="341">
        <f t="shared" si="0"/>
        <v>194.70000000000002</v>
      </c>
      <c r="K30" s="342">
        <v>40997.38263888889</v>
      </c>
      <c r="L30" s="342">
        <v>40997.67013888889</v>
      </c>
      <c r="M30" s="343">
        <f t="shared" si="3"/>
        <v>6.899999999965075</v>
      </c>
      <c r="N30" s="344">
        <f t="shared" si="4"/>
        <v>414</v>
      </c>
      <c r="O30" s="345" t="s">
        <v>253</v>
      </c>
      <c r="P30" s="254" t="str">
        <f t="shared" si="1"/>
        <v>--</v>
      </c>
      <c r="Q30" s="346" t="str">
        <f t="shared" si="5"/>
        <v>--</v>
      </c>
      <c r="R30" s="181" t="str">
        <f t="shared" si="6"/>
        <v>NO</v>
      </c>
      <c r="S30" s="347">
        <f t="shared" si="7"/>
        <v>2</v>
      </c>
      <c r="T30" s="348">
        <f t="shared" si="8"/>
        <v>2686.8600000000006</v>
      </c>
      <c r="U30" s="349" t="str">
        <f t="shared" si="9"/>
        <v>--</v>
      </c>
      <c r="V30" s="350" t="str">
        <f t="shared" si="10"/>
        <v>--</v>
      </c>
      <c r="W30" s="351" t="str">
        <f t="shared" si="11"/>
        <v>--</v>
      </c>
      <c r="X30" s="352" t="str">
        <f t="shared" si="12"/>
        <v>--</v>
      </c>
      <c r="Y30" s="353" t="str">
        <f t="shared" si="13"/>
        <v>--</v>
      </c>
      <c r="Z30" s="354" t="str">
        <f t="shared" si="14"/>
        <v>--</v>
      </c>
      <c r="AA30" s="355" t="str">
        <f t="shared" si="15"/>
        <v>--</v>
      </c>
      <c r="AB30" s="356" t="str">
        <f t="shared" si="16"/>
        <v>SI</v>
      </c>
      <c r="AC30" s="193">
        <f t="shared" si="2"/>
        <v>2686.8600000000006</v>
      </c>
      <c r="AD30" s="100"/>
      <c r="AE30" s="84"/>
    </row>
    <row r="31" spans="1:30" s="8" customFormat="1" ht="16.5" customHeight="1">
      <c r="A31" s="90"/>
      <c r="B31" s="267"/>
      <c r="C31" s="251">
        <v>32</v>
      </c>
      <c r="D31" s="151">
        <v>249534</v>
      </c>
      <c r="E31" s="151">
        <v>5209</v>
      </c>
      <c r="F31" s="337" t="s">
        <v>312</v>
      </c>
      <c r="G31" s="338" t="s">
        <v>308</v>
      </c>
      <c r="H31" s="339">
        <v>300</v>
      </c>
      <c r="I31" s="512" t="s">
        <v>78</v>
      </c>
      <c r="J31" s="341">
        <f t="shared" si="0"/>
        <v>194.70000000000002</v>
      </c>
      <c r="K31" s="342">
        <v>40997.43263888889</v>
      </c>
      <c r="L31" s="342">
        <v>40997.62986111111</v>
      </c>
      <c r="M31" s="343">
        <f t="shared" si="3"/>
        <v>4.7333333333954215</v>
      </c>
      <c r="N31" s="344">
        <f t="shared" si="4"/>
        <v>284</v>
      </c>
      <c r="O31" s="345" t="s">
        <v>253</v>
      </c>
      <c r="P31" s="254" t="str">
        <f t="shared" si="1"/>
        <v>--</v>
      </c>
      <c r="Q31" s="346" t="str">
        <f t="shared" si="5"/>
        <v>--</v>
      </c>
      <c r="R31" s="181" t="str">
        <f t="shared" si="6"/>
        <v>NO</v>
      </c>
      <c r="S31" s="347">
        <f t="shared" si="7"/>
        <v>2</v>
      </c>
      <c r="T31" s="348">
        <f t="shared" si="8"/>
        <v>1841.8620000000003</v>
      </c>
      <c r="U31" s="349" t="str">
        <f t="shared" si="9"/>
        <v>--</v>
      </c>
      <c r="V31" s="350" t="str">
        <f t="shared" si="10"/>
        <v>--</v>
      </c>
      <c r="W31" s="351" t="str">
        <f t="shared" si="11"/>
        <v>--</v>
      </c>
      <c r="X31" s="352" t="str">
        <f t="shared" si="12"/>
        <v>--</v>
      </c>
      <c r="Y31" s="353" t="str">
        <f t="shared" si="13"/>
        <v>--</v>
      </c>
      <c r="Z31" s="354" t="str">
        <f t="shared" si="14"/>
        <v>--</v>
      </c>
      <c r="AA31" s="355" t="str">
        <f t="shared" si="15"/>
        <v>--</v>
      </c>
      <c r="AB31" s="356" t="str">
        <f t="shared" si="16"/>
        <v>SI</v>
      </c>
      <c r="AC31" s="193">
        <f t="shared" si="2"/>
        <v>1841.8620000000003</v>
      </c>
      <c r="AD31" s="100"/>
    </row>
    <row r="32" spans="1:30" s="8" customFormat="1" ht="16.5" customHeight="1">
      <c r="A32" s="90"/>
      <c r="B32" s="267"/>
      <c r="C32" s="170"/>
      <c r="D32" s="170"/>
      <c r="E32" s="170"/>
      <c r="F32" s="337"/>
      <c r="G32" s="338"/>
      <c r="H32" s="339"/>
      <c r="I32" s="340"/>
      <c r="J32" s="341">
        <f t="shared" si="0"/>
        <v>0</v>
      </c>
      <c r="K32" s="342"/>
      <c r="L32" s="342"/>
      <c r="M32" s="343">
        <f t="shared" si="3"/>
      </c>
      <c r="N32" s="344">
        <f t="shared" si="4"/>
      </c>
      <c r="O32" s="345"/>
      <c r="P32" s="254">
        <f t="shared" si="1"/>
      </c>
      <c r="Q32" s="346">
        <f t="shared" si="5"/>
      </c>
      <c r="R32" s="181">
        <f t="shared" si="6"/>
      </c>
      <c r="S32" s="347">
        <f t="shared" si="7"/>
        <v>20</v>
      </c>
      <c r="T32" s="348" t="str">
        <f t="shared" si="8"/>
        <v>--</v>
      </c>
      <c r="U32" s="349" t="str">
        <f t="shared" si="9"/>
        <v>--</v>
      </c>
      <c r="V32" s="350" t="str">
        <f t="shared" si="10"/>
        <v>--</v>
      </c>
      <c r="W32" s="351" t="str">
        <f t="shared" si="11"/>
        <v>--</v>
      </c>
      <c r="X32" s="352" t="str">
        <f t="shared" si="12"/>
        <v>--</v>
      </c>
      <c r="Y32" s="353" t="str">
        <f t="shared" si="13"/>
        <v>--</v>
      </c>
      <c r="Z32" s="354" t="str">
        <f t="shared" si="14"/>
        <v>--</v>
      </c>
      <c r="AA32" s="355" t="str">
        <f t="shared" si="15"/>
        <v>--</v>
      </c>
      <c r="AB32" s="356">
        <f t="shared" si="16"/>
      </c>
      <c r="AC32" s="193">
        <f t="shared" si="2"/>
      </c>
      <c r="AD32" s="100"/>
    </row>
    <row r="33" spans="1:30" s="8" customFormat="1" ht="16.5" customHeight="1">
      <c r="A33" s="90"/>
      <c r="B33" s="267"/>
      <c r="C33" s="151"/>
      <c r="D33" s="151"/>
      <c r="E33" s="151"/>
      <c r="F33" s="337"/>
      <c r="G33" s="338"/>
      <c r="H33" s="339"/>
      <c r="I33" s="340"/>
      <c r="J33" s="341">
        <f t="shared" si="0"/>
        <v>0</v>
      </c>
      <c r="K33" s="342"/>
      <c r="L33" s="342"/>
      <c r="M33" s="343">
        <f t="shared" si="3"/>
      </c>
      <c r="N33" s="344">
        <f t="shared" si="4"/>
      </c>
      <c r="O33" s="345"/>
      <c r="P33" s="254">
        <f t="shared" si="1"/>
      </c>
      <c r="Q33" s="346">
        <f t="shared" si="5"/>
      </c>
      <c r="R33" s="181">
        <f t="shared" si="6"/>
      </c>
      <c r="S33" s="347">
        <f t="shared" si="7"/>
        <v>20</v>
      </c>
      <c r="T33" s="348" t="str">
        <f t="shared" si="8"/>
        <v>--</v>
      </c>
      <c r="U33" s="349" t="str">
        <f t="shared" si="9"/>
        <v>--</v>
      </c>
      <c r="V33" s="350" t="str">
        <f t="shared" si="10"/>
        <v>--</v>
      </c>
      <c r="W33" s="351" t="str">
        <f t="shared" si="11"/>
        <v>--</v>
      </c>
      <c r="X33" s="352" t="str">
        <f t="shared" si="12"/>
        <v>--</v>
      </c>
      <c r="Y33" s="353" t="str">
        <f t="shared" si="13"/>
        <v>--</v>
      </c>
      <c r="Z33" s="354" t="str">
        <f t="shared" si="14"/>
        <v>--</v>
      </c>
      <c r="AA33" s="355" t="str">
        <f t="shared" si="15"/>
        <v>--</v>
      </c>
      <c r="AB33" s="356">
        <f t="shared" si="16"/>
      </c>
      <c r="AC33" s="193">
        <f t="shared" si="2"/>
      </c>
      <c r="AD33" s="100"/>
    </row>
    <row r="34" spans="1:30" s="8" customFormat="1" ht="16.5" customHeight="1">
      <c r="A34" s="90"/>
      <c r="B34" s="267"/>
      <c r="C34" s="170"/>
      <c r="D34" s="170"/>
      <c r="E34" s="170"/>
      <c r="F34" s="337"/>
      <c r="G34" s="357"/>
      <c r="H34" s="339"/>
      <c r="I34" s="340"/>
      <c r="J34" s="341">
        <f t="shared" si="0"/>
        <v>0</v>
      </c>
      <c r="K34" s="342"/>
      <c r="L34" s="342"/>
      <c r="M34" s="343">
        <f t="shared" si="3"/>
      </c>
      <c r="N34" s="344">
        <f t="shared" si="4"/>
      </c>
      <c r="O34" s="345"/>
      <c r="P34" s="254">
        <f t="shared" si="1"/>
      </c>
      <c r="Q34" s="346">
        <f t="shared" si="5"/>
      </c>
      <c r="R34" s="181">
        <f t="shared" si="6"/>
      </c>
      <c r="S34" s="347">
        <f t="shared" si="7"/>
        <v>20</v>
      </c>
      <c r="T34" s="348" t="str">
        <f t="shared" si="8"/>
        <v>--</v>
      </c>
      <c r="U34" s="349" t="str">
        <f t="shared" si="9"/>
        <v>--</v>
      </c>
      <c r="V34" s="350" t="str">
        <f t="shared" si="10"/>
        <v>--</v>
      </c>
      <c r="W34" s="351" t="str">
        <f t="shared" si="11"/>
        <v>--</v>
      </c>
      <c r="X34" s="352" t="str">
        <f t="shared" si="12"/>
        <v>--</v>
      </c>
      <c r="Y34" s="353" t="str">
        <f t="shared" si="13"/>
        <v>--</v>
      </c>
      <c r="Z34" s="354" t="str">
        <f t="shared" si="14"/>
        <v>--</v>
      </c>
      <c r="AA34" s="355" t="str">
        <f t="shared" si="15"/>
        <v>--</v>
      </c>
      <c r="AB34" s="356">
        <f t="shared" si="16"/>
      </c>
      <c r="AC34" s="193">
        <f t="shared" si="2"/>
      </c>
      <c r="AD34" s="100"/>
    </row>
    <row r="35" spans="1:30" s="8" customFormat="1" ht="16.5" customHeight="1">
      <c r="A35" s="90"/>
      <c r="B35" s="267"/>
      <c r="C35" s="151"/>
      <c r="D35" s="151"/>
      <c r="E35" s="151"/>
      <c r="F35" s="337"/>
      <c r="G35" s="357"/>
      <c r="H35" s="339"/>
      <c r="I35" s="340"/>
      <c r="J35" s="341">
        <f t="shared" si="0"/>
        <v>0</v>
      </c>
      <c r="K35" s="342"/>
      <c r="L35" s="342"/>
      <c r="M35" s="343">
        <f t="shared" si="3"/>
      </c>
      <c r="N35" s="344">
        <f t="shared" si="4"/>
      </c>
      <c r="O35" s="345"/>
      <c r="P35" s="254">
        <f t="shared" si="1"/>
      </c>
      <c r="Q35" s="346">
        <f t="shared" si="5"/>
      </c>
      <c r="R35" s="181">
        <f t="shared" si="6"/>
      </c>
      <c r="S35" s="347">
        <f t="shared" si="7"/>
        <v>20</v>
      </c>
      <c r="T35" s="348" t="str">
        <f t="shared" si="8"/>
        <v>--</v>
      </c>
      <c r="U35" s="349" t="str">
        <f t="shared" si="9"/>
        <v>--</v>
      </c>
      <c r="V35" s="350" t="str">
        <f t="shared" si="10"/>
        <v>--</v>
      </c>
      <c r="W35" s="351" t="str">
        <f t="shared" si="11"/>
        <v>--</v>
      </c>
      <c r="X35" s="352" t="str">
        <f t="shared" si="12"/>
        <v>--</v>
      </c>
      <c r="Y35" s="353" t="str">
        <f t="shared" si="13"/>
        <v>--</v>
      </c>
      <c r="Z35" s="354" t="str">
        <f t="shared" si="14"/>
        <v>--</v>
      </c>
      <c r="AA35" s="355" t="str">
        <f t="shared" si="15"/>
        <v>--</v>
      </c>
      <c r="AB35" s="356">
        <f t="shared" si="16"/>
      </c>
      <c r="AC35" s="193">
        <f t="shared" si="2"/>
      </c>
      <c r="AD35" s="100"/>
    </row>
    <row r="36" spans="1:30" s="8" customFormat="1" ht="16.5" customHeight="1">
      <c r="A36" s="90"/>
      <c r="B36" s="267"/>
      <c r="C36" s="170"/>
      <c r="D36" s="170"/>
      <c r="E36" s="170"/>
      <c r="F36" s="337"/>
      <c r="G36" s="357"/>
      <c r="H36" s="339"/>
      <c r="I36" s="340"/>
      <c r="J36" s="341">
        <f t="shared" si="0"/>
        <v>0</v>
      </c>
      <c r="K36" s="342"/>
      <c r="L36" s="342"/>
      <c r="M36" s="343">
        <f t="shared" si="3"/>
      </c>
      <c r="N36" s="344">
        <f t="shared" si="4"/>
      </c>
      <c r="O36" s="345"/>
      <c r="P36" s="254">
        <f t="shared" si="1"/>
      </c>
      <c r="Q36" s="346">
        <f t="shared" si="5"/>
      </c>
      <c r="R36" s="181">
        <f t="shared" si="6"/>
      </c>
      <c r="S36" s="347">
        <f t="shared" si="7"/>
        <v>20</v>
      </c>
      <c r="T36" s="348" t="str">
        <f t="shared" si="8"/>
        <v>--</v>
      </c>
      <c r="U36" s="349" t="str">
        <f t="shared" si="9"/>
        <v>--</v>
      </c>
      <c r="V36" s="350" t="str">
        <f t="shared" si="10"/>
        <v>--</v>
      </c>
      <c r="W36" s="351" t="str">
        <f t="shared" si="11"/>
        <v>--</v>
      </c>
      <c r="X36" s="352" t="str">
        <f t="shared" si="12"/>
        <v>--</v>
      </c>
      <c r="Y36" s="353" t="str">
        <f t="shared" si="13"/>
        <v>--</v>
      </c>
      <c r="Z36" s="354" t="str">
        <f t="shared" si="14"/>
        <v>--</v>
      </c>
      <c r="AA36" s="355" t="str">
        <f t="shared" si="15"/>
        <v>--</v>
      </c>
      <c r="AB36" s="356">
        <f t="shared" si="16"/>
      </c>
      <c r="AC36" s="193">
        <f t="shared" si="2"/>
      </c>
      <c r="AD36" s="100"/>
    </row>
    <row r="37" spans="1:30" s="8" customFormat="1" ht="16.5" customHeight="1">
      <c r="A37" s="90"/>
      <c r="B37" s="267"/>
      <c r="C37" s="151"/>
      <c r="D37" s="151"/>
      <c r="E37" s="151"/>
      <c r="F37" s="337"/>
      <c r="G37" s="357"/>
      <c r="H37" s="339"/>
      <c r="I37" s="340"/>
      <c r="J37" s="341">
        <f t="shared" si="0"/>
        <v>0</v>
      </c>
      <c r="K37" s="342"/>
      <c r="L37" s="342"/>
      <c r="M37" s="343">
        <f t="shared" si="3"/>
      </c>
      <c r="N37" s="344">
        <f t="shared" si="4"/>
      </c>
      <c r="O37" s="345"/>
      <c r="P37" s="254">
        <f t="shared" si="1"/>
      </c>
      <c r="Q37" s="346">
        <f t="shared" si="5"/>
      </c>
      <c r="R37" s="181">
        <f t="shared" si="6"/>
      </c>
      <c r="S37" s="347">
        <f t="shared" si="7"/>
        <v>20</v>
      </c>
      <c r="T37" s="348" t="str">
        <f t="shared" si="8"/>
        <v>--</v>
      </c>
      <c r="U37" s="349" t="str">
        <f t="shared" si="9"/>
        <v>--</v>
      </c>
      <c r="V37" s="350" t="str">
        <f t="shared" si="10"/>
        <v>--</v>
      </c>
      <c r="W37" s="351" t="str">
        <f t="shared" si="11"/>
        <v>--</v>
      </c>
      <c r="X37" s="352" t="str">
        <f t="shared" si="12"/>
        <v>--</v>
      </c>
      <c r="Y37" s="353" t="str">
        <f t="shared" si="13"/>
        <v>--</v>
      </c>
      <c r="Z37" s="354" t="str">
        <f t="shared" si="14"/>
        <v>--</v>
      </c>
      <c r="AA37" s="355" t="str">
        <f t="shared" si="15"/>
        <v>--</v>
      </c>
      <c r="AB37" s="356">
        <f t="shared" si="16"/>
      </c>
      <c r="AC37" s="193">
        <f t="shared" si="2"/>
      </c>
      <c r="AD37" s="100"/>
    </row>
    <row r="38" spans="1:30" s="8" customFormat="1" ht="16.5" customHeight="1">
      <c r="A38" s="90"/>
      <c r="B38" s="267"/>
      <c r="C38" s="170"/>
      <c r="D38" s="170"/>
      <c r="E38" s="170"/>
      <c r="F38" s="337"/>
      <c r="G38" s="357"/>
      <c r="H38" s="339"/>
      <c r="I38" s="340"/>
      <c r="J38" s="341">
        <f t="shared" si="0"/>
        <v>0</v>
      </c>
      <c r="K38" s="342"/>
      <c r="L38" s="342"/>
      <c r="M38" s="343">
        <f t="shared" si="3"/>
      </c>
      <c r="N38" s="344">
        <f t="shared" si="4"/>
      </c>
      <c r="O38" s="345"/>
      <c r="P38" s="254">
        <f t="shared" si="1"/>
      </c>
      <c r="Q38" s="346">
        <f t="shared" si="5"/>
      </c>
      <c r="R38" s="181">
        <f t="shared" si="6"/>
      </c>
      <c r="S38" s="347">
        <f t="shared" si="7"/>
        <v>20</v>
      </c>
      <c r="T38" s="348" t="str">
        <f t="shared" si="8"/>
        <v>--</v>
      </c>
      <c r="U38" s="349" t="str">
        <f t="shared" si="9"/>
        <v>--</v>
      </c>
      <c r="V38" s="350" t="str">
        <f t="shared" si="10"/>
        <v>--</v>
      </c>
      <c r="W38" s="351" t="str">
        <f t="shared" si="11"/>
        <v>--</v>
      </c>
      <c r="X38" s="352" t="str">
        <f t="shared" si="12"/>
        <v>--</v>
      </c>
      <c r="Y38" s="353" t="str">
        <f t="shared" si="13"/>
        <v>--</v>
      </c>
      <c r="Z38" s="354" t="str">
        <f t="shared" si="14"/>
        <v>--</v>
      </c>
      <c r="AA38" s="355" t="str">
        <f t="shared" si="15"/>
        <v>--</v>
      </c>
      <c r="AB38" s="356">
        <f t="shared" si="16"/>
      </c>
      <c r="AC38" s="193">
        <f t="shared" si="2"/>
      </c>
      <c r="AD38" s="100"/>
    </row>
    <row r="39" spans="1:30" s="8" customFormat="1" ht="16.5" customHeight="1">
      <c r="A39" s="90"/>
      <c r="B39" s="267"/>
      <c r="C39" s="151"/>
      <c r="D39" s="151"/>
      <c r="E39" s="151"/>
      <c r="F39" s="337"/>
      <c r="G39" s="357"/>
      <c r="H39" s="339"/>
      <c r="I39" s="340"/>
      <c r="J39" s="341">
        <f t="shared" si="0"/>
        <v>0</v>
      </c>
      <c r="K39" s="342"/>
      <c r="L39" s="342"/>
      <c r="M39" s="343">
        <f t="shared" si="3"/>
      </c>
      <c r="N39" s="344">
        <f t="shared" si="4"/>
      </c>
      <c r="O39" s="345"/>
      <c r="P39" s="254">
        <f t="shared" si="1"/>
      </c>
      <c r="Q39" s="346">
        <f t="shared" si="5"/>
      </c>
      <c r="R39" s="181">
        <f t="shared" si="6"/>
      </c>
      <c r="S39" s="347">
        <f t="shared" si="7"/>
        <v>20</v>
      </c>
      <c r="T39" s="348" t="str">
        <f t="shared" si="8"/>
        <v>--</v>
      </c>
      <c r="U39" s="349" t="str">
        <f t="shared" si="9"/>
        <v>--</v>
      </c>
      <c r="V39" s="350" t="str">
        <f t="shared" si="10"/>
        <v>--</v>
      </c>
      <c r="W39" s="351" t="str">
        <f t="shared" si="11"/>
        <v>--</v>
      </c>
      <c r="X39" s="352" t="str">
        <f t="shared" si="12"/>
        <v>--</v>
      </c>
      <c r="Y39" s="353" t="str">
        <f t="shared" si="13"/>
        <v>--</v>
      </c>
      <c r="Z39" s="354" t="str">
        <f t="shared" si="14"/>
        <v>--</v>
      </c>
      <c r="AA39" s="355" t="str">
        <f t="shared" si="15"/>
        <v>--</v>
      </c>
      <c r="AB39" s="356">
        <f t="shared" si="16"/>
      </c>
      <c r="AC39" s="193">
        <f t="shared" si="2"/>
      </c>
      <c r="AD39" s="100"/>
    </row>
    <row r="40" spans="1:30" s="8" customFormat="1" ht="16.5" customHeight="1">
      <c r="A40" s="90"/>
      <c r="B40" s="267"/>
      <c r="C40" s="170"/>
      <c r="D40" s="170"/>
      <c r="E40" s="170"/>
      <c r="F40" s="337"/>
      <c r="G40" s="357"/>
      <c r="H40" s="339"/>
      <c r="I40" s="340"/>
      <c r="J40" s="341">
        <f t="shared" si="0"/>
        <v>0</v>
      </c>
      <c r="K40" s="342"/>
      <c r="L40" s="342"/>
      <c r="M40" s="343">
        <f t="shared" si="3"/>
      </c>
      <c r="N40" s="344">
        <f t="shared" si="4"/>
      </c>
      <c r="O40" s="345"/>
      <c r="P40" s="254">
        <f t="shared" si="1"/>
      </c>
      <c r="Q40" s="346">
        <f t="shared" si="5"/>
      </c>
      <c r="R40" s="181">
        <f t="shared" si="6"/>
      </c>
      <c r="S40" s="347">
        <f t="shared" si="7"/>
        <v>20</v>
      </c>
      <c r="T40" s="348" t="str">
        <f t="shared" si="8"/>
        <v>--</v>
      </c>
      <c r="U40" s="349" t="str">
        <f t="shared" si="9"/>
        <v>--</v>
      </c>
      <c r="V40" s="350" t="str">
        <f t="shared" si="10"/>
        <v>--</v>
      </c>
      <c r="W40" s="351" t="str">
        <f t="shared" si="11"/>
        <v>--</v>
      </c>
      <c r="X40" s="352" t="str">
        <f t="shared" si="12"/>
        <v>--</v>
      </c>
      <c r="Y40" s="353" t="str">
        <f t="shared" si="13"/>
        <v>--</v>
      </c>
      <c r="Z40" s="354" t="str">
        <f t="shared" si="14"/>
        <v>--</v>
      </c>
      <c r="AA40" s="355" t="str">
        <f t="shared" si="15"/>
        <v>--</v>
      </c>
      <c r="AB40" s="356">
        <f t="shared" si="16"/>
      </c>
      <c r="AC40" s="193">
        <f t="shared" si="2"/>
      </c>
      <c r="AD40" s="100"/>
    </row>
    <row r="41" spans="1:30" s="8" customFormat="1" ht="16.5" customHeight="1">
      <c r="A41" s="90"/>
      <c r="B41" s="267"/>
      <c r="C41" s="151"/>
      <c r="D41" s="151"/>
      <c r="E41" s="151"/>
      <c r="F41" s="337"/>
      <c r="G41" s="357"/>
      <c r="H41" s="339"/>
      <c r="I41" s="340"/>
      <c r="J41" s="341">
        <f t="shared" si="0"/>
        <v>0</v>
      </c>
      <c r="K41" s="342"/>
      <c r="L41" s="342"/>
      <c r="M41" s="343">
        <f t="shared" si="3"/>
      </c>
      <c r="N41" s="344">
        <f t="shared" si="4"/>
      </c>
      <c r="O41" s="345"/>
      <c r="P41" s="254">
        <f t="shared" si="1"/>
      </c>
      <c r="Q41" s="346">
        <f t="shared" si="5"/>
      </c>
      <c r="R41" s="181">
        <f t="shared" si="6"/>
      </c>
      <c r="S41" s="347">
        <f t="shared" si="7"/>
        <v>20</v>
      </c>
      <c r="T41" s="348" t="str">
        <f t="shared" si="8"/>
        <v>--</v>
      </c>
      <c r="U41" s="349" t="str">
        <f t="shared" si="9"/>
        <v>--</v>
      </c>
      <c r="V41" s="350" t="str">
        <f t="shared" si="10"/>
        <v>--</v>
      </c>
      <c r="W41" s="351" t="str">
        <f t="shared" si="11"/>
        <v>--</v>
      </c>
      <c r="X41" s="352" t="str">
        <f t="shared" si="12"/>
        <v>--</v>
      </c>
      <c r="Y41" s="353" t="str">
        <f t="shared" si="13"/>
        <v>--</v>
      </c>
      <c r="Z41" s="354" t="str">
        <f t="shared" si="14"/>
        <v>--</v>
      </c>
      <c r="AA41" s="355" t="str">
        <f t="shared" si="15"/>
        <v>--</v>
      </c>
      <c r="AB41" s="356">
        <f t="shared" si="16"/>
      </c>
      <c r="AC41" s="193">
        <f t="shared" si="2"/>
      </c>
      <c r="AD41" s="100"/>
    </row>
    <row r="42" spans="1:30" s="8" customFormat="1" ht="16.5" customHeight="1">
      <c r="A42" s="90"/>
      <c r="B42" s="267"/>
      <c r="C42" s="170"/>
      <c r="D42" s="170"/>
      <c r="E42" s="170"/>
      <c r="F42" s="337"/>
      <c r="G42" s="357"/>
      <c r="H42" s="339"/>
      <c r="I42" s="340"/>
      <c r="J42" s="341">
        <f t="shared" si="0"/>
        <v>0</v>
      </c>
      <c r="K42" s="342"/>
      <c r="L42" s="342"/>
      <c r="M42" s="343">
        <f t="shared" si="3"/>
      </c>
      <c r="N42" s="344">
        <f t="shared" si="4"/>
      </c>
      <c r="O42" s="345"/>
      <c r="P42" s="254">
        <f t="shared" si="1"/>
      </c>
      <c r="Q42" s="346">
        <f t="shared" si="5"/>
      </c>
      <c r="R42" s="181">
        <f t="shared" si="6"/>
      </c>
      <c r="S42" s="347">
        <f t="shared" si="7"/>
        <v>20</v>
      </c>
      <c r="T42" s="348" t="str">
        <f t="shared" si="8"/>
        <v>--</v>
      </c>
      <c r="U42" s="349" t="str">
        <f t="shared" si="9"/>
        <v>--</v>
      </c>
      <c r="V42" s="350" t="str">
        <f t="shared" si="10"/>
        <v>--</v>
      </c>
      <c r="W42" s="351" t="str">
        <f t="shared" si="11"/>
        <v>--</v>
      </c>
      <c r="X42" s="352" t="str">
        <f t="shared" si="12"/>
        <v>--</v>
      </c>
      <c r="Y42" s="353" t="str">
        <f t="shared" si="13"/>
        <v>--</v>
      </c>
      <c r="Z42" s="354" t="str">
        <f t="shared" si="14"/>
        <v>--</v>
      </c>
      <c r="AA42" s="355" t="str">
        <f t="shared" si="15"/>
        <v>--</v>
      </c>
      <c r="AB42" s="356">
        <f t="shared" si="16"/>
      </c>
      <c r="AC42" s="193">
        <f t="shared" si="2"/>
      </c>
      <c r="AD42" s="100"/>
    </row>
    <row r="43" spans="1:30" s="8" customFormat="1" ht="16.5" customHeight="1">
      <c r="A43" s="90"/>
      <c r="B43" s="267"/>
      <c r="C43" s="151"/>
      <c r="D43" s="151"/>
      <c r="E43" s="151"/>
      <c r="F43" s="337"/>
      <c r="G43" s="357"/>
      <c r="H43" s="339"/>
      <c r="I43" s="340"/>
      <c r="J43" s="341">
        <f t="shared" si="0"/>
        <v>0</v>
      </c>
      <c r="K43" s="342"/>
      <c r="L43" s="342"/>
      <c r="M43" s="343">
        <f t="shared" si="3"/>
      </c>
      <c r="N43" s="344">
        <f t="shared" si="4"/>
      </c>
      <c r="O43" s="345"/>
      <c r="P43" s="254">
        <f t="shared" si="1"/>
      </c>
      <c r="Q43" s="346">
        <f t="shared" si="5"/>
      </c>
      <c r="R43" s="181">
        <f t="shared" si="6"/>
      </c>
      <c r="S43" s="347">
        <f t="shared" si="7"/>
        <v>20</v>
      </c>
      <c r="T43" s="348" t="str">
        <f t="shared" si="8"/>
        <v>--</v>
      </c>
      <c r="U43" s="349" t="str">
        <f t="shared" si="9"/>
        <v>--</v>
      </c>
      <c r="V43" s="350" t="str">
        <f t="shared" si="10"/>
        <v>--</v>
      </c>
      <c r="W43" s="351" t="str">
        <f t="shared" si="11"/>
        <v>--</v>
      </c>
      <c r="X43" s="352" t="str">
        <f t="shared" si="12"/>
        <v>--</v>
      </c>
      <c r="Y43" s="353" t="str">
        <f t="shared" si="13"/>
        <v>--</v>
      </c>
      <c r="Z43" s="354" t="str">
        <f t="shared" si="14"/>
        <v>--</v>
      </c>
      <c r="AA43" s="355" t="str">
        <f t="shared" si="15"/>
        <v>--</v>
      </c>
      <c r="AB43" s="356">
        <f t="shared" si="16"/>
      </c>
      <c r="AC43" s="193">
        <f t="shared" si="2"/>
      </c>
      <c r="AD43" s="100"/>
    </row>
    <row r="44" spans="1:30" s="8" customFormat="1" ht="16.5" customHeight="1" thickBot="1">
      <c r="A44" s="90"/>
      <c r="B44" s="267"/>
      <c r="C44" s="170"/>
      <c r="D44" s="170"/>
      <c r="E44" s="170"/>
      <c r="F44" s="358"/>
      <c r="G44" s="359"/>
      <c r="H44" s="358"/>
      <c r="I44" s="360"/>
      <c r="J44" s="361"/>
      <c r="K44" s="362"/>
      <c r="L44" s="363"/>
      <c r="M44" s="364"/>
      <c r="N44" s="365"/>
      <c r="O44" s="366"/>
      <c r="P44" s="213"/>
      <c r="Q44" s="367"/>
      <c r="R44" s="366"/>
      <c r="S44" s="368"/>
      <c r="T44" s="369"/>
      <c r="U44" s="370"/>
      <c r="V44" s="371"/>
      <c r="W44" s="372"/>
      <c r="X44" s="373"/>
      <c r="Y44" s="374"/>
      <c r="Z44" s="375"/>
      <c r="AA44" s="376"/>
      <c r="AB44" s="377"/>
      <c r="AC44" s="378"/>
      <c r="AD44" s="100"/>
    </row>
    <row r="45" spans="1:30" s="8" customFormat="1" ht="16.5" customHeight="1" thickBot="1" thickTop="1">
      <c r="A45" s="90"/>
      <c r="B45" s="267"/>
      <c r="C45" s="625" t="s">
        <v>324</v>
      </c>
      <c r="D45" s="626" t="s">
        <v>525</v>
      </c>
      <c r="E45" s="226"/>
      <c r="F45" s="227"/>
      <c r="G45" s="84"/>
      <c r="H45" s="84"/>
      <c r="I45" s="84"/>
      <c r="J45" s="84"/>
      <c r="K45" s="84"/>
      <c r="L45" s="294"/>
      <c r="M45" s="84"/>
      <c r="N45" s="84"/>
      <c r="O45" s="84"/>
      <c r="P45" s="84"/>
      <c r="Q45" s="84"/>
      <c r="R45" s="84"/>
      <c r="S45" s="84"/>
      <c r="T45" s="379">
        <f aca="true" t="shared" si="17" ref="T45:AA45">SUM(T20:T44)</f>
        <v>13695.198000000002</v>
      </c>
      <c r="U45" s="380">
        <f t="shared" si="17"/>
        <v>0</v>
      </c>
      <c r="V45" s="381">
        <f t="shared" si="17"/>
        <v>5841.000000000001</v>
      </c>
      <c r="W45" s="382">
        <f t="shared" si="17"/>
        <v>26265.03</v>
      </c>
      <c r="X45" s="383">
        <f t="shared" si="17"/>
        <v>0</v>
      </c>
      <c r="Y45" s="384">
        <f t="shared" si="17"/>
        <v>0</v>
      </c>
      <c r="Z45" s="385">
        <f t="shared" si="17"/>
        <v>0</v>
      </c>
      <c r="AA45" s="386">
        <f t="shared" si="17"/>
        <v>0</v>
      </c>
      <c r="AB45" s="90"/>
      <c r="AC45" s="387">
        <f>ROUND(SUM(AC20:AC44),2)</f>
        <v>44455.85</v>
      </c>
      <c r="AD45" s="100"/>
    </row>
    <row r="46" spans="1:30" s="8" customFormat="1" ht="16.5" customHeight="1" thickBot="1" thickTop="1">
      <c r="A46" s="90"/>
      <c r="B46" s="388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90"/>
    </row>
    <row r="47" spans="1:31" ht="16.5" customHeight="1" thickTop="1">
      <c r="A47" s="391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</row>
    <row r="48" spans="1:31" ht="16.5" customHeight="1">
      <c r="A48" s="391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</row>
    <row r="49" spans="1:31" ht="16.5" customHeight="1">
      <c r="A49" s="391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</row>
    <row r="50" spans="1:31" ht="16.5" customHeight="1">
      <c r="A50" s="391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</row>
    <row r="51" spans="6:31" ht="16.5" customHeight="1"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</row>
    <row r="52" spans="6:31" ht="16.5" customHeight="1"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</row>
    <row r="53" spans="6:31" ht="16.5" customHeight="1"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</row>
    <row r="54" spans="6:31" ht="16.5" customHeight="1"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</row>
    <row r="55" spans="6:31" ht="16.5" customHeight="1"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</row>
    <row r="56" spans="6:31" ht="16.5" customHeight="1"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</row>
    <row r="57" spans="6:31" ht="16.5" customHeight="1"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</row>
    <row r="58" spans="6:31" ht="16.5" customHeight="1"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</row>
    <row r="59" spans="6:31" ht="16.5" customHeight="1"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</row>
    <row r="60" spans="6:31" ht="16.5" customHeight="1"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</row>
    <row r="61" spans="6:31" ht="16.5" customHeight="1"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</row>
    <row r="62" spans="6:31" ht="16.5" customHeight="1"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</row>
    <row r="63" spans="6:31" ht="16.5" customHeight="1"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</row>
    <row r="64" spans="6:31" ht="16.5" customHeight="1"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</row>
    <row r="65" spans="6:31" ht="16.5" customHeight="1"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</row>
    <row r="66" spans="6:31" ht="16.5" customHeight="1"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</row>
    <row r="67" spans="6:31" ht="16.5" customHeight="1"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</row>
    <row r="68" spans="6:31" ht="16.5" customHeight="1"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</row>
    <row r="69" spans="6:31" ht="16.5" customHeight="1"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</row>
    <row r="70" spans="6:31" ht="16.5" customHeight="1"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</row>
    <row r="71" spans="6:31" ht="16.5" customHeight="1"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</row>
    <row r="72" spans="6:31" ht="16.5" customHeight="1"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</row>
    <row r="73" spans="6:31" ht="16.5" customHeight="1"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</row>
    <row r="74" spans="6:31" ht="16.5" customHeight="1"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</row>
    <row r="75" spans="6:31" ht="16.5" customHeight="1"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</row>
    <row r="76" spans="6:31" ht="16.5" customHeight="1"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</row>
    <row r="77" spans="6:31" ht="16.5" customHeight="1"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</row>
    <row r="78" spans="6:31" ht="16.5" customHeight="1"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</row>
    <row r="79" spans="6:31" ht="16.5" customHeight="1"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</row>
    <row r="80" spans="6:31" ht="16.5" customHeight="1"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</row>
    <row r="81" spans="6:31" ht="16.5" customHeight="1"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</row>
    <row r="82" spans="6:31" ht="16.5" customHeight="1"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</row>
    <row r="83" spans="6:31" ht="16.5" customHeight="1"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</row>
    <row r="84" spans="6:31" ht="16.5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</row>
    <row r="85" spans="6:31" ht="16.5" customHeight="1"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  <c r="AD85" s="392"/>
      <c r="AE85" s="392"/>
    </row>
    <row r="86" spans="6:31" ht="16.5" customHeight="1"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</row>
    <row r="87" spans="6:31" ht="16.5" customHeight="1"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</row>
    <row r="88" spans="6:31" ht="16.5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</row>
    <row r="89" spans="6:31" ht="16.5" customHeight="1"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  <c r="AD89" s="392"/>
      <c r="AE89" s="392"/>
    </row>
    <row r="90" spans="6:31" ht="16.5" customHeight="1"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</row>
    <row r="91" spans="6:31" ht="16.5" customHeight="1"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2"/>
      <c r="AE91" s="392"/>
    </row>
    <row r="92" spans="6:31" ht="16.5" customHeight="1"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2"/>
      <c r="AE92" s="392"/>
    </row>
    <row r="93" spans="6:31" ht="16.5" customHeight="1"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  <c r="AD93" s="392"/>
      <c r="AE93" s="392"/>
    </row>
    <row r="94" spans="6:31" ht="16.5" customHeight="1"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</row>
    <row r="95" spans="6:31" ht="16.5" customHeight="1"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</row>
    <row r="96" spans="6:31" ht="16.5" customHeight="1"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  <c r="AD96" s="392"/>
      <c r="AE96" s="392"/>
    </row>
    <row r="97" spans="6:31" ht="16.5" customHeight="1"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  <c r="AD97" s="392"/>
      <c r="AE97" s="392"/>
    </row>
    <row r="98" spans="6:31" ht="16.5" customHeight="1"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  <c r="AD98" s="392"/>
      <c r="AE98" s="392"/>
    </row>
    <row r="99" spans="6:31" ht="16.5" customHeight="1"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  <c r="AD99" s="392"/>
      <c r="AE99" s="392"/>
    </row>
    <row r="100" spans="6:31" ht="16.5" customHeight="1"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</row>
    <row r="101" spans="6:31" ht="16.5" customHeight="1"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  <c r="AA101" s="392"/>
      <c r="AB101" s="392"/>
      <c r="AC101" s="392"/>
      <c r="AD101" s="392"/>
      <c r="AE101" s="392"/>
    </row>
    <row r="102" spans="6:31" ht="16.5" customHeight="1"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</row>
    <row r="103" spans="6:31" ht="16.5" customHeight="1"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  <c r="AD103" s="392"/>
      <c r="AE103" s="392"/>
    </row>
    <row r="104" spans="6:31" ht="16.5" customHeight="1"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  <c r="Z104" s="392"/>
      <c r="AA104" s="392"/>
      <c r="AB104" s="392"/>
      <c r="AC104" s="392"/>
      <c r="AD104" s="392"/>
      <c r="AE104" s="392"/>
    </row>
    <row r="105" spans="6:31" ht="16.5" customHeight="1"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  <c r="AD105" s="392"/>
      <c r="AE105" s="392"/>
    </row>
    <row r="106" spans="6:31" ht="16.5" customHeight="1"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  <c r="AD106" s="392"/>
      <c r="AE106" s="392"/>
    </row>
    <row r="107" spans="6:31" ht="16.5" customHeight="1"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392"/>
      <c r="AD107" s="392"/>
      <c r="AE107" s="392"/>
    </row>
    <row r="108" spans="6:31" ht="16.5" customHeight="1"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  <c r="AB108" s="392"/>
      <c r="AC108" s="392"/>
      <c r="AD108" s="392"/>
      <c r="AE108" s="392"/>
    </row>
    <row r="109" spans="6:31" ht="16.5" customHeight="1"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392"/>
      <c r="AD109" s="392"/>
      <c r="AE109" s="392"/>
    </row>
    <row r="110" spans="6:31" ht="16.5" customHeight="1"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  <c r="AD110" s="392"/>
      <c r="AE110" s="392"/>
    </row>
    <row r="111" spans="6:31" ht="16.5" customHeight="1"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2"/>
      <c r="AD111" s="392"/>
      <c r="AE111" s="392"/>
    </row>
    <row r="112" spans="6:31" ht="16.5" customHeight="1"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  <c r="Z112" s="392"/>
      <c r="AA112" s="392"/>
      <c r="AB112" s="392"/>
      <c r="AC112" s="392"/>
      <c r="AD112" s="392"/>
      <c r="AE112" s="392"/>
    </row>
    <row r="113" spans="6:31" ht="16.5" customHeight="1"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  <c r="AD113" s="392"/>
      <c r="AE113" s="392"/>
    </row>
    <row r="114" spans="6:31" ht="16.5" customHeight="1"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  <c r="AD114" s="392"/>
      <c r="AE114" s="392"/>
    </row>
    <row r="115" spans="6:31" ht="16.5" customHeight="1"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</row>
    <row r="116" spans="6:31" ht="16.5" customHeight="1"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  <c r="Z116" s="392"/>
      <c r="AA116" s="392"/>
      <c r="AB116" s="392"/>
      <c r="AC116" s="392"/>
      <c r="AD116" s="392"/>
      <c r="AE116" s="392"/>
    </row>
    <row r="117" spans="6:31" ht="16.5" customHeight="1"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  <c r="AD117" s="392"/>
      <c r="AE117" s="392"/>
    </row>
    <row r="118" spans="6:31" ht="16.5" customHeight="1"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  <c r="AD118" s="392"/>
      <c r="AE118" s="392"/>
    </row>
    <row r="119" spans="6:31" ht="16.5" customHeight="1"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392"/>
      <c r="AD119" s="392"/>
      <c r="AE119" s="392"/>
    </row>
    <row r="120" spans="6:31" ht="16.5" customHeight="1"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  <c r="AD120" s="392"/>
      <c r="AE120" s="392"/>
    </row>
    <row r="121" spans="6:31" ht="16.5" customHeight="1"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  <c r="AD121" s="392"/>
      <c r="AE121" s="392"/>
    </row>
    <row r="122" spans="6:31" ht="16.5" customHeight="1"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</row>
    <row r="123" spans="6:31" ht="16.5" customHeight="1"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392"/>
      <c r="AD123" s="392"/>
      <c r="AE123" s="392"/>
    </row>
    <row r="124" spans="6:31" ht="16.5" customHeight="1"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392"/>
      <c r="AD124" s="392"/>
      <c r="AE124" s="392"/>
    </row>
    <row r="125" spans="6:31" ht="16.5" customHeight="1"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2"/>
      <c r="AC125" s="392"/>
      <c r="AD125" s="392"/>
      <c r="AE125" s="392"/>
    </row>
    <row r="126" spans="6:31" ht="16.5" customHeight="1"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  <c r="Z126" s="392"/>
      <c r="AA126" s="392"/>
      <c r="AB126" s="392"/>
      <c r="AC126" s="392"/>
      <c r="AD126" s="392"/>
      <c r="AE126" s="392"/>
    </row>
    <row r="127" spans="6:31" ht="16.5" customHeight="1"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392"/>
      <c r="AD127" s="392"/>
      <c r="AE127" s="392"/>
    </row>
    <row r="128" spans="6:31" ht="16.5" customHeight="1"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  <c r="Z128" s="392"/>
      <c r="AA128" s="392"/>
      <c r="AB128" s="392"/>
      <c r="AC128" s="392"/>
      <c r="AD128" s="392"/>
      <c r="AE128" s="392"/>
    </row>
    <row r="129" spans="6:31" ht="16.5" customHeight="1"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392"/>
      <c r="AD129" s="392"/>
      <c r="AE129" s="392"/>
    </row>
    <row r="130" spans="6:31" ht="16.5" customHeight="1"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2"/>
      <c r="AC130" s="392"/>
      <c r="AD130" s="392"/>
      <c r="AE130" s="392"/>
    </row>
    <row r="131" spans="6:31" ht="16.5" customHeight="1"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  <c r="Z131" s="392"/>
      <c r="AA131" s="392"/>
      <c r="AB131" s="392"/>
      <c r="AC131" s="392"/>
      <c r="AD131" s="392"/>
      <c r="AE131" s="392"/>
    </row>
    <row r="132" spans="6:31" ht="16.5" customHeight="1"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392"/>
      <c r="AD132" s="392"/>
      <c r="AE132" s="392"/>
    </row>
    <row r="133" spans="6:31" ht="16.5" customHeight="1"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  <c r="Z133" s="392"/>
      <c r="AA133" s="392"/>
      <c r="AB133" s="392"/>
      <c r="AC133" s="392"/>
      <c r="AD133" s="392"/>
      <c r="AE133" s="392"/>
    </row>
    <row r="134" spans="6:31" ht="16.5" customHeight="1"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392"/>
      <c r="AD134" s="392"/>
      <c r="AE134" s="392"/>
    </row>
    <row r="135" spans="6:31" ht="16.5" customHeight="1"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  <c r="AD135" s="392"/>
      <c r="AE135" s="392"/>
    </row>
    <row r="136" spans="6:31" ht="16.5" customHeight="1"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  <c r="Z136" s="392"/>
      <c r="AA136" s="392"/>
      <c r="AB136" s="392"/>
      <c r="AC136" s="392"/>
      <c r="AD136" s="392"/>
      <c r="AE136" s="392"/>
    </row>
    <row r="137" spans="6:31" ht="16.5" customHeight="1"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  <c r="AD137" s="392"/>
      <c r="AE137" s="392"/>
    </row>
    <row r="138" spans="6:31" ht="16.5" customHeight="1"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392"/>
      <c r="AD138" s="392"/>
      <c r="AE138" s="392"/>
    </row>
    <row r="139" spans="6:31" ht="16.5" customHeight="1"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92"/>
      <c r="AD139" s="392"/>
      <c r="AE139" s="392"/>
    </row>
    <row r="140" spans="6:31" ht="16.5" customHeight="1"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  <c r="AD140" s="392"/>
      <c r="AE140" s="392"/>
    </row>
    <row r="141" spans="6:31" ht="16.5" customHeight="1"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  <c r="Z141" s="392"/>
      <c r="AA141" s="392"/>
      <c r="AB141" s="392"/>
      <c r="AC141" s="392"/>
      <c r="AD141" s="392"/>
      <c r="AE141" s="392"/>
    </row>
    <row r="142" spans="6:31" ht="16.5" customHeight="1"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/>
      <c r="AD142" s="392"/>
      <c r="AE142" s="392"/>
    </row>
    <row r="143" spans="6:31" ht="16.5" customHeight="1"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  <c r="Z143" s="392"/>
      <c r="AA143" s="392"/>
      <c r="AB143" s="392"/>
      <c r="AC143" s="392"/>
      <c r="AD143" s="392"/>
      <c r="AE143" s="392"/>
    </row>
    <row r="144" spans="6:31" ht="16.5" customHeight="1"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  <c r="AB144" s="392"/>
      <c r="AC144" s="392"/>
      <c r="AD144" s="392"/>
      <c r="AE144" s="392"/>
    </row>
    <row r="145" spans="6:31" ht="16.5" customHeight="1"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</row>
    <row r="146" spans="6:31" ht="16.5" customHeight="1"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  <c r="AD146" s="392"/>
      <c r="AE146" s="392"/>
    </row>
    <row r="147" spans="6:31" ht="16.5" customHeight="1"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  <c r="AB147" s="392"/>
      <c r="AC147" s="392"/>
      <c r="AD147" s="392"/>
      <c r="AE147" s="392"/>
    </row>
    <row r="148" spans="6:31" ht="16.5" customHeight="1"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  <c r="AB148" s="392"/>
      <c r="AC148" s="392"/>
      <c r="AD148" s="392"/>
      <c r="AE148" s="392"/>
    </row>
    <row r="149" spans="6:31" ht="16.5" customHeight="1"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92"/>
      <c r="AA149" s="392"/>
      <c r="AB149" s="392"/>
      <c r="AC149" s="392"/>
      <c r="AD149" s="392"/>
      <c r="AE149" s="392"/>
    </row>
    <row r="150" spans="6:31" ht="16.5" customHeight="1"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  <c r="Z150" s="392"/>
      <c r="AA150" s="392"/>
      <c r="AB150" s="392"/>
      <c r="AC150" s="392"/>
      <c r="AD150" s="392"/>
      <c r="AE150" s="392"/>
    </row>
    <row r="151" spans="6:31" ht="16.5" customHeight="1"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  <c r="Z151" s="392"/>
      <c r="AA151" s="392"/>
      <c r="AB151" s="392"/>
      <c r="AC151" s="392"/>
      <c r="AD151" s="392"/>
      <c r="AE151" s="392"/>
    </row>
    <row r="152" spans="6:31" ht="16.5" customHeight="1">
      <c r="F152" s="392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392"/>
      <c r="V152" s="392"/>
      <c r="W152" s="392"/>
      <c r="X152" s="392"/>
      <c r="Y152" s="392"/>
      <c r="Z152" s="392"/>
      <c r="AA152" s="392"/>
      <c r="AB152" s="392"/>
      <c r="AC152" s="392"/>
      <c r="AD152" s="392"/>
      <c r="AE152" s="392"/>
    </row>
    <row r="153" spans="6:31" ht="16.5" customHeight="1"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  <c r="Z153" s="392"/>
      <c r="AA153" s="392"/>
      <c r="AB153" s="392"/>
      <c r="AC153" s="392"/>
      <c r="AD153" s="392"/>
      <c r="AE153" s="392"/>
    </row>
    <row r="154" spans="6:31" ht="16.5" customHeight="1"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  <c r="Z154" s="392"/>
      <c r="AA154" s="392"/>
      <c r="AB154" s="392"/>
      <c r="AC154" s="392"/>
      <c r="AD154" s="392"/>
      <c r="AE154" s="392"/>
    </row>
    <row r="155" ht="16.5" customHeight="1">
      <c r="AE155" s="392"/>
    </row>
    <row r="156" ht="16.5" customHeight="1">
      <c r="AE156" s="392"/>
    </row>
    <row r="157" ht="16.5" customHeight="1">
      <c r="AE157" s="392"/>
    </row>
    <row r="158" ht="16.5" customHeight="1">
      <c r="AE158" s="392"/>
    </row>
    <row r="159" ht="16.5" customHeight="1"/>
    <row r="160" ht="16.5" customHeight="1"/>
    <row r="161" ht="16.5" customHeight="1"/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59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I155"/>
  <sheetViews>
    <sheetView zoomScale="70" zoomScaleNormal="70" zoomScalePageLayoutView="0" workbookViewId="0" topLeftCell="E19">
      <selection activeCell="B13" sqref="B13"/>
    </sheetView>
  </sheetViews>
  <sheetFormatPr defaultColWidth="11.421875" defaultRowHeight="12.75"/>
  <cols>
    <col min="1" max="2" width="4.140625" style="1869" customWidth="1"/>
    <col min="3" max="3" width="5.421875" style="1869" customWidth="1"/>
    <col min="4" max="5" width="13.57421875" style="1869" customWidth="1"/>
    <col min="6" max="6" width="28.57421875" style="1869" customWidth="1"/>
    <col min="7" max="7" width="22.7109375" style="1869" customWidth="1"/>
    <col min="8" max="8" width="8.7109375" style="1869" customWidth="1"/>
    <col min="9" max="9" width="11.140625" style="1869" customWidth="1"/>
    <col min="10" max="10" width="6.8515625" style="1869" hidden="1" customWidth="1"/>
    <col min="11" max="12" width="15.7109375" style="1869" customWidth="1"/>
    <col min="13" max="16" width="9.7109375" style="1869" customWidth="1"/>
    <col min="17" max="17" width="5.8515625" style="1869" customWidth="1"/>
    <col min="18" max="18" width="7.00390625" style="1869" customWidth="1"/>
    <col min="19" max="19" width="4.00390625" style="1869" hidden="1" customWidth="1"/>
    <col min="20" max="21" width="12.140625" style="1869" hidden="1" customWidth="1"/>
    <col min="22" max="25" width="6.00390625" style="1869" hidden="1" customWidth="1"/>
    <col min="26" max="26" width="11.7109375" style="1869" hidden="1" customWidth="1"/>
    <col min="27" max="27" width="12.8515625" style="1869" hidden="1" customWidth="1"/>
    <col min="28" max="28" width="8.7109375" style="1869" customWidth="1"/>
    <col min="29" max="29" width="10.00390625" style="1869" hidden="1" customWidth="1"/>
    <col min="30" max="30" width="15.7109375" style="1869" customWidth="1"/>
    <col min="31" max="31" width="4.140625" style="1869" customWidth="1"/>
    <col min="32" max="16384" width="11.421875" style="1869" customWidth="1"/>
  </cols>
  <sheetData>
    <row r="1" spans="2:31" s="1814" customFormat="1" ht="26.25">
      <c r="B1" s="1815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1815"/>
      <c r="T1" s="1815"/>
      <c r="U1" s="1815"/>
      <c r="V1" s="1815"/>
      <c r="W1" s="1815"/>
      <c r="X1" s="1815"/>
      <c r="Y1" s="1815"/>
      <c r="Z1" s="1815"/>
      <c r="AA1" s="1815"/>
      <c r="AB1" s="1815"/>
      <c r="AC1" s="1815"/>
      <c r="AD1" s="1815"/>
      <c r="AE1" s="1816"/>
    </row>
    <row r="2" spans="1:31" s="1814" customFormat="1" ht="26.25">
      <c r="A2" s="1815"/>
      <c r="B2" s="1817" t="str">
        <f>+'TOT-0312'!B2</f>
        <v>ANEXO IV al Memorándum D.T.E.E.  N° 783/ 2013</v>
      </c>
      <c r="C2" s="1817"/>
      <c r="D2" s="1817"/>
      <c r="E2" s="1817"/>
      <c r="F2" s="1817"/>
      <c r="G2" s="1818"/>
      <c r="H2" s="1817"/>
      <c r="I2" s="1817"/>
      <c r="J2" s="1817"/>
      <c r="K2" s="1817"/>
      <c r="L2" s="1817"/>
      <c r="M2" s="1817"/>
      <c r="N2" s="1817"/>
      <c r="O2" s="1817"/>
      <c r="P2" s="1817"/>
      <c r="Q2" s="1817"/>
      <c r="R2" s="1817"/>
      <c r="S2" s="1817"/>
      <c r="T2" s="1817"/>
      <c r="U2" s="1817"/>
      <c r="V2" s="1817"/>
      <c r="W2" s="1817"/>
      <c r="X2" s="1817"/>
      <c r="Y2" s="1817"/>
      <c r="Z2" s="1817"/>
      <c r="AA2" s="1817"/>
      <c r="AB2" s="1817"/>
      <c r="AC2" s="1817"/>
      <c r="AD2" s="1817"/>
      <c r="AE2" s="1817"/>
    </row>
    <row r="3" spans="1:31" s="1820" customFormat="1" ht="13.5" customHeight="1">
      <c r="A3" s="1819"/>
      <c r="B3" s="1819"/>
      <c r="C3" s="1819"/>
      <c r="D3" s="1819"/>
      <c r="E3" s="1819"/>
      <c r="F3" s="1819"/>
      <c r="G3" s="1819"/>
      <c r="H3" s="1819"/>
      <c r="I3" s="1819"/>
      <c r="J3" s="1819"/>
      <c r="K3" s="1819"/>
      <c r="L3" s="1819"/>
      <c r="M3" s="1819"/>
      <c r="N3" s="1819"/>
      <c r="O3" s="1819"/>
      <c r="P3" s="1819"/>
      <c r="Q3" s="1819"/>
      <c r="R3" s="1819"/>
      <c r="S3" s="1819"/>
      <c r="T3" s="1819"/>
      <c r="U3" s="1819"/>
      <c r="V3" s="1819"/>
      <c r="W3" s="1819"/>
      <c r="X3" s="1819"/>
      <c r="Y3" s="1819"/>
      <c r="Z3" s="1819"/>
      <c r="AA3" s="1819"/>
      <c r="AB3" s="1819"/>
      <c r="AC3" s="1819"/>
      <c r="AD3" s="1819"/>
      <c r="AE3" s="1819"/>
    </row>
    <row r="4" spans="1:31" s="1824" customFormat="1" ht="11.25">
      <c r="A4" s="1821" t="s">
        <v>55</v>
      </c>
      <c r="B4" s="1822"/>
      <c r="C4" s="1822"/>
      <c r="D4" s="1822"/>
      <c r="E4" s="1823"/>
      <c r="F4" s="1823"/>
      <c r="G4" s="1823"/>
      <c r="H4" s="1823"/>
      <c r="I4" s="1823"/>
      <c r="J4" s="1823"/>
      <c r="K4" s="1823"/>
      <c r="L4" s="1823"/>
      <c r="M4" s="1823"/>
      <c r="N4" s="1823"/>
      <c r="O4" s="1823"/>
      <c r="P4" s="1823"/>
      <c r="Q4" s="1823"/>
      <c r="R4" s="1823"/>
      <c r="S4" s="1823"/>
      <c r="T4" s="1823"/>
      <c r="U4" s="1823"/>
      <c r="V4" s="1823"/>
      <c r="W4" s="1823"/>
      <c r="X4" s="1823"/>
      <c r="Y4" s="1823"/>
      <c r="Z4" s="1823"/>
      <c r="AA4" s="1823"/>
      <c r="AB4" s="1823"/>
      <c r="AC4" s="1823"/>
      <c r="AD4" s="1823"/>
      <c r="AE4" s="1823"/>
    </row>
    <row r="5" spans="1:31" s="1824" customFormat="1" ht="11.25">
      <c r="A5" s="1821" t="s">
        <v>3</v>
      </c>
      <c r="B5" s="1822"/>
      <c r="C5" s="1822"/>
      <c r="D5" s="1822"/>
      <c r="E5" s="1823"/>
      <c r="F5" s="1823"/>
      <c r="G5" s="1823"/>
      <c r="H5" s="1823"/>
      <c r="I5" s="1823"/>
      <c r="J5" s="1823"/>
      <c r="K5" s="1823"/>
      <c r="L5" s="1823"/>
      <c r="M5" s="1823"/>
      <c r="N5" s="1823"/>
      <c r="O5" s="1823"/>
      <c r="P5" s="1823"/>
      <c r="Q5" s="1823"/>
      <c r="R5" s="1823"/>
      <c r="S5" s="1823"/>
      <c r="T5" s="1823"/>
      <c r="U5" s="1823"/>
      <c r="V5" s="1823"/>
      <c r="W5" s="1823"/>
      <c r="X5" s="1823"/>
      <c r="Y5" s="1823"/>
      <c r="Z5" s="1823"/>
      <c r="AA5" s="1823"/>
      <c r="AB5" s="1823"/>
      <c r="AC5" s="1823"/>
      <c r="AD5" s="1823"/>
      <c r="AE5" s="1823"/>
    </row>
    <row r="6" spans="1:31" s="1820" customFormat="1" ht="13.5" thickBot="1">
      <c r="A6" s="1819"/>
      <c r="B6" s="1819"/>
      <c r="C6" s="1819"/>
      <c r="D6" s="1819"/>
      <c r="E6" s="1819"/>
      <c r="F6" s="1819"/>
      <c r="G6" s="1819"/>
      <c r="H6" s="1819"/>
      <c r="I6" s="1819"/>
      <c r="J6" s="1819"/>
      <c r="K6" s="1819"/>
      <c r="L6" s="1819"/>
      <c r="M6" s="1819"/>
      <c r="N6" s="1819"/>
      <c r="O6" s="1819"/>
      <c r="P6" s="1819"/>
      <c r="Q6" s="1819"/>
      <c r="R6" s="1819"/>
      <c r="S6" s="1819"/>
      <c r="T6" s="1819"/>
      <c r="U6" s="1819"/>
      <c r="V6" s="1819"/>
      <c r="W6" s="1819"/>
      <c r="X6" s="1819"/>
      <c r="Y6" s="1819"/>
      <c r="Z6" s="1819"/>
      <c r="AA6" s="1819"/>
      <c r="AB6" s="1819"/>
      <c r="AC6" s="1819"/>
      <c r="AD6" s="1819"/>
      <c r="AE6" s="1819"/>
    </row>
    <row r="7" spans="1:31" s="1820" customFormat="1" ht="13.5" thickTop="1">
      <c r="A7" s="1819"/>
      <c r="B7" s="1825"/>
      <c r="C7" s="1826"/>
      <c r="D7" s="1826"/>
      <c r="E7" s="1826"/>
      <c r="F7" s="1826"/>
      <c r="G7" s="1826"/>
      <c r="H7" s="1826"/>
      <c r="I7" s="1826"/>
      <c r="J7" s="1826"/>
      <c r="K7" s="1826"/>
      <c r="L7" s="1826"/>
      <c r="M7" s="1826"/>
      <c r="N7" s="1826"/>
      <c r="O7" s="1826"/>
      <c r="P7" s="1826"/>
      <c r="Q7" s="1826"/>
      <c r="R7" s="1826"/>
      <c r="S7" s="1826"/>
      <c r="T7" s="1826"/>
      <c r="U7" s="1826"/>
      <c r="V7" s="1826"/>
      <c r="W7" s="1826"/>
      <c r="X7" s="1826"/>
      <c r="Y7" s="1826"/>
      <c r="Z7" s="1826"/>
      <c r="AA7" s="1826"/>
      <c r="AB7" s="1826"/>
      <c r="AC7" s="1826"/>
      <c r="AD7" s="1826"/>
      <c r="AE7" s="1827"/>
    </row>
    <row r="8" spans="2:35" s="1828" customFormat="1" ht="21">
      <c r="B8" s="1829"/>
      <c r="C8" s="1830"/>
      <c r="D8" s="1830"/>
      <c r="E8" s="1830"/>
      <c r="F8" s="1831" t="s">
        <v>27</v>
      </c>
      <c r="G8" s="1830"/>
      <c r="H8" s="1830"/>
      <c r="I8" s="1830"/>
      <c r="J8" s="1830"/>
      <c r="Q8" s="1830"/>
      <c r="R8" s="1830"/>
      <c r="S8" s="1832"/>
      <c r="T8" s="1832"/>
      <c r="U8" s="1832"/>
      <c r="V8" s="1830"/>
      <c r="W8" s="1830"/>
      <c r="X8" s="1830"/>
      <c r="Y8" s="1830"/>
      <c r="Z8" s="1830"/>
      <c r="AA8" s="1830"/>
      <c r="AB8" s="1830"/>
      <c r="AC8" s="1830"/>
      <c r="AD8" s="1833"/>
      <c r="AE8" s="1834"/>
      <c r="AF8" s="1830"/>
      <c r="AG8" s="1830"/>
      <c r="AH8" s="1833"/>
      <c r="AI8" s="1833"/>
    </row>
    <row r="9" spans="1:31" s="1820" customFormat="1" ht="12.75">
      <c r="A9" s="1819"/>
      <c r="B9" s="1835"/>
      <c r="C9" s="1836"/>
      <c r="D9" s="1836"/>
      <c r="E9" s="1819"/>
      <c r="F9" s="1836"/>
      <c r="G9" s="1837"/>
      <c r="H9" s="1819"/>
      <c r="I9" s="1836"/>
      <c r="J9" s="1819"/>
      <c r="K9" s="1819"/>
      <c r="L9" s="1819"/>
      <c r="M9" s="1819"/>
      <c r="N9" s="1819"/>
      <c r="O9" s="1819"/>
      <c r="P9" s="1819"/>
      <c r="Q9" s="1819"/>
      <c r="R9" s="1819"/>
      <c r="S9" s="1819"/>
      <c r="T9" s="1836"/>
      <c r="U9" s="1836"/>
      <c r="V9" s="1836"/>
      <c r="W9" s="1836"/>
      <c r="X9" s="1836"/>
      <c r="Y9" s="1836"/>
      <c r="Z9" s="1836"/>
      <c r="AA9" s="1836"/>
      <c r="AB9" s="1836"/>
      <c r="AC9" s="1836"/>
      <c r="AD9" s="1819"/>
      <c r="AE9" s="1838"/>
    </row>
    <row r="10" spans="2:35" s="1839" customFormat="1" ht="33" customHeight="1">
      <c r="B10" s="1840"/>
      <c r="C10" s="1841"/>
      <c r="D10" s="1841"/>
      <c r="E10" s="1841"/>
      <c r="F10" s="1842" t="s">
        <v>56</v>
      </c>
      <c r="G10" s="1841"/>
      <c r="H10" s="1841"/>
      <c r="I10" s="1841"/>
      <c r="J10" s="1841"/>
      <c r="Q10" s="1841"/>
      <c r="R10" s="1841"/>
      <c r="S10" s="1843"/>
      <c r="T10" s="1843"/>
      <c r="U10" s="1843"/>
      <c r="V10" s="1841"/>
      <c r="W10" s="1841"/>
      <c r="X10" s="1841"/>
      <c r="Y10" s="1841"/>
      <c r="Z10" s="1841"/>
      <c r="AA10" s="1841"/>
      <c r="AB10" s="1841"/>
      <c r="AC10" s="1841"/>
      <c r="AD10" s="1844"/>
      <c r="AE10" s="1845"/>
      <c r="AF10" s="1841"/>
      <c r="AG10" s="1841"/>
      <c r="AH10" s="1844"/>
      <c r="AI10" s="1844"/>
    </row>
    <row r="11" spans="1:31" s="1852" customFormat="1" ht="33" customHeight="1">
      <c r="A11" s="1846"/>
      <c r="B11" s="1847"/>
      <c r="C11" s="1848"/>
      <c r="D11" s="1848"/>
      <c r="E11" s="1846"/>
      <c r="F11" s="1849" t="s">
        <v>483</v>
      </c>
      <c r="G11" s="1848"/>
      <c r="H11" s="1848"/>
      <c r="I11" s="1850"/>
      <c r="J11" s="1848"/>
      <c r="K11" s="1848"/>
      <c r="L11" s="1848"/>
      <c r="M11" s="1848"/>
      <c r="N11" s="1848"/>
      <c r="O11" s="1846"/>
      <c r="P11" s="1846"/>
      <c r="Q11" s="1846"/>
      <c r="R11" s="1846"/>
      <c r="S11" s="1846"/>
      <c r="T11" s="1848"/>
      <c r="U11" s="1848"/>
      <c r="V11" s="1848"/>
      <c r="W11" s="1848"/>
      <c r="X11" s="1848"/>
      <c r="Y11" s="1848"/>
      <c r="Z11" s="1848"/>
      <c r="AA11" s="1848"/>
      <c r="AB11" s="1848"/>
      <c r="AC11" s="1848"/>
      <c r="AD11" s="1846"/>
      <c r="AE11" s="1851"/>
    </row>
    <row r="12" spans="1:31" s="1860" customFormat="1" ht="19.5">
      <c r="A12" s="1853"/>
      <c r="B12" s="1854" t="str">
        <f>+'TOT-0312'!B14</f>
        <v>Desde el 01 al 31 de Marzo de 2012</v>
      </c>
      <c r="C12" s="1855"/>
      <c r="D12" s="1855"/>
      <c r="E12" s="1856"/>
      <c r="F12" s="1857"/>
      <c r="G12" s="1857"/>
      <c r="H12" s="1857"/>
      <c r="I12" s="1857"/>
      <c r="J12" s="1857"/>
      <c r="K12" s="1857"/>
      <c r="L12" s="1857"/>
      <c r="M12" s="1857"/>
      <c r="N12" s="1857"/>
      <c r="O12" s="1856"/>
      <c r="P12" s="1856"/>
      <c r="Q12" s="1856"/>
      <c r="R12" s="1856"/>
      <c r="S12" s="1856"/>
      <c r="T12" s="1857"/>
      <c r="U12" s="1857"/>
      <c r="V12" s="1857"/>
      <c r="W12" s="1857"/>
      <c r="X12" s="1857"/>
      <c r="Y12" s="1857"/>
      <c r="Z12" s="1857"/>
      <c r="AA12" s="1857"/>
      <c r="AB12" s="1857"/>
      <c r="AC12" s="1857"/>
      <c r="AD12" s="1858"/>
      <c r="AE12" s="1859"/>
    </row>
    <row r="13" spans="1:31" s="1820" customFormat="1" ht="13.5" thickBot="1">
      <c r="A13" s="1819"/>
      <c r="B13" s="1835"/>
      <c r="C13" s="1836"/>
      <c r="D13" s="1836"/>
      <c r="E13" s="1819"/>
      <c r="F13" s="1836"/>
      <c r="G13" s="1836"/>
      <c r="H13" s="1836"/>
      <c r="I13" s="1861"/>
      <c r="J13" s="1836"/>
      <c r="K13" s="1836"/>
      <c r="L13" s="1836"/>
      <c r="M13" s="1836"/>
      <c r="N13" s="1836"/>
      <c r="O13" s="1819"/>
      <c r="P13" s="1819"/>
      <c r="Q13" s="1819"/>
      <c r="R13" s="1819"/>
      <c r="S13" s="1819"/>
      <c r="T13" s="1836"/>
      <c r="U13" s="1836"/>
      <c r="V13" s="1836"/>
      <c r="W13" s="1836"/>
      <c r="X13" s="1836"/>
      <c r="Y13" s="1836"/>
      <c r="Z13" s="1836"/>
      <c r="AA13" s="1836"/>
      <c r="AB13" s="1836"/>
      <c r="AC13" s="1836"/>
      <c r="AD13" s="1819"/>
      <c r="AE13" s="1838"/>
    </row>
    <row r="14" spans="1:31" s="1820" customFormat="1" ht="16.5" customHeight="1" thickBot="1" thickTop="1">
      <c r="A14" s="1819"/>
      <c r="B14" s="1835"/>
      <c r="C14" s="1836"/>
      <c r="D14" s="1836"/>
      <c r="E14" s="1819"/>
      <c r="F14" s="1862" t="s">
        <v>481</v>
      </c>
      <c r="G14" s="1863"/>
      <c r="H14" s="1864">
        <v>0.103</v>
      </c>
      <c r="I14" s="1861"/>
      <c r="J14" s="1836"/>
      <c r="K14" s="1836"/>
      <c r="L14" s="1836"/>
      <c r="M14" s="1836"/>
      <c r="N14" s="1865"/>
      <c r="O14" s="1865"/>
      <c r="P14" s="1865"/>
      <c r="Q14" s="1865"/>
      <c r="R14" s="1865"/>
      <c r="S14" s="1836"/>
      <c r="T14" s="1836"/>
      <c r="U14" s="1836"/>
      <c r="V14" s="1836"/>
      <c r="W14" s="1836"/>
      <c r="X14" s="1836"/>
      <c r="Y14" s="1836"/>
      <c r="Z14" s="1836"/>
      <c r="AA14" s="1836"/>
      <c r="AB14" s="1836"/>
      <c r="AC14" s="1836"/>
      <c r="AD14" s="1819"/>
      <c r="AE14" s="1838"/>
    </row>
    <row r="15" spans="1:31" s="1820" customFormat="1" ht="16.5" customHeight="1" thickBot="1" thickTop="1">
      <c r="A15" s="1819"/>
      <c r="B15" s="1835"/>
      <c r="C15" s="1836"/>
      <c r="D15" s="1836"/>
      <c r="E15" s="1819"/>
      <c r="F15" s="1866" t="s">
        <v>59</v>
      </c>
      <c r="G15" s="1867"/>
      <c r="H15" s="1868">
        <v>200</v>
      </c>
      <c r="I15" s="1869"/>
      <c r="J15" s="1836"/>
      <c r="K15" s="1870"/>
      <c r="L15" s="1871"/>
      <c r="M15" s="1836"/>
      <c r="N15" s="1872"/>
      <c r="O15" s="1872"/>
      <c r="P15" s="1872"/>
      <c r="Q15" s="1872"/>
      <c r="R15" s="1873"/>
      <c r="S15" s="1836"/>
      <c r="T15" s="1836"/>
      <c r="U15" s="1836"/>
      <c r="V15" s="1836"/>
      <c r="W15" s="1874"/>
      <c r="X15" s="1874"/>
      <c r="Y15" s="1874"/>
      <c r="Z15" s="1874"/>
      <c r="AA15" s="1874"/>
      <c r="AB15" s="1874"/>
      <c r="AC15" s="1819"/>
      <c r="AD15" s="1819"/>
      <c r="AE15" s="1838"/>
    </row>
    <row r="16" spans="1:31" s="1820" customFormat="1" ht="16.5" customHeight="1" thickTop="1">
      <c r="A16" s="1819"/>
      <c r="B16" s="1835"/>
      <c r="C16" s="1836"/>
      <c r="D16" s="1836"/>
      <c r="E16" s="1819"/>
      <c r="F16" s="1875"/>
      <c r="G16" s="1876"/>
      <c r="H16" s="1877"/>
      <c r="I16" s="1869"/>
      <c r="J16" s="1836"/>
      <c r="K16" s="1870"/>
      <c r="L16" s="1871"/>
      <c r="M16" s="1836"/>
      <c r="N16" s="1872"/>
      <c r="O16" s="1872"/>
      <c r="P16" s="1872"/>
      <c r="Q16" s="1872"/>
      <c r="R16" s="1873"/>
      <c r="S16" s="1836"/>
      <c r="T16" s="1836"/>
      <c r="U16" s="1836"/>
      <c r="V16" s="1836"/>
      <c r="W16" s="1874"/>
      <c r="X16" s="1874"/>
      <c r="Y16" s="1874"/>
      <c r="Z16" s="1874"/>
      <c r="AA16" s="1874"/>
      <c r="AB16" s="1874"/>
      <c r="AC16" s="1819"/>
      <c r="AD16" s="1819"/>
      <c r="AE16" s="1838"/>
    </row>
    <row r="17" spans="1:31" s="1820" customFormat="1" ht="16.5" customHeight="1" thickBot="1">
      <c r="A17" s="1819"/>
      <c r="B17" s="1835"/>
      <c r="C17" s="1878">
        <v>3</v>
      </c>
      <c r="D17" s="1878">
        <v>4</v>
      </c>
      <c r="E17" s="1878">
        <v>5</v>
      </c>
      <c r="F17" s="1878">
        <v>6</v>
      </c>
      <c r="G17" s="1878">
        <v>7</v>
      </c>
      <c r="H17" s="1878">
        <v>8</v>
      </c>
      <c r="I17" s="1878">
        <v>9</v>
      </c>
      <c r="J17" s="1878">
        <v>10</v>
      </c>
      <c r="K17" s="1878">
        <v>11</v>
      </c>
      <c r="L17" s="1878">
        <v>12</v>
      </c>
      <c r="M17" s="1878">
        <v>13</v>
      </c>
      <c r="N17" s="1878">
        <v>14</v>
      </c>
      <c r="O17" s="1878">
        <v>15</v>
      </c>
      <c r="P17" s="1878">
        <v>16</v>
      </c>
      <c r="Q17" s="1878">
        <v>17</v>
      </c>
      <c r="R17" s="1878">
        <v>18</v>
      </c>
      <c r="S17" s="1878">
        <v>19</v>
      </c>
      <c r="T17" s="1878">
        <v>20</v>
      </c>
      <c r="U17" s="1878">
        <v>21</v>
      </c>
      <c r="V17" s="1878">
        <v>22</v>
      </c>
      <c r="W17" s="1878">
        <v>23</v>
      </c>
      <c r="X17" s="1878">
        <v>24</v>
      </c>
      <c r="Y17" s="1878">
        <v>25</v>
      </c>
      <c r="Z17" s="1878">
        <v>26</v>
      </c>
      <c r="AA17" s="1878">
        <v>27</v>
      </c>
      <c r="AB17" s="1878">
        <v>28</v>
      </c>
      <c r="AC17" s="1878">
        <v>29</v>
      </c>
      <c r="AD17" s="1878">
        <v>30</v>
      </c>
      <c r="AE17" s="1838"/>
    </row>
    <row r="18" spans="1:31" s="1820" customFormat="1" ht="33.75" customHeight="1" thickBot="1" thickTop="1">
      <c r="A18" s="1819"/>
      <c r="B18" s="1835"/>
      <c r="C18" s="1879" t="s">
        <v>32</v>
      </c>
      <c r="D18" s="1880" t="s">
        <v>33</v>
      </c>
      <c r="E18" s="1880" t="s">
        <v>34</v>
      </c>
      <c r="F18" s="1881" t="s">
        <v>60</v>
      </c>
      <c r="G18" s="1882" t="s">
        <v>61</v>
      </c>
      <c r="H18" s="1883" t="s">
        <v>62</v>
      </c>
      <c r="I18" s="1884" t="s">
        <v>35</v>
      </c>
      <c r="J18" s="1885" t="s">
        <v>39</v>
      </c>
      <c r="K18" s="1882" t="s">
        <v>40</v>
      </c>
      <c r="L18" s="1882" t="s">
        <v>41</v>
      </c>
      <c r="M18" s="1881" t="s">
        <v>63</v>
      </c>
      <c r="N18" s="1881" t="s">
        <v>43</v>
      </c>
      <c r="O18" s="1886" t="s">
        <v>251</v>
      </c>
      <c r="P18" s="1886" t="s">
        <v>44</v>
      </c>
      <c r="Q18" s="1887" t="s">
        <v>46</v>
      </c>
      <c r="R18" s="1887" t="s">
        <v>64</v>
      </c>
      <c r="S18" s="1888" t="s">
        <v>38</v>
      </c>
      <c r="T18" s="1889" t="s">
        <v>47</v>
      </c>
      <c r="U18" s="1890" t="s">
        <v>48</v>
      </c>
      <c r="V18" s="1891" t="s">
        <v>65</v>
      </c>
      <c r="W18" s="1892"/>
      <c r="X18" s="1893" t="s">
        <v>66</v>
      </c>
      <c r="Y18" s="1894"/>
      <c r="Z18" s="1895" t="s">
        <v>51</v>
      </c>
      <c r="AA18" s="1896" t="s">
        <v>52</v>
      </c>
      <c r="AB18" s="1897" t="s">
        <v>53</v>
      </c>
      <c r="AC18" s="1898" t="s">
        <v>482</v>
      </c>
      <c r="AD18" s="1884" t="s">
        <v>54</v>
      </c>
      <c r="AE18" s="1838"/>
    </row>
    <row r="19" spans="1:31" s="1820" customFormat="1" ht="16.5" customHeight="1" thickTop="1">
      <c r="A19" s="1819"/>
      <c r="B19" s="1835"/>
      <c r="C19" s="1899"/>
      <c r="D19" s="1899"/>
      <c r="E19" s="1899"/>
      <c r="F19" s="1900"/>
      <c r="G19" s="1900"/>
      <c r="H19" s="1900"/>
      <c r="I19" s="1901"/>
      <c r="J19" s="1902"/>
      <c r="K19" s="1900"/>
      <c r="L19" s="1900"/>
      <c r="M19" s="1900"/>
      <c r="N19" s="1900"/>
      <c r="O19" s="1900"/>
      <c r="P19" s="1903"/>
      <c r="Q19" s="1904"/>
      <c r="R19" s="1900"/>
      <c r="S19" s="1905"/>
      <c r="T19" s="1906"/>
      <c r="U19" s="1907"/>
      <c r="V19" s="1908"/>
      <c r="W19" s="1909"/>
      <c r="X19" s="1910"/>
      <c r="Y19" s="1911"/>
      <c r="Z19" s="1912"/>
      <c r="AA19" s="1913"/>
      <c r="AB19" s="1904"/>
      <c r="AC19" s="1914"/>
      <c r="AD19" s="1915"/>
      <c r="AE19" s="1838"/>
    </row>
    <row r="20" spans="1:31" s="1820" customFormat="1" ht="16.5" customHeight="1">
      <c r="A20" s="1819"/>
      <c r="B20" s="1835"/>
      <c r="C20" s="1916"/>
      <c r="D20" s="1916"/>
      <c r="E20" s="1916"/>
      <c r="F20" s="1916"/>
      <c r="G20" s="1916"/>
      <c r="H20" s="1916"/>
      <c r="I20" s="1917"/>
      <c r="J20" s="1918"/>
      <c r="K20" s="1916"/>
      <c r="L20" s="1916"/>
      <c r="M20" s="1916"/>
      <c r="N20" s="1916"/>
      <c r="O20" s="1916"/>
      <c r="P20" s="1919"/>
      <c r="Q20" s="1920"/>
      <c r="R20" s="1916"/>
      <c r="S20" s="1921"/>
      <c r="T20" s="1922"/>
      <c r="U20" s="1923"/>
      <c r="V20" s="1924"/>
      <c r="W20" s="1925"/>
      <c r="X20" s="1926"/>
      <c r="Y20" s="1927"/>
      <c r="Z20" s="1928"/>
      <c r="AA20" s="1929"/>
      <c r="AB20" s="1920"/>
      <c r="AC20" s="1930"/>
      <c r="AD20" s="1931"/>
      <c r="AE20" s="1838"/>
    </row>
    <row r="21" spans="1:31" s="1820" customFormat="1" ht="16.5" customHeight="1">
      <c r="A21" s="1819"/>
      <c r="B21" s="1835"/>
      <c r="C21" s="1916">
        <v>35</v>
      </c>
      <c r="D21" s="1916">
        <v>245654</v>
      </c>
      <c r="E21" s="1932">
        <v>4852</v>
      </c>
      <c r="F21" s="1933" t="s">
        <v>336</v>
      </c>
      <c r="G21" s="1934" t="s">
        <v>308</v>
      </c>
      <c r="H21" s="1935">
        <v>300</v>
      </c>
      <c r="I21" s="1936" t="s">
        <v>78</v>
      </c>
      <c r="J21" s="1937">
        <f>H21*$H$14</f>
        <v>30.9</v>
      </c>
      <c r="K21" s="1938">
        <v>40984.34166666667</v>
      </c>
      <c r="L21" s="1938">
        <v>40984.40416666667</v>
      </c>
      <c r="M21" s="1939">
        <f aca="true" t="shared" si="0" ref="M21:M40">IF(F21="","",(L21-K21)*24)</f>
        <v>1.5</v>
      </c>
      <c r="N21" s="1940">
        <f aca="true" t="shared" si="1" ref="N21:N40">IF(F21="","",ROUND((L21-K21)*24*60,0))</f>
        <v>90</v>
      </c>
      <c r="O21" s="1941" t="s">
        <v>253</v>
      </c>
      <c r="P21" s="1942" t="str">
        <f aca="true" t="shared" si="2" ref="P21:P40">IF(F21="","","--")</f>
        <v>--</v>
      </c>
      <c r="Q21" s="1943" t="str">
        <f aca="true" t="shared" si="3" ref="Q21:Q40">IF(F21="","",IF(OR(O21="P",O21="RP"),"--","NO"))</f>
        <v>--</v>
      </c>
      <c r="R21" s="1944" t="str">
        <f aca="true" t="shared" si="4" ref="R21:R40">IF(F21="","","NO")</f>
        <v>NO</v>
      </c>
      <c r="S21" s="1921">
        <f aca="true" t="shared" si="5" ref="S21:S40">$H$15*IF(OR(O21="P",O21="RP"),0.1,1)*IF(R21="SI",1,0.1)</f>
        <v>2</v>
      </c>
      <c r="T21" s="1945">
        <f aca="true" t="shared" si="6" ref="T21:T40">IF(O21="P",J21*S21*ROUND(N21/60,2),"--")</f>
        <v>92.69999999999999</v>
      </c>
      <c r="U21" s="1946" t="str">
        <f aca="true" t="shared" si="7" ref="U21:U40">IF(O21="RP",J21*S21*P21/100*ROUND(N21/60,2),"--")</f>
        <v>--</v>
      </c>
      <c r="V21" s="1947" t="str">
        <f aca="true" t="shared" si="8" ref="V21:V40">IF(AND(O21="F",Q21="NO"),J21*S21,"--")</f>
        <v>--</v>
      </c>
      <c r="W21" s="1948" t="str">
        <f aca="true" t="shared" si="9" ref="W21:W40">IF(O21="F",J21*S21*ROUND(N21/60,2),"--")</f>
        <v>--</v>
      </c>
      <c r="X21" s="1949" t="str">
        <f aca="true" t="shared" si="10" ref="X21:X40">IF(AND(O21="R",Q21="NO"),J21*S21*P21/100,"--")</f>
        <v>--</v>
      </c>
      <c r="Y21" s="1950" t="str">
        <f aca="true" t="shared" si="11" ref="Y21:Y40">IF(O21="R",J21*S21*P21/100*ROUND(N21/60,2),"--")</f>
        <v>--</v>
      </c>
      <c r="Z21" s="1951" t="str">
        <f aca="true" t="shared" si="12" ref="Z21:Z40">IF(O21="RF",J21*S21*ROUND(N21/60,2),"--")</f>
        <v>--</v>
      </c>
      <c r="AA21" s="1952" t="str">
        <f aca="true" t="shared" si="13" ref="AA21:AA40">IF(O21="RR",J21*S21*P21/100*ROUND(N21/60,2),"--")</f>
        <v>--</v>
      </c>
      <c r="AB21" s="1953" t="str">
        <f aca="true" t="shared" si="14" ref="AB21:AB40">IF(F21="","","SI")</f>
        <v>SI</v>
      </c>
      <c r="AC21" s="1954">
        <f aca="true" t="shared" si="15" ref="AC21:AC40">SUM(T21:AA21)*IF(AB21="SI",1,2)</f>
        <v>92.69999999999999</v>
      </c>
      <c r="AD21" s="1955">
        <f aca="true" t="shared" si="16" ref="AD21:AD40">IF(F21="","",AC21*IF(AND(P21&lt;&gt;"--",O21="RF"),P21/100,1))</f>
        <v>92.69999999999999</v>
      </c>
      <c r="AE21" s="1838"/>
    </row>
    <row r="22" spans="1:31" s="1820" customFormat="1" ht="16.5" customHeight="1">
      <c r="A22" s="1819"/>
      <c r="B22" s="1835"/>
      <c r="C22" s="1916"/>
      <c r="D22" s="1916"/>
      <c r="E22" s="1916"/>
      <c r="F22" s="1933"/>
      <c r="G22" s="1934"/>
      <c r="H22" s="1935"/>
      <c r="I22" s="1956"/>
      <c r="J22" s="1937">
        <f>IF(F22="RINCÓN",H22*#REF!,H22*$H$14)</f>
        <v>0</v>
      </c>
      <c r="K22" s="1957"/>
      <c r="L22" s="1957"/>
      <c r="M22" s="1939">
        <f t="shared" si="0"/>
      </c>
      <c r="N22" s="1940">
        <f t="shared" si="1"/>
      </c>
      <c r="O22" s="1958"/>
      <c r="P22" s="1942">
        <f t="shared" si="2"/>
      </c>
      <c r="Q22" s="1943">
        <f t="shared" si="3"/>
      </c>
      <c r="R22" s="1944">
        <f t="shared" si="4"/>
      </c>
      <c r="S22" s="1921">
        <f t="shared" si="5"/>
        <v>20</v>
      </c>
      <c r="T22" s="1945" t="str">
        <f t="shared" si="6"/>
        <v>--</v>
      </c>
      <c r="U22" s="1946" t="str">
        <f t="shared" si="7"/>
        <v>--</v>
      </c>
      <c r="V22" s="1947" t="str">
        <f t="shared" si="8"/>
        <v>--</v>
      </c>
      <c r="W22" s="1948" t="str">
        <f t="shared" si="9"/>
        <v>--</v>
      </c>
      <c r="X22" s="1949" t="str">
        <f t="shared" si="10"/>
        <v>--</v>
      </c>
      <c r="Y22" s="1950" t="str">
        <f t="shared" si="11"/>
        <v>--</v>
      </c>
      <c r="Z22" s="1951" t="str">
        <f t="shared" si="12"/>
        <v>--</v>
      </c>
      <c r="AA22" s="1952" t="str">
        <f t="shared" si="13"/>
        <v>--</v>
      </c>
      <c r="AB22" s="1953">
        <f t="shared" si="14"/>
      </c>
      <c r="AC22" s="1954">
        <f t="shared" si="15"/>
        <v>0</v>
      </c>
      <c r="AD22" s="1955">
        <f t="shared" si="16"/>
      </c>
      <c r="AE22" s="1838"/>
    </row>
    <row r="23" spans="1:31" s="1820" customFormat="1" ht="16.5" customHeight="1">
      <c r="A23" s="1819"/>
      <c r="B23" s="1835"/>
      <c r="C23" s="1916"/>
      <c r="D23" s="1916"/>
      <c r="E23" s="1932"/>
      <c r="F23" s="1933"/>
      <c r="G23" s="1934"/>
      <c r="H23" s="1935"/>
      <c r="I23" s="1956"/>
      <c r="J23" s="1937">
        <f>IF(F23="RINCÓN",H23*#REF!,H23*$H$14)</f>
        <v>0</v>
      </c>
      <c r="K23" s="1957"/>
      <c r="L23" s="1957"/>
      <c r="M23" s="1939">
        <f t="shared" si="0"/>
      </c>
      <c r="N23" s="1940">
        <f t="shared" si="1"/>
      </c>
      <c r="O23" s="1958"/>
      <c r="P23" s="1942">
        <f t="shared" si="2"/>
      </c>
      <c r="Q23" s="1943">
        <f t="shared" si="3"/>
      </c>
      <c r="R23" s="1944">
        <f t="shared" si="4"/>
      </c>
      <c r="S23" s="1921">
        <f t="shared" si="5"/>
        <v>20</v>
      </c>
      <c r="T23" s="1945" t="str">
        <f t="shared" si="6"/>
        <v>--</v>
      </c>
      <c r="U23" s="1946" t="str">
        <f t="shared" si="7"/>
        <v>--</v>
      </c>
      <c r="V23" s="1947" t="str">
        <f t="shared" si="8"/>
        <v>--</v>
      </c>
      <c r="W23" s="1948" t="str">
        <f t="shared" si="9"/>
        <v>--</v>
      </c>
      <c r="X23" s="1949" t="str">
        <f t="shared" si="10"/>
        <v>--</v>
      </c>
      <c r="Y23" s="1950" t="str">
        <f t="shared" si="11"/>
        <v>--</v>
      </c>
      <c r="Z23" s="1951" t="str">
        <f t="shared" si="12"/>
        <v>--</v>
      </c>
      <c r="AA23" s="1952" t="str">
        <f t="shared" si="13"/>
        <v>--</v>
      </c>
      <c r="AB23" s="1953">
        <f t="shared" si="14"/>
      </c>
      <c r="AC23" s="1954">
        <f t="shared" si="15"/>
        <v>0</v>
      </c>
      <c r="AD23" s="1955">
        <f t="shared" si="16"/>
      </c>
      <c r="AE23" s="1838"/>
    </row>
    <row r="24" spans="1:31" s="1820" customFormat="1" ht="16.5" customHeight="1">
      <c r="A24" s="1819"/>
      <c r="B24" s="1835"/>
      <c r="C24" s="1916"/>
      <c r="D24" s="1916"/>
      <c r="E24" s="1916"/>
      <c r="F24" s="1933"/>
      <c r="G24" s="1934"/>
      <c r="H24" s="1935"/>
      <c r="I24" s="1956"/>
      <c r="J24" s="1937">
        <f>IF(F24="RINCÓN",H24*#REF!,H24*$H$14)</f>
        <v>0</v>
      </c>
      <c r="K24" s="1957"/>
      <c r="L24" s="1957"/>
      <c r="M24" s="1939">
        <f t="shared" si="0"/>
      </c>
      <c r="N24" s="1940">
        <f t="shared" si="1"/>
      </c>
      <c r="O24" s="1958"/>
      <c r="P24" s="1942">
        <f t="shared" si="2"/>
      </c>
      <c r="Q24" s="1943">
        <f t="shared" si="3"/>
      </c>
      <c r="R24" s="1944">
        <f t="shared" si="4"/>
      </c>
      <c r="S24" s="1921">
        <f t="shared" si="5"/>
        <v>20</v>
      </c>
      <c r="T24" s="1945" t="str">
        <f t="shared" si="6"/>
        <v>--</v>
      </c>
      <c r="U24" s="1946" t="str">
        <f t="shared" si="7"/>
        <v>--</v>
      </c>
      <c r="V24" s="1947" t="str">
        <f t="shared" si="8"/>
        <v>--</v>
      </c>
      <c r="W24" s="1948" t="str">
        <f t="shared" si="9"/>
        <v>--</v>
      </c>
      <c r="X24" s="1949" t="str">
        <f t="shared" si="10"/>
        <v>--</v>
      </c>
      <c r="Y24" s="1950" t="str">
        <f t="shared" si="11"/>
        <v>--</v>
      </c>
      <c r="Z24" s="1951" t="str">
        <f t="shared" si="12"/>
        <v>--</v>
      </c>
      <c r="AA24" s="1952" t="str">
        <f t="shared" si="13"/>
        <v>--</v>
      </c>
      <c r="AB24" s="1953">
        <f t="shared" si="14"/>
      </c>
      <c r="AC24" s="1954">
        <f t="shared" si="15"/>
        <v>0</v>
      </c>
      <c r="AD24" s="1955">
        <f t="shared" si="16"/>
      </c>
      <c r="AE24" s="1838"/>
    </row>
    <row r="25" spans="1:31" s="1820" customFormat="1" ht="16.5" customHeight="1">
      <c r="A25" s="1819"/>
      <c r="B25" s="1835"/>
      <c r="C25" s="1916"/>
      <c r="D25" s="1916"/>
      <c r="E25" s="1932"/>
      <c r="F25" s="1933"/>
      <c r="G25" s="1934"/>
      <c r="H25" s="1935"/>
      <c r="I25" s="1956"/>
      <c r="J25" s="1937">
        <f>IF(F25="RINCÓN",H25*#REF!,H25*$H$14)</f>
        <v>0</v>
      </c>
      <c r="K25" s="1957"/>
      <c r="L25" s="1957"/>
      <c r="M25" s="1939">
        <f t="shared" si="0"/>
      </c>
      <c r="N25" s="1940">
        <f t="shared" si="1"/>
      </c>
      <c r="O25" s="1958"/>
      <c r="P25" s="1942">
        <f t="shared" si="2"/>
      </c>
      <c r="Q25" s="1943">
        <f t="shared" si="3"/>
      </c>
      <c r="R25" s="1944">
        <f t="shared" si="4"/>
      </c>
      <c r="S25" s="1921">
        <f t="shared" si="5"/>
        <v>20</v>
      </c>
      <c r="T25" s="1945" t="str">
        <f t="shared" si="6"/>
        <v>--</v>
      </c>
      <c r="U25" s="1946" t="str">
        <f t="shared" si="7"/>
        <v>--</v>
      </c>
      <c r="V25" s="1947" t="str">
        <f t="shared" si="8"/>
        <v>--</v>
      </c>
      <c r="W25" s="1948" t="str">
        <f t="shared" si="9"/>
        <v>--</v>
      </c>
      <c r="X25" s="1949" t="str">
        <f t="shared" si="10"/>
        <v>--</v>
      </c>
      <c r="Y25" s="1950" t="str">
        <f t="shared" si="11"/>
        <v>--</v>
      </c>
      <c r="Z25" s="1951" t="str">
        <f t="shared" si="12"/>
        <v>--</v>
      </c>
      <c r="AA25" s="1952" t="str">
        <f t="shared" si="13"/>
        <v>--</v>
      </c>
      <c r="AB25" s="1953">
        <f t="shared" si="14"/>
      </c>
      <c r="AC25" s="1954">
        <f t="shared" si="15"/>
        <v>0</v>
      </c>
      <c r="AD25" s="1955">
        <f t="shared" si="16"/>
      </c>
      <c r="AE25" s="1838"/>
    </row>
    <row r="26" spans="1:31" s="1820" customFormat="1" ht="16.5" customHeight="1">
      <c r="A26" s="1819"/>
      <c r="B26" s="1835"/>
      <c r="C26" s="1916"/>
      <c r="D26" s="1916"/>
      <c r="E26" s="1916"/>
      <c r="F26" s="1933"/>
      <c r="G26" s="1934"/>
      <c r="H26" s="1935"/>
      <c r="I26" s="1956"/>
      <c r="J26" s="1937">
        <f>IF(F26="RINCÓN",H26*#REF!,H26*$H$14)</f>
        <v>0</v>
      </c>
      <c r="K26" s="1957"/>
      <c r="L26" s="1957"/>
      <c r="M26" s="1939">
        <f t="shared" si="0"/>
      </c>
      <c r="N26" s="1940">
        <f t="shared" si="1"/>
      </c>
      <c r="O26" s="1958"/>
      <c r="P26" s="1942">
        <f t="shared" si="2"/>
      </c>
      <c r="Q26" s="1943">
        <f t="shared" si="3"/>
      </c>
      <c r="R26" s="1944">
        <f t="shared" si="4"/>
      </c>
      <c r="S26" s="1921">
        <f t="shared" si="5"/>
        <v>20</v>
      </c>
      <c r="T26" s="1945" t="str">
        <f t="shared" si="6"/>
        <v>--</v>
      </c>
      <c r="U26" s="1946" t="str">
        <f t="shared" si="7"/>
        <v>--</v>
      </c>
      <c r="V26" s="1947" t="str">
        <f t="shared" si="8"/>
        <v>--</v>
      </c>
      <c r="W26" s="1948" t="str">
        <f t="shared" si="9"/>
        <v>--</v>
      </c>
      <c r="X26" s="1949" t="str">
        <f t="shared" si="10"/>
        <v>--</v>
      </c>
      <c r="Y26" s="1950" t="str">
        <f t="shared" si="11"/>
        <v>--</v>
      </c>
      <c r="Z26" s="1951" t="str">
        <f t="shared" si="12"/>
        <v>--</v>
      </c>
      <c r="AA26" s="1952" t="str">
        <f t="shared" si="13"/>
        <v>--</v>
      </c>
      <c r="AB26" s="1953">
        <f t="shared" si="14"/>
      </c>
      <c r="AC26" s="1954">
        <f t="shared" si="15"/>
        <v>0</v>
      </c>
      <c r="AD26" s="1955">
        <f t="shared" si="16"/>
      </c>
      <c r="AE26" s="1838"/>
    </row>
    <row r="27" spans="1:32" s="1820" customFormat="1" ht="16.5" customHeight="1">
      <c r="A27" s="1819"/>
      <c r="B27" s="1835"/>
      <c r="C27" s="1916"/>
      <c r="D27" s="1916"/>
      <c r="E27" s="1932"/>
      <c r="F27" s="1933"/>
      <c r="G27" s="1934"/>
      <c r="H27" s="1935"/>
      <c r="I27" s="1956"/>
      <c r="J27" s="1937">
        <f>IF(F27="RINCÓN",H27*#REF!,H27*$H$14)</f>
        <v>0</v>
      </c>
      <c r="K27" s="1957"/>
      <c r="L27" s="1957"/>
      <c r="M27" s="1939">
        <f t="shared" si="0"/>
      </c>
      <c r="N27" s="1940">
        <f t="shared" si="1"/>
      </c>
      <c r="O27" s="1958"/>
      <c r="P27" s="1942">
        <f t="shared" si="2"/>
      </c>
      <c r="Q27" s="1943">
        <f t="shared" si="3"/>
      </c>
      <c r="R27" s="1944">
        <f t="shared" si="4"/>
      </c>
      <c r="S27" s="1921">
        <f t="shared" si="5"/>
        <v>20</v>
      </c>
      <c r="T27" s="1945" t="str">
        <f t="shared" si="6"/>
        <v>--</v>
      </c>
      <c r="U27" s="1946" t="str">
        <f t="shared" si="7"/>
        <v>--</v>
      </c>
      <c r="V27" s="1947" t="str">
        <f t="shared" si="8"/>
        <v>--</v>
      </c>
      <c r="W27" s="1948" t="str">
        <f t="shared" si="9"/>
        <v>--</v>
      </c>
      <c r="X27" s="1949" t="str">
        <f t="shared" si="10"/>
        <v>--</v>
      </c>
      <c r="Y27" s="1950" t="str">
        <f t="shared" si="11"/>
        <v>--</v>
      </c>
      <c r="Z27" s="1951" t="str">
        <f t="shared" si="12"/>
        <v>--</v>
      </c>
      <c r="AA27" s="1952" t="str">
        <f t="shared" si="13"/>
        <v>--</v>
      </c>
      <c r="AB27" s="1953">
        <f t="shared" si="14"/>
      </c>
      <c r="AC27" s="1954">
        <f t="shared" si="15"/>
        <v>0</v>
      </c>
      <c r="AD27" s="1955">
        <f t="shared" si="16"/>
      </c>
      <c r="AE27" s="1838"/>
      <c r="AF27" s="1836"/>
    </row>
    <row r="28" spans="1:31" s="1820" customFormat="1" ht="16.5" customHeight="1">
      <c r="A28" s="1819"/>
      <c r="B28" s="1835"/>
      <c r="C28" s="1916"/>
      <c r="D28" s="1916"/>
      <c r="E28" s="1916"/>
      <c r="F28" s="1933"/>
      <c r="G28" s="1934"/>
      <c r="H28" s="1935"/>
      <c r="I28" s="1956"/>
      <c r="J28" s="1937">
        <f>IF(F28="RINCÓN",H28*#REF!,H28*$H$14)</f>
        <v>0</v>
      </c>
      <c r="K28" s="1957"/>
      <c r="L28" s="1957"/>
      <c r="M28" s="1939">
        <f t="shared" si="0"/>
      </c>
      <c r="N28" s="1940">
        <f t="shared" si="1"/>
      </c>
      <c r="O28" s="1958"/>
      <c r="P28" s="1942">
        <f t="shared" si="2"/>
      </c>
      <c r="Q28" s="1943">
        <f t="shared" si="3"/>
      </c>
      <c r="R28" s="1944">
        <f t="shared" si="4"/>
      </c>
      <c r="S28" s="1921">
        <f t="shared" si="5"/>
        <v>20</v>
      </c>
      <c r="T28" s="1945" t="str">
        <f t="shared" si="6"/>
        <v>--</v>
      </c>
      <c r="U28" s="1946" t="str">
        <f t="shared" si="7"/>
        <v>--</v>
      </c>
      <c r="V28" s="1947" t="str">
        <f t="shared" si="8"/>
        <v>--</v>
      </c>
      <c r="W28" s="1948" t="str">
        <f t="shared" si="9"/>
        <v>--</v>
      </c>
      <c r="X28" s="1949" t="str">
        <f t="shared" si="10"/>
        <v>--</v>
      </c>
      <c r="Y28" s="1950" t="str">
        <f t="shared" si="11"/>
        <v>--</v>
      </c>
      <c r="Z28" s="1951" t="str">
        <f t="shared" si="12"/>
        <v>--</v>
      </c>
      <c r="AA28" s="1952" t="str">
        <f t="shared" si="13"/>
        <v>--</v>
      </c>
      <c r="AB28" s="1953">
        <f t="shared" si="14"/>
      </c>
      <c r="AC28" s="1954">
        <f t="shared" si="15"/>
        <v>0</v>
      </c>
      <c r="AD28" s="1955">
        <f t="shared" si="16"/>
      </c>
      <c r="AE28" s="1838"/>
    </row>
    <row r="29" spans="1:31" s="1820" customFormat="1" ht="16.5" customHeight="1">
      <c r="A29" s="1819"/>
      <c r="B29" s="1835"/>
      <c r="C29" s="1916"/>
      <c r="D29" s="1916"/>
      <c r="E29" s="1932"/>
      <c r="F29" s="1933"/>
      <c r="G29" s="1934"/>
      <c r="H29" s="1935"/>
      <c r="I29" s="1956"/>
      <c r="J29" s="1937">
        <f>IF(F29="RINCÓN",H29*#REF!,H29*$H$14)</f>
        <v>0</v>
      </c>
      <c r="K29" s="1957"/>
      <c r="L29" s="1957"/>
      <c r="M29" s="1939">
        <f t="shared" si="0"/>
      </c>
      <c r="N29" s="1940">
        <f t="shared" si="1"/>
      </c>
      <c r="O29" s="1958"/>
      <c r="P29" s="1942">
        <f t="shared" si="2"/>
      </c>
      <c r="Q29" s="1943">
        <f t="shared" si="3"/>
      </c>
      <c r="R29" s="1944">
        <f t="shared" si="4"/>
      </c>
      <c r="S29" s="1921">
        <f t="shared" si="5"/>
        <v>20</v>
      </c>
      <c r="T29" s="1945" t="str">
        <f t="shared" si="6"/>
        <v>--</v>
      </c>
      <c r="U29" s="1946" t="str">
        <f t="shared" si="7"/>
        <v>--</v>
      </c>
      <c r="V29" s="1947" t="str">
        <f t="shared" si="8"/>
        <v>--</v>
      </c>
      <c r="W29" s="1948" t="str">
        <f t="shared" si="9"/>
        <v>--</v>
      </c>
      <c r="X29" s="1949" t="str">
        <f t="shared" si="10"/>
        <v>--</v>
      </c>
      <c r="Y29" s="1950" t="str">
        <f t="shared" si="11"/>
        <v>--</v>
      </c>
      <c r="Z29" s="1951" t="str">
        <f t="shared" si="12"/>
        <v>--</v>
      </c>
      <c r="AA29" s="1952" t="str">
        <f t="shared" si="13"/>
        <v>--</v>
      </c>
      <c r="AB29" s="1953">
        <f t="shared" si="14"/>
      </c>
      <c r="AC29" s="1954">
        <f t="shared" si="15"/>
        <v>0</v>
      </c>
      <c r="AD29" s="1955">
        <f t="shared" si="16"/>
      </c>
      <c r="AE29" s="1838"/>
    </row>
    <row r="30" spans="1:31" s="1820" customFormat="1" ht="16.5" customHeight="1">
      <c r="A30" s="1819"/>
      <c r="B30" s="1835"/>
      <c r="C30" s="1916"/>
      <c r="D30" s="1916"/>
      <c r="E30" s="1916"/>
      <c r="F30" s="1933"/>
      <c r="G30" s="1934"/>
      <c r="H30" s="1935"/>
      <c r="I30" s="1956"/>
      <c r="J30" s="1937">
        <f>IF(F30="RINCÓN",H30*#REF!,H30*$H$14)</f>
        <v>0</v>
      </c>
      <c r="K30" s="1957"/>
      <c r="L30" s="1957"/>
      <c r="M30" s="1939">
        <f t="shared" si="0"/>
      </c>
      <c r="N30" s="1940">
        <f t="shared" si="1"/>
      </c>
      <c r="O30" s="1958"/>
      <c r="P30" s="1942">
        <f t="shared" si="2"/>
      </c>
      <c r="Q30" s="1943">
        <f t="shared" si="3"/>
      </c>
      <c r="R30" s="1944">
        <f t="shared" si="4"/>
      </c>
      <c r="S30" s="1921">
        <f t="shared" si="5"/>
        <v>20</v>
      </c>
      <c r="T30" s="1945" t="str">
        <f t="shared" si="6"/>
        <v>--</v>
      </c>
      <c r="U30" s="1946" t="str">
        <f t="shared" si="7"/>
        <v>--</v>
      </c>
      <c r="V30" s="1947" t="str">
        <f t="shared" si="8"/>
        <v>--</v>
      </c>
      <c r="W30" s="1948" t="str">
        <f t="shared" si="9"/>
        <v>--</v>
      </c>
      <c r="X30" s="1949" t="str">
        <f t="shared" si="10"/>
        <v>--</v>
      </c>
      <c r="Y30" s="1950" t="str">
        <f t="shared" si="11"/>
        <v>--</v>
      </c>
      <c r="Z30" s="1951" t="str">
        <f t="shared" si="12"/>
        <v>--</v>
      </c>
      <c r="AA30" s="1952" t="str">
        <f t="shared" si="13"/>
        <v>--</v>
      </c>
      <c r="AB30" s="1953">
        <f t="shared" si="14"/>
      </c>
      <c r="AC30" s="1954">
        <f t="shared" si="15"/>
        <v>0</v>
      </c>
      <c r="AD30" s="1955">
        <f t="shared" si="16"/>
      </c>
      <c r="AE30" s="1838"/>
    </row>
    <row r="31" spans="1:31" s="1820" customFormat="1" ht="16.5" customHeight="1">
      <c r="A31" s="1819"/>
      <c r="B31" s="1835"/>
      <c r="C31" s="1916"/>
      <c r="D31" s="1916"/>
      <c r="E31" s="1932"/>
      <c r="F31" s="1933"/>
      <c r="G31" s="1959"/>
      <c r="H31" s="1935"/>
      <c r="I31" s="1956"/>
      <c r="J31" s="1937">
        <f>IF(F31="RINCÓN",H31*#REF!,H31*$H$14)</f>
        <v>0</v>
      </c>
      <c r="K31" s="1957"/>
      <c r="L31" s="1957"/>
      <c r="M31" s="1939">
        <f t="shared" si="0"/>
      </c>
      <c r="N31" s="1940">
        <f t="shared" si="1"/>
      </c>
      <c r="O31" s="1958"/>
      <c r="P31" s="1942">
        <f t="shared" si="2"/>
      </c>
      <c r="Q31" s="1943">
        <f t="shared" si="3"/>
      </c>
      <c r="R31" s="1944">
        <f t="shared" si="4"/>
      </c>
      <c r="S31" s="1921">
        <f t="shared" si="5"/>
        <v>20</v>
      </c>
      <c r="T31" s="1945" t="str">
        <f t="shared" si="6"/>
        <v>--</v>
      </c>
      <c r="U31" s="1946" t="str">
        <f t="shared" si="7"/>
        <v>--</v>
      </c>
      <c r="V31" s="1947" t="str">
        <f t="shared" si="8"/>
        <v>--</v>
      </c>
      <c r="W31" s="1948" t="str">
        <f t="shared" si="9"/>
        <v>--</v>
      </c>
      <c r="X31" s="1949" t="str">
        <f t="shared" si="10"/>
        <v>--</v>
      </c>
      <c r="Y31" s="1950" t="str">
        <f t="shared" si="11"/>
        <v>--</v>
      </c>
      <c r="Z31" s="1951" t="str">
        <f t="shared" si="12"/>
        <v>--</v>
      </c>
      <c r="AA31" s="1952" t="str">
        <f t="shared" si="13"/>
        <v>--</v>
      </c>
      <c r="AB31" s="1953">
        <f t="shared" si="14"/>
      </c>
      <c r="AC31" s="1954">
        <f t="shared" si="15"/>
        <v>0</v>
      </c>
      <c r="AD31" s="1955">
        <f t="shared" si="16"/>
      </c>
      <c r="AE31" s="1838"/>
    </row>
    <row r="32" spans="1:31" s="1820" customFormat="1" ht="16.5" customHeight="1">
      <c r="A32" s="1819"/>
      <c r="B32" s="1835"/>
      <c r="C32" s="1916"/>
      <c r="D32" s="1916"/>
      <c r="E32" s="1916"/>
      <c r="F32" s="1933"/>
      <c r="G32" s="1959"/>
      <c r="H32" s="1935"/>
      <c r="I32" s="1956"/>
      <c r="J32" s="1937">
        <f>IF(F32="RINCÓN",H32*#REF!,H32*$H$14)</f>
        <v>0</v>
      </c>
      <c r="K32" s="1957"/>
      <c r="L32" s="1957"/>
      <c r="M32" s="1939">
        <f t="shared" si="0"/>
      </c>
      <c r="N32" s="1940">
        <f t="shared" si="1"/>
      </c>
      <c r="O32" s="1958"/>
      <c r="P32" s="1942">
        <f t="shared" si="2"/>
      </c>
      <c r="Q32" s="1943">
        <f t="shared" si="3"/>
      </c>
      <c r="R32" s="1944">
        <f t="shared" si="4"/>
      </c>
      <c r="S32" s="1921">
        <f t="shared" si="5"/>
        <v>20</v>
      </c>
      <c r="T32" s="1945" t="str">
        <f t="shared" si="6"/>
        <v>--</v>
      </c>
      <c r="U32" s="1946" t="str">
        <f t="shared" si="7"/>
        <v>--</v>
      </c>
      <c r="V32" s="1947" t="str">
        <f t="shared" si="8"/>
        <v>--</v>
      </c>
      <c r="W32" s="1948" t="str">
        <f t="shared" si="9"/>
        <v>--</v>
      </c>
      <c r="X32" s="1949" t="str">
        <f t="shared" si="10"/>
        <v>--</v>
      </c>
      <c r="Y32" s="1950" t="str">
        <f t="shared" si="11"/>
        <v>--</v>
      </c>
      <c r="Z32" s="1951" t="str">
        <f t="shared" si="12"/>
        <v>--</v>
      </c>
      <c r="AA32" s="1952" t="str">
        <f t="shared" si="13"/>
        <v>--</v>
      </c>
      <c r="AB32" s="1953">
        <f t="shared" si="14"/>
      </c>
      <c r="AC32" s="1954">
        <f t="shared" si="15"/>
        <v>0</v>
      </c>
      <c r="AD32" s="1955">
        <f t="shared" si="16"/>
      </c>
      <c r="AE32" s="1838"/>
    </row>
    <row r="33" spans="1:31" s="1820" customFormat="1" ht="16.5" customHeight="1">
      <c r="A33" s="1819"/>
      <c r="B33" s="1835"/>
      <c r="C33" s="1916"/>
      <c r="D33" s="1916"/>
      <c r="E33" s="1932"/>
      <c r="F33" s="1933"/>
      <c r="G33" s="1959"/>
      <c r="H33" s="1935"/>
      <c r="I33" s="1956"/>
      <c r="J33" s="1937">
        <f>IF(F33="RINCÓN",H33*#REF!,H33*$H$14)</f>
        <v>0</v>
      </c>
      <c r="K33" s="1957"/>
      <c r="L33" s="1957"/>
      <c r="M33" s="1939">
        <f t="shared" si="0"/>
      </c>
      <c r="N33" s="1940">
        <f t="shared" si="1"/>
      </c>
      <c r="O33" s="1958"/>
      <c r="P33" s="1942">
        <f t="shared" si="2"/>
      </c>
      <c r="Q33" s="1943">
        <f t="shared" si="3"/>
      </c>
      <c r="R33" s="1944">
        <f t="shared" si="4"/>
      </c>
      <c r="S33" s="1921">
        <f t="shared" si="5"/>
        <v>20</v>
      </c>
      <c r="T33" s="1945" t="str">
        <f t="shared" si="6"/>
        <v>--</v>
      </c>
      <c r="U33" s="1946" t="str">
        <f t="shared" si="7"/>
        <v>--</v>
      </c>
      <c r="V33" s="1947" t="str">
        <f t="shared" si="8"/>
        <v>--</v>
      </c>
      <c r="W33" s="1948" t="str">
        <f t="shared" si="9"/>
        <v>--</v>
      </c>
      <c r="X33" s="1949" t="str">
        <f t="shared" si="10"/>
        <v>--</v>
      </c>
      <c r="Y33" s="1950" t="str">
        <f t="shared" si="11"/>
        <v>--</v>
      </c>
      <c r="Z33" s="1951" t="str">
        <f t="shared" si="12"/>
        <v>--</v>
      </c>
      <c r="AA33" s="1952" t="str">
        <f t="shared" si="13"/>
        <v>--</v>
      </c>
      <c r="AB33" s="1953">
        <f t="shared" si="14"/>
      </c>
      <c r="AC33" s="1954">
        <f t="shared" si="15"/>
        <v>0</v>
      </c>
      <c r="AD33" s="1955">
        <f t="shared" si="16"/>
      </c>
      <c r="AE33" s="1838"/>
    </row>
    <row r="34" spans="1:31" s="1820" customFormat="1" ht="16.5" customHeight="1">
      <c r="A34" s="1819"/>
      <c r="B34" s="1835"/>
      <c r="C34" s="1916"/>
      <c r="D34" s="1916"/>
      <c r="E34" s="1916"/>
      <c r="F34" s="1933"/>
      <c r="G34" s="1959"/>
      <c r="H34" s="1935"/>
      <c r="I34" s="1956"/>
      <c r="J34" s="1937">
        <f>IF(F34="RINCÓN",H34*#REF!,H34*$H$14)</f>
        <v>0</v>
      </c>
      <c r="K34" s="1957"/>
      <c r="L34" s="1957"/>
      <c r="M34" s="1939">
        <f t="shared" si="0"/>
      </c>
      <c r="N34" s="1940">
        <f t="shared" si="1"/>
      </c>
      <c r="O34" s="1958"/>
      <c r="P34" s="1942">
        <f t="shared" si="2"/>
      </c>
      <c r="Q34" s="1943">
        <f t="shared" si="3"/>
      </c>
      <c r="R34" s="1944">
        <f t="shared" si="4"/>
      </c>
      <c r="S34" s="1921">
        <f t="shared" si="5"/>
        <v>20</v>
      </c>
      <c r="T34" s="1945" t="str">
        <f t="shared" si="6"/>
        <v>--</v>
      </c>
      <c r="U34" s="1946" t="str">
        <f t="shared" si="7"/>
        <v>--</v>
      </c>
      <c r="V34" s="1947" t="str">
        <f t="shared" si="8"/>
        <v>--</v>
      </c>
      <c r="W34" s="1948" t="str">
        <f t="shared" si="9"/>
        <v>--</v>
      </c>
      <c r="X34" s="1949" t="str">
        <f t="shared" si="10"/>
        <v>--</v>
      </c>
      <c r="Y34" s="1950" t="str">
        <f t="shared" si="11"/>
        <v>--</v>
      </c>
      <c r="Z34" s="1951" t="str">
        <f t="shared" si="12"/>
        <v>--</v>
      </c>
      <c r="AA34" s="1952" t="str">
        <f t="shared" si="13"/>
        <v>--</v>
      </c>
      <c r="AB34" s="1953">
        <f t="shared" si="14"/>
      </c>
      <c r="AC34" s="1954">
        <f t="shared" si="15"/>
        <v>0</v>
      </c>
      <c r="AD34" s="1955">
        <f t="shared" si="16"/>
      </c>
      <c r="AE34" s="1838"/>
    </row>
    <row r="35" spans="1:31" s="1820" customFormat="1" ht="16.5" customHeight="1">
      <c r="A35" s="1819"/>
      <c r="B35" s="1835"/>
      <c r="C35" s="1916"/>
      <c r="D35" s="1916"/>
      <c r="E35" s="1932"/>
      <c r="F35" s="1933"/>
      <c r="G35" s="1959"/>
      <c r="H35" s="1935"/>
      <c r="I35" s="1956"/>
      <c r="J35" s="1937">
        <f>IF(F35="RINCÓN",H35*#REF!,H35*$H$14)</f>
        <v>0</v>
      </c>
      <c r="K35" s="1957"/>
      <c r="L35" s="1957"/>
      <c r="M35" s="1939">
        <f t="shared" si="0"/>
      </c>
      <c r="N35" s="1940">
        <f t="shared" si="1"/>
      </c>
      <c r="O35" s="1958"/>
      <c r="P35" s="1942">
        <f t="shared" si="2"/>
      </c>
      <c r="Q35" s="1943">
        <f t="shared" si="3"/>
      </c>
      <c r="R35" s="1944">
        <f t="shared" si="4"/>
      </c>
      <c r="S35" s="1921">
        <f t="shared" si="5"/>
        <v>20</v>
      </c>
      <c r="T35" s="1945" t="str">
        <f t="shared" si="6"/>
        <v>--</v>
      </c>
      <c r="U35" s="1946" t="str">
        <f t="shared" si="7"/>
        <v>--</v>
      </c>
      <c r="V35" s="1947" t="str">
        <f t="shared" si="8"/>
        <v>--</v>
      </c>
      <c r="W35" s="1948" t="str">
        <f t="shared" si="9"/>
        <v>--</v>
      </c>
      <c r="X35" s="1949" t="str">
        <f t="shared" si="10"/>
        <v>--</v>
      </c>
      <c r="Y35" s="1950" t="str">
        <f t="shared" si="11"/>
        <v>--</v>
      </c>
      <c r="Z35" s="1951" t="str">
        <f t="shared" si="12"/>
        <v>--</v>
      </c>
      <c r="AA35" s="1952" t="str">
        <f t="shared" si="13"/>
        <v>--</v>
      </c>
      <c r="AB35" s="1953">
        <f t="shared" si="14"/>
      </c>
      <c r="AC35" s="1954">
        <f t="shared" si="15"/>
        <v>0</v>
      </c>
      <c r="AD35" s="1955">
        <f t="shared" si="16"/>
      </c>
      <c r="AE35" s="1838"/>
    </row>
    <row r="36" spans="1:31" s="1820" customFormat="1" ht="16.5" customHeight="1">
      <c r="A36" s="1819"/>
      <c r="B36" s="1835"/>
      <c r="C36" s="1916"/>
      <c r="D36" s="1916"/>
      <c r="E36" s="1916"/>
      <c r="F36" s="1933"/>
      <c r="G36" s="1959"/>
      <c r="H36" s="1935"/>
      <c r="I36" s="1956"/>
      <c r="J36" s="1937">
        <f>IF(F36="RINCÓN",H36*#REF!,H36*$H$14)</f>
        <v>0</v>
      </c>
      <c r="K36" s="1957"/>
      <c r="L36" s="1957"/>
      <c r="M36" s="1939">
        <f t="shared" si="0"/>
      </c>
      <c r="N36" s="1940">
        <f t="shared" si="1"/>
      </c>
      <c r="O36" s="1958"/>
      <c r="P36" s="1942">
        <f t="shared" si="2"/>
      </c>
      <c r="Q36" s="1943">
        <f t="shared" si="3"/>
      </c>
      <c r="R36" s="1944">
        <f t="shared" si="4"/>
      </c>
      <c r="S36" s="1921">
        <f t="shared" si="5"/>
        <v>20</v>
      </c>
      <c r="T36" s="1945" t="str">
        <f t="shared" si="6"/>
        <v>--</v>
      </c>
      <c r="U36" s="1946" t="str">
        <f t="shared" si="7"/>
        <v>--</v>
      </c>
      <c r="V36" s="1947" t="str">
        <f t="shared" si="8"/>
        <v>--</v>
      </c>
      <c r="W36" s="1948" t="str">
        <f t="shared" si="9"/>
        <v>--</v>
      </c>
      <c r="X36" s="1949" t="str">
        <f t="shared" si="10"/>
        <v>--</v>
      </c>
      <c r="Y36" s="1950" t="str">
        <f t="shared" si="11"/>
        <v>--</v>
      </c>
      <c r="Z36" s="1951" t="str">
        <f t="shared" si="12"/>
        <v>--</v>
      </c>
      <c r="AA36" s="1952" t="str">
        <f t="shared" si="13"/>
        <v>--</v>
      </c>
      <c r="AB36" s="1953">
        <f t="shared" si="14"/>
      </c>
      <c r="AC36" s="1954">
        <f t="shared" si="15"/>
        <v>0</v>
      </c>
      <c r="AD36" s="1955">
        <f t="shared" si="16"/>
      </c>
      <c r="AE36" s="1838"/>
    </row>
    <row r="37" spans="1:31" s="1820" customFormat="1" ht="16.5" customHeight="1">
      <c r="A37" s="1819"/>
      <c r="B37" s="1835"/>
      <c r="C37" s="1916"/>
      <c r="D37" s="1916"/>
      <c r="E37" s="1932"/>
      <c r="F37" s="1933"/>
      <c r="G37" s="1959"/>
      <c r="H37" s="1935"/>
      <c r="I37" s="1956"/>
      <c r="J37" s="1937">
        <f>IF(F37="RINCÓN",H37*#REF!,H37*$H$14)</f>
        <v>0</v>
      </c>
      <c r="K37" s="1957"/>
      <c r="L37" s="1957"/>
      <c r="M37" s="1939">
        <f t="shared" si="0"/>
      </c>
      <c r="N37" s="1940">
        <f t="shared" si="1"/>
      </c>
      <c r="O37" s="1958"/>
      <c r="P37" s="1942">
        <f t="shared" si="2"/>
      </c>
      <c r="Q37" s="1943">
        <f t="shared" si="3"/>
      </c>
      <c r="R37" s="1944">
        <f t="shared" si="4"/>
      </c>
      <c r="S37" s="1921">
        <f t="shared" si="5"/>
        <v>20</v>
      </c>
      <c r="T37" s="1945" t="str">
        <f t="shared" si="6"/>
        <v>--</v>
      </c>
      <c r="U37" s="1946" t="str">
        <f t="shared" si="7"/>
        <v>--</v>
      </c>
      <c r="V37" s="1947" t="str">
        <f t="shared" si="8"/>
        <v>--</v>
      </c>
      <c r="W37" s="1948" t="str">
        <f t="shared" si="9"/>
        <v>--</v>
      </c>
      <c r="X37" s="1949" t="str">
        <f t="shared" si="10"/>
        <v>--</v>
      </c>
      <c r="Y37" s="1950" t="str">
        <f t="shared" si="11"/>
        <v>--</v>
      </c>
      <c r="Z37" s="1951" t="str">
        <f t="shared" si="12"/>
        <v>--</v>
      </c>
      <c r="AA37" s="1952" t="str">
        <f t="shared" si="13"/>
        <v>--</v>
      </c>
      <c r="AB37" s="1953">
        <f t="shared" si="14"/>
      </c>
      <c r="AC37" s="1954">
        <f t="shared" si="15"/>
        <v>0</v>
      </c>
      <c r="AD37" s="1955">
        <f t="shared" si="16"/>
      </c>
      <c r="AE37" s="1838"/>
    </row>
    <row r="38" spans="1:31" s="1820" customFormat="1" ht="16.5" customHeight="1">
      <c r="A38" s="1819"/>
      <c r="B38" s="1835"/>
      <c r="C38" s="1916"/>
      <c r="D38" s="1916"/>
      <c r="E38" s="1916"/>
      <c r="F38" s="1933"/>
      <c r="G38" s="1959"/>
      <c r="H38" s="1935"/>
      <c r="I38" s="1956"/>
      <c r="J38" s="1937">
        <f>IF(F38="RINCÓN",H38*#REF!,H38*$H$14)</f>
        <v>0</v>
      </c>
      <c r="K38" s="1957"/>
      <c r="L38" s="1957"/>
      <c r="M38" s="1939">
        <f t="shared" si="0"/>
      </c>
      <c r="N38" s="1940">
        <f t="shared" si="1"/>
      </c>
      <c r="O38" s="1958"/>
      <c r="P38" s="1942">
        <f t="shared" si="2"/>
      </c>
      <c r="Q38" s="1943">
        <f t="shared" si="3"/>
      </c>
      <c r="R38" s="1944">
        <f t="shared" si="4"/>
      </c>
      <c r="S38" s="1921">
        <f t="shared" si="5"/>
        <v>20</v>
      </c>
      <c r="T38" s="1945" t="str">
        <f t="shared" si="6"/>
        <v>--</v>
      </c>
      <c r="U38" s="1946" t="str">
        <f t="shared" si="7"/>
        <v>--</v>
      </c>
      <c r="V38" s="1947" t="str">
        <f t="shared" si="8"/>
        <v>--</v>
      </c>
      <c r="W38" s="1948" t="str">
        <f t="shared" si="9"/>
        <v>--</v>
      </c>
      <c r="X38" s="1949" t="str">
        <f t="shared" si="10"/>
        <v>--</v>
      </c>
      <c r="Y38" s="1950" t="str">
        <f t="shared" si="11"/>
        <v>--</v>
      </c>
      <c r="Z38" s="1951" t="str">
        <f t="shared" si="12"/>
        <v>--</v>
      </c>
      <c r="AA38" s="1952" t="str">
        <f t="shared" si="13"/>
        <v>--</v>
      </c>
      <c r="AB38" s="1953">
        <f t="shared" si="14"/>
      </c>
      <c r="AC38" s="1954">
        <f t="shared" si="15"/>
        <v>0</v>
      </c>
      <c r="AD38" s="1955">
        <f t="shared" si="16"/>
      </c>
      <c r="AE38" s="1838"/>
    </row>
    <row r="39" spans="1:31" s="1820" customFormat="1" ht="16.5" customHeight="1">
      <c r="A39" s="1819"/>
      <c r="B39" s="1835"/>
      <c r="C39" s="1916"/>
      <c r="D39" s="1916"/>
      <c r="E39" s="1932"/>
      <c r="F39" s="1933"/>
      <c r="G39" s="1959"/>
      <c r="H39" s="1935"/>
      <c r="I39" s="1956"/>
      <c r="J39" s="1937">
        <f>IF(F39="RINCÓN",H39*#REF!,H39*$H$14)</f>
        <v>0</v>
      </c>
      <c r="K39" s="1957"/>
      <c r="L39" s="1957"/>
      <c r="M39" s="1939">
        <f t="shared" si="0"/>
      </c>
      <c r="N39" s="1940">
        <f t="shared" si="1"/>
      </c>
      <c r="O39" s="1958"/>
      <c r="P39" s="1942">
        <f t="shared" si="2"/>
      </c>
      <c r="Q39" s="1943">
        <f t="shared" si="3"/>
      </c>
      <c r="R39" s="1944">
        <f t="shared" si="4"/>
      </c>
      <c r="S39" s="1921">
        <f t="shared" si="5"/>
        <v>20</v>
      </c>
      <c r="T39" s="1945" t="str">
        <f t="shared" si="6"/>
        <v>--</v>
      </c>
      <c r="U39" s="1946" t="str">
        <f t="shared" si="7"/>
        <v>--</v>
      </c>
      <c r="V39" s="1947" t="str">
        <f t="shared" si="8"/>
        <v>--</v>
      </c>
      <c r="W39" s="1948" t="str">
        <f t="shared" si="9"/>
        <v>--</v>
      </c>
      <c r="X39" s="1949" t="str">
        <f t="shared" si="10"/>
        <v>--</v>
      </c>
      <c r="Y39" s="1950" t="str">
        <f t="shared" si="11"/>
        <v>--</v>
      </c>
      <c r="Z39" s="1951" t="str">
        <f t="shared" si="12"/>
        <v>--</v>
      </c>
      <c r="AA39" s="1952" t="str">
        <f t="shared" si="13"/>
        <v>--</v>
      </c>
      <c r="AB39" s="1953">
        <f t="shared" si="14"/>
      </c>
      <c r="AC39" s="1954">
        <f t="shared" si="15"/>
        <v>0</v>
      </c>
      <c r="AD39" s="1955">
        <f t="shared" si="16"/>
      </c>
      <c r="AE39" s="1838"/>
    </row>
    <row r="40" spans="1:31" s="1820" customFormat="1" ht="16.5" customHeight="1">
      <c r="A40" s="1819"/>
      <c r="B40" s="1835"/>
      <c r="C40" s="1916"/>
      <c r="D40" s="1916"/>
      <c r="E40" s="1916"/>
      <c r="F40" s="1933"/>
      <c r="G40" s="1959"/>
      <c r="H40" s="1935"/>
      <c r="I40" s="1956"/>
      <c r="J40" s="1937">
        <f>IF(F40="RINCÓN",H40*#REF!,H40*$H$14)</f>
        <v>0</v>
      </c>
      <c r="K40" s="1957"/>
      <c r="L40" s="1957"/>
      <c r="M40" s="1939">
        <f t="shared" si="0"/>
      </c>
      <c r="N40" s="1940">
        <f t="shared" si="1"/>
      </c>
      <c r="O40" s="1958"/>
      <c r="P40" s="1942">
        <f t="shared" si="2"/>
      </c>
      <c r="Q40" s="1943">
        <f t="shared" si="3"/>
      </c>
      <c r="R40" s="1944">
        <f t="shared" si="4"/>
      </c>
      <c r="S40" s="1921">
        <f t="shared" si="5"/>
        <v>20</v>
      </c>
      <c r="T40" s="1945" t="str">
        <f t="shared" si="6"/>
        <v>--</v>
      </c>
      <c r="U40" s="1946" t="str">
        <f t="shared" si="7"/>
        <v>--</v>
      </c>
      <c r="V40" s="1947" t="str">
        <f t="shared" si="8"/>
        <v>--</v>
      </c>
      <c r="W40" s="1948" t="str">
        <f t="shared" si="9"/>
        <v>--</v>
      </c>
      <c r="X40" s="1949" t="str">
        <f t="shared" si="10"/>
        <v>--</v>
      </c>
      <c r="Y40" s="1950" t="str">
        <f t="shared" si="11"/>
        <v>--</v>
      </c>
      <c r="Z40" s="1951" t="str">
        <f t="shared" si="12"/>
        <v>--</v>
      </c>
      <c r="AA40" s="1952" t="str">
        <f t="shared" si="13"/>
        <v>--</v>
      </c>
      <c r="AB40" s="1953">
        <f t="shared" si="14"/>
      </c>
      <c r="AC40" s="1954">
        <f t="shared" si="15"/>
        <v>0</v>
      </c>
      <c r="AD40" s="1955">
        <f t="shared" si="16"/>
      </c>
      <c r="AE40" s="1838"/>
    </row>
    <row r="41" spans="1:31" s="1820" customFormat="1" ht="16.5" customHeight="1" thickBot="1">
      <c r="A41" s="1819"/>
      <c r="B41" s="1835"/>
      <c r="C41" s="1960"/>
      <c r="D41" s="1960"/>
      <c r="E41" s="1960"/>
      <c r="F41" s="1960"/>
      <c r="G41" s="1960"/>
      <c r="H41" s="1960"/>
      <c r="I41" s="1961"/>
      <c r="J41" s="1962"/>
      <c r="K41" s="1963"/>
      <c r="L41" s="1964"/>
      <c r="M41" s="1965"/>
      <c r="N41" s="1966"/>
      <c r="O41" s="1967"/>
      <c r="P41" s="1968"/>
      <c r="Q41" s="1969"/>
      <c r="R41" s="1969"/>
      <c r="S41" s="1970"/>
      <c r="T41" s="1971"/>
      <c r="U41" s="1972"/>
      <c r="V41" s="1973"/>
      <c r="W41" s="1974"/>
      <c r="X41" s="1975"/>
      <c r="Y41" s="1976"/>
      <c r="Z41" s="1977"/>
      <c r="AA41" s="1978"/>
      <c r="AB41" s="1979"/>
      <c r="AC41" s="1980"/>
      <c r="AD41" s="1981"/>
      <c r="AE41" s="1838"/>
    </row>
    <row r="42" spans="1:31" s="1820" customFormat="1" ht="16.5" customHeight="1" thickBot="1" thickTop="1">
      <c r="A42" s="1819"/>
      <c r="B42" s="1835"/>
      <c r="C42" s="1982" t="s">
        <v>324</v>
      </c>
      <c r="D42" s="1983" t="s">
        <v>338</v>
      </c>
      <c r="E42" s="1984"/>
      <c r="F42" s="1985"/>
      <c r="G42" s="1836"/>
      <c r="H42" s="1836"/>
      <c r="I42" s="1836"/>
      <c r="J42" s="1836"/>
      <c r="K42" s="1836"/>
      <c r="L42" s="1874"/>
      <c r="M42" s="1836"/>
      <c r="N42" s="1836"/>
      <c r="O42" s="1836"/>
      <c r="P42" s="1836"/>
      <c r="Q42" s="1836"/>
      <c r="R42" s="1836"/>
      <c r="S42" s="1986"/>
      <c r="T42" s="1987">
        <f aca="true" t="shared" si="17" ref="T42:AA42">SUM(T19:T41)</f>
        <v>92.69999999999999</v>
      </c>
      <c r="U42" s="1988">
        <f t="shared" si="17"/>
        <v>0</v>
      </c>
      <c r="V42" s="1989">
        <f t="shared" si="17"/>
        <v>0</v>
      </c>
      <c r="W42" s="1990">
        <f t="shared" si="17"/>
        <v>0</v>
      </c>
      <c r="X42" s="1991">
        <f t="shared" si="17"/>
        <v>0</v>
      </c>
      <c r="Y42" s="1992">
        <f t="shared" si="17"/>
        <v>0</v>
      </c>
      <c r="Z42" s="1993">
        <f t="shared" si="17"/>
        <v>0</v>
      </c>
      <c r="AA42" s="1994">
        <f t="shared" si="17"/>
        <v>0</v>
      </c>
      <c r="AB42" s="1819"/>
      <c r="AC42" s="1995">
        <f>ROUND(SUM(AC19:AC41),2)</f>
        <v>92.7</v>
      </c>
      <c r="AD42" s="1996">
        <f>ROUND(SUM(AD19:AD41),2)</f>
        <v>92.7</v>
      </c>
      <c r="AE42" s="1838"/>
    </row>
    <row r="43" spans="1:31" s="1820" customFormat="1" ht="16.5" customHeight="1" thickBot="1" thickTop="1">
      <c r="A43" s="1819"/>
      <c r="B43" s="1997"/>
      <c r="C43" s="1998"/>
      <c r="D43" s="1998"/>
      <c r="E43" s="1998"/>
      <c r="F43" s="1998"/>
      <c r="G43" s="1998"/>
      <c r="H43" s="1998"/>
      <c r="I43" s="1998"/>
      <c r="J43" s="1998"/>
      <c r="K43" s="1998"/>
      <c r="L43" s="1998"/>
      <c r="M43" s="1998"/>
      <c r="N43" s="1998"/>
      <c r="O43" s="1998"/>
      <c r="P43" s="1998"/>
      <c r="Q43" s="1998"/>
      <c r="R43" s="1998"/>
      <c r="S43" s="1998"/>
      <c r="T43" s="1998"/>
      <c r="U43" s="1998"/>
      <c r="V43" s="1998"/>
      <c r="W43" s="1998"/>
      <c r="X43" s="1998"/>
      <c r="Y43" s="1998"/>
      <c r="Z43" s="1998"/>
      <c r="AA43" s="1998"/>
      <c r="AB43" s="1998"/>
      <c r="AC43" s="1998"/>
      <c r="AD43" s="1998"/>
      <c r="AE43" s="1999"/>
    </row>
    <row r="44" spans="1:32" ht="16.5" customHeight="1" thickTop="1">
      <c r="A44" s="2000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</row>
    <row r="45" spans="1:32" ht="16.5" customHeight="1">
      <c r="A45" s="2000"/>
      <c r="F45" s="2001"/>
      <c r="G45" s="2001"/>
      <c r="H45" s="2001"/>
      <c r="I45" s="2001"/>
      <c r="J45" s="2001"/>
      <c r="K45" s="2001"/>
      <c r="L45" s="2001"/>
      <c r="M45" s="2001"/>
      <c r="N45" s="2001"/>
      <c r="O45" s="2001"/>
      <c r="P45" s="2001"/>
      <c r="Q45" s="2001"/>
      <c r="R45" s="2001"/>
      <c r="S45" s="2001"/>
      <c r="T45" s="2001"/>
      <c r="U45" s="2001"/>
      <c r="V45" s="2001"/>
      <c r="W45" s="2001"/>
      <c r="X45" s="2001"/>
      <c r="Y45" s="2001"/>
      <c r="Z45" s="2001"/>
      <c r="AA45" s="2001"/>
      <c r="AB45" s="2001"/>
      <c r="AC45" s="2001"/>
      <c r="AD45" s="2001"/>
      <c r="AE45" s="2001"/>
      <c r="AF45" s="2001"/>
    </row>
    <row r="46" spans="1:32" ht="16.5" customHeight="1">
      <c r="A46" s="2000"/>
      <c r="F46" s="2001"/>
      <c r="G46" s="2001"/>
      <c r="H46" s="2001"/>
      <c r="I46" s="2001"/>
      <c r="J46" s="2001"/>
      <c r="K46" s="2001"/>
      <c r="L46" s="2001"/>
      <c r="M46" s="2001"/>
      <c r="N46" s="2001"/>
      <c r="O46" s="2001"/>
      <c r="P46" s="2001"/>
      <c r="Q46" s="2001"/>
      <c r="R46" s="2001"/>
      <c r="S46" s="2001"/>
      <c r="T46" s="2001"/>
      <c r="U46" s="2001"/>
      <c r="V46" s="2001"/>
      <c r="W46" s="2001"/>
      <c r="X46" s="2001"/>
      <c r="Y46" s="2001"/>
      <c r="Z46" s="2001"/>
      <c r="AA46" s="2001"/>
      <c r="AB46" s="2001"/>
      <c r="AC46" s="2001"/>
      <c r="AD46" s="2001"/>
      <c r="AE46" s="2001"/>
      <c r="AF46" s="2001"/>
    </row>
    <row r="47" spans="1:32" ht="16.5" customHeight="1">
      <c r="A47" s="2000"/>
      <c r="F47" s="2001"/>
      <c r="G47" s="2001"/>
      <c r="H47" s="2001"/>
      <c r="I47" s="2001"/>
      <c r="J47" s="2001"/>
      <c r="K47" s="2001"/>
      <c r="L47" s="2001"/>
      <c r="M47" s="2001"/>
      <c r="N47" s="2001"/>
      <c r="O47" s="2001"/>
      <c r="P47" s="2001"/>
      <c r="Q47" s="2001"/>
      <c r="R47" s="2001"/>
      <c r="S47" s="2001"/>
      <c r="T47" s="2001"/>
      <c r="U47" s="2001"/>
      <c r="V47" s="2001"/>
      <c r="W47" s="2001"/>
      <c r="X47" s="2001"/>
      <c r="Y47" s="2001"/>
      <c r="Z47" s="2001"/>
      <c r="AA47" s="2001"/>
      <c r="AB47" s="2001"/>
      <c r="AC47" s="2001"/>
      <c r="AD47" s="2001"/>
      <c r="AE47" s="2001"/>
      <c r="AF47" s="2001"/>
    </row>
    <row r="48" spans="6:32" ht="16.5" customHeight="1">
      <c r="F48" s="2001"/>
      <c r="G48" s="2001"/>
      <c r="H48" s="2001"/>
      <c r="I48" s="2001"/>
      <c r="J48" s="2001"/>
      <c r="K48" s="2001"/>
      <c r="L48" s="2001"/>
      <c r="M48" s="2001"/>
      <c r="N48" s="2001"/>
      <c r="O48" s="2001"/>
      <c r="P48" s="2001"/>
      <c r="Q48" s="2001"/>
      <c r="R48" s="2001"/>
      <c r="S48" s="2001"/>
      <c r="T48" s="2001"/>
      <c r="U48" s="2001"/>
      <c r="V48" s="2001"/>
      <c r="W48" s="2001"/>
      <c r="X48" s="2001"/>
      <c r="Y48" s="2001"/>
      <c r="Z48" s="2001"/>
      <c r="AA48" s="2001"/>
      <c r="AB48" s="2001"/>
      <c r="AC48" s="2001"/>
      <c r="AD48" s="2001"/>
      <c r="AE48" s="2001"/>
      <c r="AF48" s="2001"/>
    </row>
    <row r="49" spans="6:32" ht="16.5" customHeight="1">
      <c r="F49" s="2001"/>
      <c r="G49" s="2001"/>
      <c r="H49" s="2001"/>
      <c r="I49" s="2001"/>
      <c r="J49" s="2001"/>
      <c r="K49" s="2001"/>
      <c r="L49" s="2001"/>
      <c r="M49" s="2001"/>
      <c r="N49" s="2001"/>
      <c r="O49" s="2001"/>
      <c r="P49" s="2001"/>
      <c r="Q49" s="2001"/>
      <c r="R49" s="2001"/>
      <c r="S49" s="2001"/>
      <c r="T49" s="2001"/>
      <c r="U49" s="2001"/>
      <c r="V49" s="2001"/>
      <c r="W49" s="2001"/>
      <c r="X49" s="2001"/>
      <c r="Y49" s="2001"/>
      <c r="Z49" s="2001"/>
      <c r="AA49" s="2001"/>
      <c r="AB49" s="2001"/>
      <c r="AC49" s="2001"/>
      <c r="AD49" s="2001"/>
      <c r="AE49" s="2001"/>
      <c r="AF49" s="2001"/>
    </row>
    <row r="50" spans="6:32" ht="16.5" customHeight="1">
      <c r="F50" s="2001"/>
      <c r="G50" s="2001"/>
      <c r="H50" s="2001"/>
      <c r="I50" s="2001"/>
      <c r="J50" s="2001"/>
      <c r="K50" s="2001"/>
      <c r="L50" s="2001"/>
      <c r="M50" s="2001"/>
      <c r="N50" s="2001"/>
      <c r="O50" s="2001"/>
      <c r="P50" s="2001"/>
      <c r="Q50" s="2001"/>
      <c r="R50" s="2001"/>
      <c r="S50" s="2001"/>
      <c r="T50" s="2001"/>
      <c r="U50" s="2001"/>
      <c r="V50" s="2001"/>
      <c r="W50" s="2001"/>
      <c r="X50" s="2001"/>
      <c r="Y50" s="2001"/>
      <c r="Z50" s="2001"/>
      <c r="AA50" s="2001"/>
      <c r="AB50" s="2001"/>
      <c r="AC50" s="2001"/>
      <c r="AD50" s="2001"/>
      <c r="AE50" s="2001"/>
      <c r="AF50" s="2001"/>
    </row>
    <row r="51" spans="6:32" ht="16.5" customHeight="1">
      <c r="F51" s="2001"/>
      <c r="G51" s="2001"/>
      <c r="H51" s="2001"/>
      <c r="I51" s="2001"/>
      <c r="J51" s="2001"/>
      <c r="K51" s="2001"/>
      <c r="L51" s="2001"/>
      <c r="M51" s="2001"/>
      <c r="N51" s="2001"/>
      <c r="O51" s="2001"/>
      <c r="P51" s="2001"/>
      <c r="Q51" s="2001"/>
      <c r="R51" s="2001"/>
      <c r="S51" s="2001"/>
      <c r="T51" s="2001"/>
      <c r="U51" s="2001"/>
      <c r="V51" s="2001"/>
      <c r="W51" s="2001"/>
      <c r="X51" s="2001"/>
      <c r="Y51" s="2001"/>
      <c r="Z51" s="2001"/>
      <c r="AA51" s="2001"/>
      <c r="AB51" s="2001"/>
      <c r="AC51" s="2001"/>
      <c r="AD51" s="2001"/>
      <c r="AE51" s="2001"/>
      <c r="AF51" s="2001"/>
    </row>
    <row r="52" spans="6:32" ht="16.5" customHeight="1">
      <c r="F52" s="2001"/>
      <c r="G52" s="2001"/>
      <c r="H52" s="2001"/>
      <c r="I52" s="2001"/>
      <c r="J52" s="2001"/>
      <c r="K52" s="2001"/>
      <c r="L52" s="2001"/>
      <c r="M52" s="2001"/>
      <c r="N52" s="2001"/>
      <c r="O52" s="2001"/>
      <c r="P52" s="2001"/>
      <c r="Q52" s="2001"/>
      <c r="R52" s="2001"/>
      <c r="S52" s="2001"/>
      <c r="T52" s="2001"/>
      <c r="U52" s="2001"/>
      <c r="V52" s="2001"/>
      <c r="W52" s="2001"/>
      <c r="X52" s="2001"/>
      <c r="Y52" s="2001"/>
      <c r="Z52" s="2001"/>
      <c r="AA52" s="2001"/>
      <c r="AB52" s="2001"/>
      <c r="AC52" s="2001"/>
      <c r="AD52" s="2001"/>
      <c r="AE52" s="2001"/>
      <c r="AF52" s="2001"/>
    </row>
    <row r="53" spans="6:32" ht="16.5" customHeight="1">
      <c r="F53" s="2001"/>
      <c r="G53" s="2001"/>
      <c r="H53" s="2001"/>
      <c r="I53" s="2001"/>
      <c r="J53" s="2001"/>
      <c r="K53" s="2001"/>
      <c r="L53" s="2001"/>
      <c r="M53" s="2001"/>
      <c r="N53" s="2001"/>
      <c r="O53" s="2001"/>
      <c r="P53" s="2001"/>
      <c r="Q53" s="2001"/>
      <c r="R53" s="2001"/>
      <c r="S53" s="2001"/>
      <c r="T53" s="2001"/>
      <c r="U53" s="2001"/>
      <c r="V53" s="2001"/>
      <c r="W53" s="2001"/>
      <c r="X53" s="2001"/>
      <c r="Y53" s="2001"/>
      <c r="Z53" s="2001"/>
      <c r="AA53" s="2001"/>
      <c r="AB53" s="2001"/>
      <c r="AC53" s="2001"/>
      <c r="AD53" s="2001"/>
      <c r="AE53" s="2001"/>
      <c r="AF53" s="2001"/>
    </row>
    <row r="54" spans="6:32" ht="16.5" customHeight="1">
      <c r="F54" s="2001"/>
      <c r="G54" s="2001"/>
      <c r="H54" s="2001"/>
      <c r="I54" s="2001"/>
      <c r="J54" s="2001"/>
      <c r="K54" s="2001"/>
      <c r="L54" s="2001"/>
      <c r="M54" s="2001"/>
      <c r="N54" s="2001"/>
      <c r="O54" s="2001"/>
      <c r="P54" s="2001"/>
      <c r="Q54" s="2001"/>
      <c r="R54" s="2001"/>
      <c r="S54" s="2001"/>
      <c r="T54" s="2001"/>
      <c r="U54" s="2001"/>
      <c r="V54" s="2001"/>
      <c r="W54" s="2001"/>
      <c r="X54" s="2001"/>
      <c r="Y54" s="2001"/>
      <c r="Z54" s="2001"/>
      <c r="AA54" s="2001"/>
      <c r="AB54" s="2001"/>
      <c r="AC54" s="2001"/>
      <c r="AD54" s="2001"/>
      <c r="AE54" s="2001"/>
      <c r="AF54" s="2001"/>
    </row>
    <row r="55" spans="6:32" ht="16.5" customHeight="1">
      <c r="F55" s="2001"/>
      <c r="G55" s="2001"/>
      <c r="H55" s="2001"/>
      <c r="I55" s="2001"/>
      <c r="J55" s="2001"/>
      <c r="K55" s="2001"/>
      <c r="L55" s="2001"/>
      <c r="M55" s="2001"/>
      <c r="N55" s="2001"/>
      <c r="O55" s="2001"/>
      <c r="P55" s="2001"/>
      <c r="Q55" s="2001"/>
      <c r="R55" s="2001"/>
      <c r="S55" s="2001"/>
      <c r="T55" s="2001"/>
      <c r="U55" s="2001"/>
      <c r="V55" s="2001"/>
      <c r="W55" s="2001"/>
      <c r="X55" s="2001"/>
      <c r="Y55" s="2001"/>
      <c r="Z55" s="2001"/>
      <c r="AA55" s="2001"/>
      <c r="AB55" s="2001"/>
      <c r="AC55" s="2001"/>
      <c r="AD55" s="2001"/>
      <c r="AE55" s="2001"/>
      <c r="AF55" s="2001"/>
    </row>
    <row r="56" spans="6:32" ht="16.5" customHeight="1">
      <c r="F56" s="2001"/>
      <c r="G56" s="2001"/>
      <c r="H56" s="2001"/>
      <c r="I56" s="2001"/>
      <c r="J56" s="2001"/>
      <c r="K56" s="2001"/>
      <c r="L56" s="2001"/>
      <c r="M56" s="2001"/>
      <c r="N56" s="2001"/>
      <c r="O56" s="2001"/>
      <c r="P56" s="2001"/>
      <c r="Q56" s="2001"/>
      <c r="R56" s="2001"/>
      <c r="S56" s="2001"/>
      <c r="T56" s="2001"/>
      <c r="U56" s="2001"/>
      <c r="V56" s="2001"/>
      <c r="W56" s="2001"/>
      <c r="X56" s="2001"/>
      <c r="Y56" s="2001"/>
      <c r="Z56" s="2001"/>
      <c r="AA56" s="2001"/>
      <c r="AB56" s="2001"/>
      <c r="AC56" s="2001"/>
      <c r="AD56" s="2001"/>
      <c r="AE56" s="2001"/>
      <c r="AF56" s="2001"/>
    </row>
    <row r="57" spans="6:32" ht="16.5" customHeight="1">
      <c r="F57" s="2001"/>
      <c r="G57" s="2001"/>
      <c r="H57" s="2001"/>
      <c r="I57" s="2001"/>
      <c r="J57" s="2001"/>
      <c r="K57" s="2001"/>
      <c r="L57" s="2001"/>
      <c r="M57" s="2001"/>
      <c r="N57" s="2001"/>
      <c r="O57" s="2001"/>
      <c r="P57" s="2001"/>
      <c r="Q57" s="2001"/>
      <c r="R57" s="2001"/>
      <c r="S57" s="2001"/>
      <c r="T57" s="2001"/>
      <c r="U57" s="2001"/>
      <c r="V57" s="2001"/>
      <c r="W57" s="2001"/>
      <c r="X57" s="2001"/>
      <c r="Y57" s="2001"/>
      <c r="Z57" s="2001"/>
      <c r="AA57" s="2001"/>
      <c r="AB57" s="2001"/>
      <c r="AC57" s="2001"/>
      <c r="AD57" s="2001"/>
      <c r="AE57" s="2001"/>
      <c r="AF57" s="2001"/>
    </row>
    <row r="58" spans="6:32" ht="16.5" customHeight="1">
      <c r="F58" s="2001"/>
      <c r="G58" s="2001"/>
      <c r="H58" s="2001"/>
      <c r="I58" s="2001"/>
      <c r="J58" s="2001"/>
      <c r="K58" s="2001"/>
      <c r="L58" s="2001"/>
      <c r="M58" s="2001"/>
      <c r="N58" s="2001"/>
      <c r="O58" s="2001"/>
      <c r="P58" s="2001"/>
      <c r="Q58" s="2001"/>
      <c r="R58" s="2001"/>
      <c r="S58" s="2001"/>
      <c r="T58" s="2001"/>
      <c r="U58" s="2001"/>
      <c r="V58" s="2001"/>
      <c r="W58" s="2001"/>
      <c r="X58" s="2001"/>
      <c r="Y58" s="2001"/>
      <c r="Z58" s="2001"/>
      <c r="AA58" s="2001"/>
      <c r="AB58" s="2001"/>
      <c r="AC58" s="2001"/>
      <c r="AD58" s="2001"/>
      <c r="AE58" s="2001"/>
      <c r="AF58" s="2001"/>
    </row>
    <row r="59" spans="6:32" ht="16.5" customHeight="1">
      <c r="F59" s="2001"/>
      <c r="G59" s="2001"/>
      <c r="H59" s="2001"/>
      <c r="I59" s="2001"/>
      <c r="J59" s="2001"/>
      <c r="K59" s="2001"/>
      <c r="L59" s="2001"/>
      <c r="M59" s="2001"/>
      <c r="N59" s="2001"/>
      <c r="O59" s="2001"/>
      <c r="P59" s="2001"/>
      <c r="Q59" s="2001"/>
      <c r="R59" s="2001"/>
      <c r="S59" s="2001"/>
      <c r="T59" s="2001"/>
      <c r="U59" s="2001"/>
      <c r="V59" s="2001"/>
      <c r="W59" s="2001"/>
      <c r="X59" s="2001"/>
      <c r="Y59" s="2001"/>
      <c r="Z59" s="2001"/>
      <c r="AA59" s="2001"/>
      <c r="AB59" s="2001"/>
      <c r="AC59" s="2001"/>
      <c r="AD59" s="2001"/>
      <c r="AE59" s="2001"/>
      <c r="AF59" s="2001"/>
    </row>
    <row r="60" spans="6:32" ht="16.5" customHeight="1">
      <c r="F60" s="2001"/>
      <c r="G60" s="2001"/>
      <c r="H60" s="2001"/>
      <c r="I60" s="2001"/>
      <c r="J60" s="2001"/>
      <c r="K60" s="2001"/>
      <c r="L60" s="2001"/>
      <c r="M60" s="2001"/>
      <c r="N60" s="2001"/>
      <c r="O60" s="2001"/>
      <c r="P60" s="2001"/>
      <c r="Q60" s="2001"/>
      <c r="R60" s="2001"/>
      <c r="S60" s="2001"/>
      <c r="T60" s="2001"/>
      <c r="U60" s="2001"/>
      <c r="V60" s="2001"/>
      <c r="W60" s="2001"/>
      <c r="X60" s="2001"/>
      <c r="Y60" s="2001"/>
      <c r="Z60" s="2001"/>
      <c r="AA60" s="2001"/>
      <c r="AB60" s="2001"/>
      <c r="AC60" s="2001"/>
      <c r="AD60" s="2001"/>
      <c r="AE60" s="2001"/>
      <c r="AF60" s="2001"/>
    </row>
    <row r="61" spans="6:32" ht="16.5" customHeight="1">
      <c r="F61" s="2001"/>
      <c r="G61" s="2001"/>
      <c r="H61" s="2001"/>
      <c r="I61" s="2001"/>
      <c r="J61" s="2001"/>
      <c r="K61" s="2001"/>
      <c r="L61" s="2001"/>
      <c r="M61" s="2001"/>
      <c r="N61" s="2001"/>
      <c r="O61" s="2001"/>
      <c r="P61" s="2001"/>
      <c r="Q61" s="2001"/>
      <c r="R61" s="2001"/>
      <c r="S61" s="2001"/>
      <c r="T61" s="2001"/>
      <c r="U61" s="2001"/>
      <c r="V61" s="2001"/>
      <c r="W61" s="2001"/>
      <c r="X61" s="2001"/>
      <c r="Y61" s="2001"/>
      <c r="Z61" s="2001"/>
      <c r="AA61" s="2001"/>
      <c r="AB61" s="2001"/>
      <c r="AC61" s="2001"/>
      <c r="AD61" s="2001"/>
      <c r="AE61" s="2001"/>
      <c r="AF61" s="2001"/>
    </row>
    <row r="62" spans="6:32" ht="16.5" customHeight="1">
      <c r="F62" s="2001"/>
      <c r="G62" s="2001"/>
      <c r="H62" s="2001"/>
      <c r="I62" s="2001"/>
      <c r="J62" s="2001"/>
      <c r="K62" s="2001"/>
      <c r="L62" s="2001"/>
      <c r="M62" s="2001"/>
      <c r="N62" s="2001"/>
      <c r="O62" s="2001"/>
      <c r="P62" s="2001"/>
      <c r="Q62" s="2001"/>
      <c r="R62" s="2001"/>
      <c r="S62" s="2001"/>
      <c r="T62" s="2001"/>
      <c r="U62" s="2001"/>
      <c r="V62" s="2001"/>
      <c r="W62" s="2001"/>
      <c r="X62" s="2001"/>
      <c r="Y62" s="2001"/>
      <c r="Z62" s="2001"/>
      <c r="AA62" s="2001"/>
      <c r="AB62" s="2001"/>
      <c r="AC62" s="2001"/>
      <c r="AD62" s="2001"/>
      <c r="AE62" s="2001"/>
      <c r="AF62" s="2001"/>
    </row>
    <row r="63" spans="6:32" ht="16.5" customHeight="1">
      <c r="F63" s="2001"/>
      <c r="G63" s="2001"/>
      <c r="H63" s="2001"/>
      <c r="I63" s="2001"/>
      <c r="J63" s="2001"/>
      <c r="K63" s="2001"/>
      <c r="L63" s="2001"/>
      <c r="M63" s="2001"/>
      <c r="N63" s="2001"/>
      <c r="O63" s="2001"/>
      <c r="P63" s="2001"/>
      <c r="Q63" s="2001"/>
      <c r="R63" s="2001"/>
      <c r="S63" s="2001"/>
      <c r="T63" s="2001"/>
      <c r="U63" s="2001"/>
      <c r="V63" s="2001"/>
      <c r="W63" s="2001"/>
      <c r="X63" s="2001"/>
      <c r="Y63" s="2001"/>
      <c r="Z63" s="2001"/>
      <c r="AA63" s="2001"/>
      <c r="AB63" s="2001"/>
      <c r="AC63" s="2001"/>
      <c r="AD63" s="2001"/>
      <c r="AE63" s="2001"/>
      <c r="AF63" s="2001"/>
    </row>
    <row r="64" spans="6:32" ht="16.5" customHeight="1">
      <c r="F64" s="2001"/>
      <c r="G64" s="2001"/>
      <c r="H64" s="2001"/>
      <c r="I64" s="2001"/>
      <c r="J64" s="2001"/>
      <c r="K64" s="2001"/>
      <c r="L64" s="2001"/>
      <c r="M64" s="2001"/>
      <c r="N64" s="2001"/>
      <c r="O64" s="2001"/>
      <c r="P64" s="2001"/>
      <c r="Q64" s="2001"/>
      <c r="R64" s="2001"/>
      <c r="S64" s="2001"/>
      <c r="T64" s="2001"/>
      <c r="U64" s="2001"/>
      <c r="V64" s="2001"/>
      <c r="W64" s="2001"/>
      <c r="X64" s="2001"/>
      <c r="Y64" s="2001"/>
      <c r="Z64" s="2001"/>
      <c r="AA64" s="2001"/>
      <c r="AB64" s="2001"/>
      <c r="AC64" s="2001"/>
      <c r="AD64" s="2001"/>
      <c r="AE64" s="2001"/>
      <c r="AF64" s="2001"/>
    </row>
    <row r="65" spans="6:32" ht="16.5" customHeight="1">
      <c r="F65" s="2001"/>
      <c r="G65" s="2001"/>
      <c r="H65" s="2001"/>
      <c r="I65" s="2001"/>
      <c r="J65" s="2001"/>
      <c r="K65" s="2001"/>
      <c r="L65" s="2001"/>
      <c r="M65" s="2001"/>
      <c r="N65" s="2001"/>
      <c r="O65" s="2001"/>
      <c r="P65" s="2001"/>
      <c r="Q65" s="2001"/>
      <c r="R65" s="2001"/>
      <c r="S65" s="2001"/>
      <c r="T65" s="2001"/>
      <c r="U65" s="2001"/>
      <c r="V65" s="2001"/>
      <c r="W65" s="2001"/>
      <c r="X65" s="2001"/>
      <c r="Y65" s="2001"/>
      <c r="Z65" s="2001"/>
      <c r="AA65" s="2001"/>
      <c r="AB65" s="2001"/>
      <c r="AC65" s="2001"/>
      <c r="AD65" s="2001"/>
      <c r="AE65" s="2001"/>
      <c r="AF65" s="2001"/>
    </row>
    <row r="66" spans="6:32" ht="16.5" customHeight="1">
      <c r="F66" s="2001"/>
      <c r="G66" s="2001"/>
      <c r="H66" s="2001"/>
      <c r="I66" s="2001"/>
      <c r="J66" s="2001"/>
      <c r="K66" s="2001"/>
      <c r="L66" s="2001"/>
      <c r="M66" s="2001"/>
      <c r="N66" s="2001"/>
      <c r="O66" s="2001"/>
      <c r="P66" s="2001"/>
      <c r="Q66" s="2001"/>
      <c r="R66" s="2001"/>
      <c r="S66" s="2001"/>
      <c r="T66" s="2001"/>
      <c r="U66" s="2001"/>
      <c r="V66" s="2001"/>
      <c r="W66" s="2001"/>
      <c r="X66" s="2001"/>
      <c r="Y66" s="2001"/>
      <c r="Z66" s="2001"/>
      <c r="AA66" s="2001"/>
      <c r="AB66" s="2001"/>
      <c r="AC66" s="2001"/>
      <c r="AD66" s="2001"/>
      <c r="AE66" s="2001"/>
      <c r="AF66" s="2001"/>
    </row>
    <row r="67" spans="6:32" ht="16.5" customHeight="1">
      <c r="F67" s="2001"/>
      <c r="G67" s="2001"/>
      <c r="H67" s="2001"/>
      <c r="I67" s="2001"/>
      <c r="J67" s="2001"/>
      <c r="K67" s="2001"/>
      <c r="L67" s="2001"/>
      <c r="M67" s="2001"/>
      <c r="N67" s="2001"/>
      <c r="O67" s="2001"/>
      <c r="P67" s="2001"/>
      <c r="Q67" s="2001"/>
      <c r="R67" s="2001"/>
      <c r="S67" s="2001"/>
      <c r="T67" s="2001"/>
      <c r="U67" s="2001"/>
      <c r="V67" s="2001"/>
      <c r="W67" s="2001"/>
      <c r="X67" s="2001"/>
      <c r="Y67" s="2001"/>
      <c r="Z67" s="2001"/>
      <c r="AA67" s="2001"/>
      <c r="AB67" s="2001"/>
      <c r="AC67" s="2001"/>
      <c r="AD67" s="2001"/>
      <c r="AE67" s="2001"/>
      <c r="AF67" s="2001"/>
    </row>
    <row r="68" spans="6:32" ht="16.5" customHeight="1">
      <c r="F68" s="2001"/>
      <c r="G68" s="2001"/>
      <c r="H68" s="2001"/>
      <c r="I68" s="2001"/>
      <c r="J68" s="2001"/>
      <c r="K68" s="2001"/>
      <c r="L68" s="2001"/>
      <c r="M68" s="2001"/>
      <c r="N68" s="2001"/>
      <c r="O68" s="2001"/>
      <c r="P68" s="2001"/>
      <c r="Q68" s="2001"/>
      <c r="R68" s="2001"/>
      <c r="S68" s="2001"/>
      <c r="T68" s="2001"/>
      <c r="U68" s="2001"/>
      <c r="V68" s="2001"/>
      <c r="W68" s="2001"/>
      <c r="X68" s="2001"/>
      <c r="Y68" s="2001"/>
      <c r="Z68" s="2001"/>
      <c r="AA68" s="2001"/>
      <c r="AB68" s="2001"/>
      <c r="AC68" s="2001"/>
      <c r="AD68" s="2001"/>
      <c r="AE68" s="2001"/>
      <c r="AF68" s="2001"/>
    </row>
    <row r="69" spans="6:32" ht="16.5" customHeight="1">
      <c r="F69" s="2001"/>
      <c r="G69" s="2001"/>
      <c r="H69" s="2001"/>
      <c r="I69" s="2001"/>
      <c r="J69" s="2001"/>
      <c r="K69" s="2001"/>
      <c r="L69" s="2001"/>
      <c r="M69" s="2001"/>
      <c r="N69" s="2001"/>
      <c r="O69" s="2001"/>
      <c r="P69" s="2001"/>
      <c r="Q69" s="2001"/>
      <c r="R69" s="2001"/>
      <c r="S69" s="2001"/>
      <c r="T69" s="2001"/>
      <c r="U69" s="2001"/>
      <c r="V69" s="2001"/>
      <c r="W69" s="2001"/>
      <c r="X69" s="2001"/>
      <c r="Y69" s="2001"/>
      <c r="Z69" s="2001"/>
      <c r="AA69" s="2001"/>
      <c r="AB69" s="2001"/>
      <c r="AC69" s="2001"/>
      <c r="AD69" s="2001"/>
      <c r="AE69" s="2001"/>
      <c r="AF69" s="2001"/>
    </row>
    <row r="70" spans="6:32" ht="16.5" customHeight="1">
      <c r="F70" s="2001"/>
      <c r="G70" s="2001"/>
      <c r="H70" s="2001"/>
      <c r="I70" s="2001"/>
      <c r="J70" s="2001"/>
      <c r="K70" s="2001"/>
      <c r="L70" s="2001"/>
      <c r="M70" s="2001"/>
      <c r="N70" s="2001"/>
      <c r="O70" s="2001"/>
      <c r="P70" s="2001"/>
      <c r="Q70" s="2001"/>
      <c r="R70" s="2001"/>
      <c r="S70" s="2001"/>
      <c r="T70" s="2001"/>
      <c r="U70" s="2001"/>
      <c r="V70" s="2001"/>
      <c r="W70" s="2001"/>
      <c r="X70" s="2001"/>
      <c r="Y70" s="2001"/>
      <c r="Z70" s="2001"/>
      <c r="AA70" s="2001"/>
      <c r="AB70" s="2001"/>
      <c r="AC70" s="2001"/>
      <c r="AD70" s="2001"/>
      <c r="AE70" s="2001"/>
      <c r="AF70" s="2001"/>
    </row>
    <row r="71" spans="6:32" ht="16.5" customHeight="1">
      <c r="F71" s="2001"/>
      <c r="G71" s="2001"/>
      <c r="H71" s="2001"/>
      <c r="I71" s="2001"/>
      <c r="J71" s="2001"/>
      <c r="K71" s="2001"/>
      <c r="L71" s="2001"/>
      <c r="M71" s="2001"/>
      <c r="N71" s="2001"/>
      <c r="O71" s="2001"/>
      <c r="P71" s="2001"/>
      <c r="Q71" s="2001"/>
      <c r="R71" s="2001"/>
      <c r="S71" s="2001"/>
      <c r="T71" s="2001"/>
      <c r="U71" s="2001"/>
      <c r="V71" s="2001"/>
      <c r="W71" s="2001"/>
      <c r="X71" s="2001"/>
      <c r="Y71" s="2001"/>
      <c r="Z71" s="2001"/>
      <c r="AA71" s="2001"/>
      <c r="AB71" s="2001"/>
      <c r="AC71" s="2001"/>
      <c r="AD71" s="2001"/>
      <c r="AE71" s="2001"/>
      <c r="AF71" s="2001"/>
    </row>
    <row r="72" spans="6:32" ht="16.5" customHeight="1">
      <c r="F72" s="2001"/>
      <c r="G72" s="2001"/>
      <c r="H72" s="2001"/>
      <c r="I72" s="2001"/>
      <c r="J72" s="2001"/>
      <c r="K72" s="2001"/>
      <c r="L72" s="2001"/>
      <c r="M72" s="2001"/>
      <c r="N72" s="2001"/>
      <c r="O72" s="2001"/>
      <c r="P72" s="2001"/>
      <c r="Q72" s="2001"/>
      <c r="R72" s="2001"/>
      <c r="S72" s="2001"/>
      <c r="T72" s="2001"/>
      <c r="U72" s="2001"/>
      <c r="V72" s="2001"/>
      <c r="W72" s="2001"/>
      <c r="X72" s="2001"/>
      <c r="Y72" s="2001"/>
      <c r="Z72" s="2001"/>
      <c r="AA72" s="2001"/>
      <c r="AB72" s="2001"/>
      <c r="AC72" s="2001"/>
      <c r="AD72" s="2001"/>
      <c r="AE72" s="2001"/>
      <c r="AF72" s="2001"/>
    </row>
    <row r="73" spans="6:32" ht="16.5" customHeight="1">
      <c r="F73" s="2001"/>
      <c r="G73" s="2001"/>
      <c r="H73" s="2001"/>
      <c r="I73" s="2001"/>
      <c r="J73" s="2001"/>
      <c r="K73" s="2001"/>
      <c r="L73" s="2001"/>
      <c r="M73" s="2001"/>
      <c r="N73" s="2001"/>
      <c r="O73" s="2001"/>
      <c r="P73" s="2001"/>
      <c r="Q73" s="2001"/>
      <c r="R73" s="2001"/>
      <c r="S73" s="2001"/>
      <c r="T73" s="2001"/>
      <c r="U73" s="2001"/>
      <c r="V73" s="2001"/>
      <c r="W73" s="2001"/>
      <c r="X73" s="2001"/>
      <c r="Y73" s="2001"/>
      <c r="Z73" s="2001"/>
      <c r="AA73" s="2001"/>
      <c r="AB73" s="2001"/>
      <c r="AC73" s="2001"/>
      <c r="AD73" s="2001"/>
      <c r="AE73" s="2001"/>
      <c r="AF73" s="2001"/>
    </row>
    <row r="74" spans="6:32" ht="16.5" customHeight="1">
      <c r="F74" s="2001"/>
      <c r="G74" s="2001"/>
      <c r="H74" s="2001"/>
      <c r="I74" s="2001"/>
      <c r="J74" s="2001"/>
      <c r="K74" s="2001"/>
      <c r="L74" s="2001"/>
      <c r="M74" s="2001"/>
      <c r="N74" s="2001"/>
      <c r="O74" s="2001"/>
      <c r="P74" s="2001"/>
      <c r="Q74" s="2001"/>
      <c r="R74" s="2001"/>
      <c r="S74" s="2001"/>
      <c r="T74" s="2001"/>
      <c r="U74" s="2001"/>
      <c r="V74" s="2001"/>
      <c r="W74" s="2001"/>
      <c r="X74" s="2001"/>
      <c r="Y74" s="2001"/>
      <c r="Z74" s="2001"/>
      <c r="AA74" s="2001"/>
      <c r="AB74" s="2001"/>
      <c r="AC74" s="2001"/>
      <c r="AD74" s="2001"/>
      <c r="AE74" s="2001"/>
      <c r="AF74" s="2001"/>
    </row>
    <row r="75" spans="6:32" ht="16.5" customHeight="1">
      <c r="F75" s="2001"/>
      <c r="G75" s="2001"/>
      <c r="H75" s="2001"/>
      <c r="I75" s="2001"/>
      <c r="J75" s="2001"/>
      <c r="K75" s="2001"/>
      <c r="L75" s="2001"/>
      <c r="M75" s="2001"/>
      <c r="N75" s="2001"/>
      <c r="O75" s="2001"/>
      <c r="P75" s="2001"/>
      <c r="Q75" s="2001"/>
      <c r="R75" s="2001"/>
      <c r="S75" s="2001"/>
      <c r="T75" s="2001"/>
      <c r="U75" s="2001"/>
      <c r="V75" s="2001"/>
      <c r="W75" s="2001"/>
      <c r="X75" s="2001"/>
      <c r="Y75" s="2001"/>
      <c r="Z75" s="2001"/>
      <c r="AA75" s="2001"/>
      <c r="AB75" s="2001"/>
      <c r="AC75" s="2001"/>
      <c r="AD75" s="2001"/>
      <c r="AE75" s="2001"/>
      <c r="AF75" s="2001"/>
    </row>
    <row r="76" spans="6:32" ht="16.5" customHeight="1">
      <c r="F76" s="2001"/>
      <c r="G76" s="2001"/>
      <c r="H76" s="2001"/>
      <c r="I76" s="2001"/>
      <c r="J76" s="2001"/>
      <c r="K76" s="2001"/>
      <c r="L76" s="2001"/>
      <c r="M76" s="2001"/>
      <c r="N76" s="2001"/>
      <c r="O76" s="2001"/>
      <c r="P76" s="2001"/>
      <c r="Q76" s="2001"/>
      <c r="R76" s="2001"/>
      <c r="S76" s="2001"/>
      <c r="T76" s="2001"/>
      <c r="U76" s="2001"/>
      <c r="V76" s="2001"/>
      <c r="W76" s="2001"/>
      <c r="X76" s="2001"/>
      <c r="Y76" s="2001"/>
      <c r="Z76" s="2001"/>
      <c r="AA76" s="2001"/>
      <c r="AB76" s="2001"/>
      <c r="AC76" s="2001"/>
      <c r="AD76" s="2001"/>
      <c r="AE76" s="2001"/>
      <c r="AF76" s="2001"/>
    </row>
    <row r="77" spans="6:32" ht="16.5" customHeight="1">
      <c r="F77" s="2001"/>
      <c r="G77" s="2001"/>
      <c r="H77" s="2001"/>
      <c r="I77" s="2001"/>
      <c r="J77" s="2001"/>
      <c r="K77" s="2001"/>
      <c r="L77" s="2001"/>
      <c r="M77" s="2001"/>
      <c r="N77" s="2001"/>
      <c r="O77" s="2001"/>
      <c r="P77" s="2001"/>
      <c r="Q77" s="2001"/>
      <c r="R77" s="2001"/>
      <c r="S77" s="2001"/>
      <c r="T77" s="2001"/>
      <c r="U77" s="2001"/>
      <c r="V77" s="2001"/>
      <c r="W77" s="2001"/>
      <c r="X77" s="2001"/>
      <c r="Y77" s="2001"/>
      <c r="Z77" s="2001"/>
      <c r="AA77" s="2001"/>
      <c r="AB77" s="2001"/>
      <c r="AC77" s="2001"/>
      <c r="AD77" s="2001"/>
      <c r="AE77" s="2001"/>
      <c r="AF77" s="2001"/>
    </row>
    <row r="78" spans="6:32" ht="16.5" customHeight="1">
      <c r="F78" s="2001"/>
      <c r="G78" s="2001"/>
      <c r="H78" s="2001"/>
      <c r="I78" s="2001"/>
      <c r="J78" s="2001"/>
      <c r="K78" s="2001"/>
      <c r="L78" s="2001"/>
      <c r="M78" s="2001"/>
      <c r="N78" s="2001"/>
      <c r="O78" s="2001"/>
      <c r="P78" s="2001"/>
      <c r="Q78" s="2001"/>
      <c r="R78" s="2001"/>
      <c r="S78" s="2001"/>
      <c r="T78" s="2001"/>
      <c r="U78" s="2001"/>
      <c r="V78" s="2001"/>
      <c r="W78" s="2001"/>
      <c r="X78" s="2001"/>
      <c r="Y78" s="2001"/>
      <c r="Z78" s="2001"/>
      <c r="AA78" s="2001"/>
      <c r="AB78" s="2001"/>
      <c r="AC78" s="2001"/>
      <c r="AD78" s="2001"/>
      <c r="AE78" s="2001"/>
      <c r="AF78" s="2001"/>
    </row>
    <row r="79" spans="6:32" ht="16.5" customHeight="1">
      <c r="F79" s="2001"/>
      <c r="G79" s="2001"/>
      <c r="H79" s="2001"/>
      <c r="I79" s="2001"/>
      <c r="J79" s="2001"/>
      <c r="K79" s="2001"/>
      <c r="L79" s="2001"/>
      <c r="M79" s="2001"/>
      <c r="N79" s="2001"/>
      <c r="O79" s="2001"/>
      <c r="P79" s="2001"/>
      <c r="Q79" s="2001"/>
      <c r="R79" s="2001"/>
      <c r="S79" s="2001"/>
      <c r="T79" s="2001"/>
      <c r="U79" s="2001"/>
      <c r="V79" s="2001"/>
      <c r="W79" s="2001"/>
      <c r="X79" s="2001"/>
      <c r="Y79" s="2001"/>
      <c r="Z79" s="2001"/>
      <c r="AA79" s="2001"/>
      <c r="AB79" s="2001"/>
      <c r="AC79" s="2001"/>
      <c r="AD79" s="2001"/>
      <c r="AE79" s="2001"/>
      <c r="AF79" s="2001"/>
    </row>
    <row r="80" spans="6:32" ht="16.5" customHeight="1">
      <c r="F80" s="2001"/>
      <c r="G80" s="2001"/>
      <c r="H80" s="2001"/>
      <c r="I80" s="2001"/>
      <c r="J80" s="2001"/>
      <c r="K80" s="2001"/>
      <c r="L80" s="2001"/>
      <c r="M80" s="2001"/>
      <c r="N80" s="2001"/>
      <c r="O80" s="2001"/>
      <c r="P80" s="2001"/>
      <c r="Q80" s="2001"/>
      <c r="R80" s="2001"/>
      <c r="S80" s="2001"/>
      <c r="T80" s="2001"/>
      <c r="U80" s="2001"/>
      <c r="V80" s="2001"/>
      <c r="W80" s="2001"/>
      <c r="X80" s="2001"/>
      <c r="Y80" s="2001"/>
      <c r="Z80" s="2001"/>
      <c r="AA80" s="2001"/>
      <c r="AB80" s="2001"/>
      <c r="AC80" s="2001"/>
      <c r="AD80" s="2001"/>
      <c r="AE80" s="2001"/>
      <c r="AF80" s="2001"/>
    </row>
    <row r="81" spans="6:32" ht="16.5" customHeight="1">
      <c r="F81" s="2001"/>
      <c r="G81" s="2001"/>
      <c r="H81" s="2001"/>
      <c r="I81" s="2001"/>
      <c r="J81" s="2001"/>
      <c r="K81" s="2001"/>
      <c r="L81" s="2001"/>
      <c r="M81" s="2001"/>
      <c r="N81" s="2001"/>
      <c r="O81" s="2001"/>
      <c r="P81" s="2001"/>
      <c r="Q81" s="2001"/>
      <c r="R81" s="2001"/>
      <c r="S81" s="2001"/>
      <c r="T81" s="2001"/>
      <c r="U81" s="2001"/>
      <c r="V81" s="2001"/>
      <c r="W81" s="2001"/>
      <c r="X81" s="2001"/>
      <c r="Y81" s="2001"/>
      <c r="Z81" s="2001"/>
      <c r="AA81" s="2001"/>
      <c r="AB81" s="2001"/>
      <c r="AC81" s="2001"/>
      <c r="AD81" s="2001"/>
      <c r="AE81" s="2001"/>
      <c r="AF81" s="2001"/>
    </row>
    <row r="82" spans="6:32" ht="16.5" customHeight="1">
      <c r="F82" s="2001"/>
      <c r="G82" s="2001"/>
      <c r="H82" s="2001"/>
      <c r="I82" s="2001"/>
      <c r="J82" s="2001"/>
      <c r="K82" s="2001"/>
      <c r="L82" s="2001"/>
      <c r="M82" s="2001"/>
      <c r="N82" s="2001"/>
      <c r="O82" s="2001"/>
      <c r="P82" s="2001"/>
      <c r="Q82" s="2001"/>
      <c r="R82" s="2001"/>
      <c r="S82" s="2001"/>
      <c r="T82" s="2001"/>
      <c r="U82" s="2001"/>
      <c r="V82" s="2001"/>
      <c r="W82" s="2001"/>
      <c r="X82" s="2001"/>
      <c r="Y82" s="2001"/>
      <c r="Z82" s="2001"/>
      <c r="AA82" s="2001"/>
      <c r="AB82" s="2001"/>
      <c r="AC82" s="2001"/>
      <c r="AD82" s="2001"/>
      <c r="AE82" s="2001"/>
      <c r="AF82" s="2001"/>
    </row>
    <row r="83" spans="6:32" ht="16.5" customHeight="1">
      <c r="F83" s="2001"/>
      <c r="G83" s="2001"/>
      <c r="H83" s="2001"/>
      <c r="I83" s="2001"/>
      <c r="J83" s="2001"/>
      <c r="K83" s="2001"/>
      <c r="L83" s="2001"/>
      <c r="M83" s="2001"/>
      <c r="N83" s="2001"/>
      <c r="O83" s="2001"/>
      <c r="P83" s="2001"/>
      <c r="Q83" s="2001"/>
      <c r="R83" s="2001"/>
      <c r="S83" s="2001"/>
      <c r="T83" s="2001"/>
      <c r="U83" s="2001"/>
      <c r="V83" s="2001"/>
      <c r="W83" s="2001"/>
      <c r="X83" s="2001"/>
      <c r="Y83" s="2001"/>
      <c r="Z83" s="2001"/>
      <c r="AA83" s="2001"/>
      <c r="AB83" s="2001"/>
      <c r="AC83" s="2001"/>
      <c r="AD83" s="2001"/>
      <c r="AE83" s="2001"/>
      <c r="AF83" s="2001"/>
    </row>
    <row r="84" spans="6:32" ht="16.5" customHeight="1">
      <c r="F84" s="2001"/>
      <c r="G84" s="2001"/>
      <c r="H84" s="2001"/>
      <c r="I84" s="2001"/>
      <c r="J84" s="2001"/>
      <c r="K84" s="2001"/>
      <c r="L84" s="2001"/>
      <c r="M84" s="2001"/>
      <c r="N84" s="2001"/>
      <c r="O84" s="2001"/>
      <c r="P84" s="2001"/>
      <c r="Q84" s="2001"/>
      <c r="R84" s="2001"/>
      <c r="S84" s="2001"/>
      <c r="T84" s="2001"/>
      <c r="U84" s="2001"/>
      <c r="V84" s="2001"/>
      <c r="W84" s="2001"/>
      <c r="X84" s="2001"/>
      <c r="Y84" s="2001"/>
      <c r="Z84" s="2001"/>
      <c r="AA84" s="2001"/>
      <c r="AB84" s="2001"/>
      <c r="AC84" s="2001"/>
      <c r="AD84" s="2001"/>
      <c r="AE84" s="2001"/>
      <c r="AF84" s="2001"/>
    </row>
    <row r="85" spans="6:32" ht="16.5" customHeight="1">
      <c r="F85" s="2001"/>
      <c r="G85" s="2001"/>
      <c r="H85" s="2001"/>
      <c r="I85" s="2001"/>
      <c r="J85" s="2001"/>
      <c r="K85" s="2001"/>
      <c r="L85" s="2001"/>
      <c r="M85" s="2001"/>
      <c r="N85" s="2001"/>
      <c r="O85" s="2001"/>
      <c r="P85" s="2001"/>
      <c r="Q85" s="2001"/>
      <c r="R85" s="2001"/>
      <c r="S85" s="2001"/>
      <c r="T85" s="2001"/>
      <c r="U85" s="2001"/>
      <c r="V85" s="2001"/>
      <c r="W85" s="2001"/>
      <c r="X85" s="2001"/>
      <c r="Y85" s="2001"/>
      <c r="Z85" s="2001"/>
      <c r="AA85" s="2001"/>
      <c r="AB85" s="2001"/>
      <c r="AC85" s="2001"/>
      <c r="AD85" s="2001"/>
      <c r="AE85" s="2001"/>
      <c r="AF85" s="2001"/>
    </row>
    <row r="86" spans="6:32" ht="16.5" customHeight="1">
      <c r="F86" s="2001"/>
      <c r="G86" s="2001"/>
      <c r="H86" s="2001"/>
      <c r="I86" s="2001"/>
      <c r="J86" s="2001"/>
      <c r="K86" s="2001"/>
      <c r="L86" s="2001"/>
      <c r="M86" s="2001"/>
      <c r="N86" s="2001"/>
      <c r="O86" s="2001"/>
      <c r="P86" s="2001"/>
      <c r="Q86" s="2001"/>
      <c r="R86" s="2001"/>
      <c r="S86" s="2001"/>
      <c r="T86" s="2001"/>
      <c r="U86" s="2001"/>
      <c r="V86" s="2001"/>
      <c r="W86" s="2001"/>
      <c r="X86" s="2001"/>
      <c r="Y86" s="2001"/>
      <c r="Z86" s="2001"/>
      <c r="AA86" s="2001"/>
      <c r="AB86" s="2001"/>
      <c r="AC86" s="2001"/>
      <c r="AD86" s="2001"/>
      <c r="AE86" s="2001"/>
      <c r="AF86" s="2001"/>
    </row>
    <row r="87" spans="6:32" ht="16.5" customHeight="1">
      <c r="F87" s="2001"/>
      <c r="G87" s="2001"/>
      <c r="H87" s="2001"/>
      <c r="I87" s="2001"/>
      <c r="J87" s="2001"/>
      <c r="K87" s="2001"/>
      <c r="L87" s="2001"/>
      <c r="M87" s="2001"/>
      <c r="N87" s="2001"/>
      <c r="O87" s="2001"/>
      <c r="P87" s="2001"/>
      <c r="Q87" s="2001"/>
      <c r="R87" s="2001"/>
      <c r="S87" s="2001"/>
      <c r="T87" s="2001"/>
      <c r="U87" s="2001"/>
      <c r="V87" s="2001"/>
      <c r="W87" s="2001"/>
      <c r="X87" s="2001"/>
      <c r="Y87" s="2001"/>
      <c r="Z87" s="2001"/>
      <c r="AA87" s="2001"/>
      <c r="AB87" s="2001"/>
      <c r="AC87" s="2001"/>
      <c r="AD87" s="2001"/>
      <c r="AE87" s="2001"/>
      <c r="AF87" s="2001"/>
    </row>
    <row r="88" spans="6:32" ht="16.5" customHeight="1">
      <c r="F88" s="2001"/>
      <c r="G88" s="2001"/>
      <c r="H88" s="2001"/>
      <c r="I88" s="2001"/>
      <c r="J88" s="2001"/>
      <c r="K88" s="2001"/>
      <c r="L88" s="2001"/>
      <c r="M88" s="2001"/>
      <c r="N88" s="2001"/>
      <c r="O88" s="2001"/>
      <c r="P88" s="2001"/>
      <c r="Q88" s="2001"/>
      <c r="R88" s="2001"/>
      <c r="S88" s="2001"/>
      <c r="T88" s="2001"/>
      <c r="U88" s="2001"/>
      <c r="V88" s="2001"/>
      <c r="W88" s="2001"/>
      <c r="X88" s="2001"/>
      <c r="Y88" s="2001"/>
      <c r="Z88" s="2001"/>
      <c r="AA88" s="2001"/>
      <c r="AB88" s="2001"/>
      <c r="AC88" s="2001"/>
      <c r="AD88" s="2001"/>
      <c r="AE88" s="2001"/>
      <c r="AF88" s="2001"/>
    </row>
    <row r="89" spans="6:32" ht="16.5" customHeight="1">
      <c r="F89" s="2001"/>
      <c r="G89" s="2001"/>
      <c r="H89" s="2001"/>
      <c r="I89" s="2001"/>
      <c r="J89" s="2001"/>
      <c r="K89" s="2001"/>
      <c r="L89" s="2001"/>
      <c r="M89" s="2001"/>
      <c r="N89" s="2001"/>
      <c r="O89" s="2001"/>
      <c r="P89" s="2001"/>
      <c r="Q89" s="2001"/>
      <c r="R89" s="2001"/>
      <c r="S89" s="2001"/>
      <c r="T89" s="2001"/>
      <c r="U89" s="2001"/>
      <c r="V89" s="2001"/>
      <c r="W89" s="2001"/>
      <c r="X89" s="2001"/>
      <c r="Y89" s="2001"/>
      <c r="Z89" s="2001"/>
      <c r="AA89" s="2001"/>
      <c r="AB89" s="2001"/>
      <c r="AC89" s="2001"/>
      <c r="AD89" s="2001"/>
      <c r="AE89" s="2001"/>
      <c r="AF89" s="2001"/>
    </row>
    <row r="90" spans="6:32" ht="16.5" customHeight="1">
      <c r="F90" s="2001"/>
      <c r="G90" s="2001"/>
      <c r="H90" s="2001"/>
      <c r="I90" s="2001"/>
      <c r="J90" s="2001"/>
      <c r="K90" s="2001"/>
      <c r="L90" s="2001"/>
      <c r="M90" s="2001"/>
      <c r="N90" s="2001"/>
      <c r="O90" s="2001"/>
      <c r="P90" s="2001"/>
      <c r="Q90" s="2001"/>
      <c r="R90" s="2001"/>
      <c r="S90" s="2001"/>
      <c r="T90" s="2001"/>
      <c r="U90" s="2001"/>
      <c r="V90" s="2001"/>
      <c r="W90" s="2001"/>
      <c r="X90" s="2001"/>
      <c r="Y90" s="2001"/>
      <c r="Z90" s="2001"/>
      <c r="AA90" s="2001"/>
      <c r="AB90" s="2001"/>
      <c r="AC90" s="2001"/>
      <c r="AD90" s="2001"/>
      <c r="AE90" s="2001"/>
      <c r="AF90" s="2001"/>
    </row>
    <row r="91" spans="6:32" ht="16.5" customHeight="1">
      <c r="F91" s="2001"/>
      <c r="G91" s="2001"/>
      <c r="H91" s="2001"/>
      <c r="I91" s="2001"/>
      <c r="J91" s="2001"/>
      <c r="K91" s="2001"/>
      <c r="L91" s="2001"/>
      <c r="M91" s="2001"/>
      <c r="N91" s="2001"/>
      <c r="O91" s="2001"/>
      <c r="P91" s="2001"/>
      <c r="Q91" s="2001"/>
      <c r="R91" s="2001"/>
      <c r="S91" s="2001"/>
      <c r="T91" s="2001"/>
      <c r="U91" s="2001"/>
      <c r="V91" s="2001"/>
      <c r="W91" s="2001"/>
      <c r="X91" s="2001"/>
      <c r="Y91" s="2001"/>
      <c r="Z91" s="2001"/>
      <c r="AA91" s="2001"/>
      <c r="AB91" s="2001"/>
      <c r="AC91" s="2001"/>
      <c r="AD91" s="2001"/>
      <c r="AE91" s="2001"/>
      <c r="AF91" s="2001"/>
    </row>
    <row r="92" spans="6:32" ht="16.5" customHeight="1">
      <c r="F92" s="2001"/>
      <c r="G92" s="2001"/>
      <c r="H92" s="2001"/>
      <c r="I92" s="2001"/>
      <c r="J92" s="2001"/>
      <c r="K92" s="2001"/>
      <c r="L92" s="2001"/>
      <c r="M92" s="2001"/>
      <c r="N92" s="2001"/>
      <c r="O92" s="2001"/>
      <c r="P92" s="2001"/>
      <c r="Q92" s="2001"/>
      <c r="R92" s="2001"/>
      <c r="S92" s="2001"/>
      <c r="T92" s="2001"/>
      <c r="U92" s="2001"/>
      <c r="V92" s="2001"/>
      <c r="W92" s="2001"/>
      <c r="X92" s="2001"/>
      <c r="Y92" s="2001"/>
      <c r="Z92" s="2001"/>
      <c r="AA92" s="2001"/>
      <c r="AB92" s="2001"/>
      <c r="AC92" s="2001"/>
      <c r="AD92" s="2001"/>
      <c r="AE92" s="2001"/>
      <c r="AF92" s="2001"/>
    </row>
    <row r="93" spans="6:32" ht="16.5" customHeight="1">
      <c r="F93" s="2001"/>
      <c r="G93" s="2001"/>
      <c r="H93" s="2001"/>
      <c r="I93" s="2001"/>
      <c r="J93" s="2001"/>
      <c r="K93" s="2001"/>
      <c r="L93" s="2001"/>
      <c r="M93" s="2001"/>
      <c r="N93" s="2001"/>
      <c r="O93" s="2001"/>
      <c r="P93" s="2001"/>
      <c r="Q93" s="2001"/>
      <c r="R93" s="2001"/>
      <c r="S93" s="2001"/>
      <c r="T93" s="2001"/>
      <c r="U93" s="2001"/>
      <c r="V93" s="2001"/>
      <c r="W93" s="2001"/>
      <c r="X93" s="2001"/>
      <c r="Y93" s="2001"/>
      <c r="Z93" s="2001"/>
      <c r="AA93" s="2001"/>
      <c r="AB93" s="2001"/>
      <c r="AC93" s="2001"/>
      <c r="AD93" s="2001"/>
      <c r="AE93" s="2001"/>
      <c r="AF93" s="2001"/>
    </row>
    <row r="94" spans="6:32" ht="16.5" customHeight="1">
      <c r="F94" s="2001"/>
      <c r="G94" s="2001"/>
      <c r="H94" s="2001"/>
      <c r="I94" s="2001"/>
      <c r="J94" s="2001"/>
      <c r="K94" s="2001"/>
      <c r="L94" s="2001"/>
      <c r="M94" s="2001"/>
      <c r="N94" s="2001"/>
      <c r="O94" s="2001"/>
      <c r="P94" s="2001"/>
      <c r="Q94" s="2001"/>
      <c r="R94" s="2001"/>
      <c r="S94" s="2001"/>
      <c r="T94" s="2001"/>
      <c r="U94" s="2001"/>
      <c r="V94" s="2001"/>
      <c r="W94" s="2001"/>
      <c r="X94" s="2001"/>
      <c r="Y94" s="2001"/>
      <c r="Z94" s="2001"/>
      <c r="AA94" s="2001"/>
      <c r="AB94" s="2001"/>
      <c r="AC94" s="2001"/>
      <c r="AD94" s="2001"/>
      <c r="AE94" s="2001"/>
      <c r="AF94" s="2001"/>
    </row>
    <row r="95" spans="6:32" ht="16.5" customHeight="1">
      <c r="F95" s="2001"/>
      <c r="G95" s="2001"/>
      <c r="H95" s="2001"/>
      <c r="I95" s="2001"/>
      <c r="J95" s="2001"/>
      <c r="K95" s="2001"/>
      <c r="L95" s="2001"/>
      <c r="M95" s="2001"/>
      <c r="N95" s="2001"/>
      <c r="O95" s="2001"/>
      <c r="P95" s="2001"/>
      <c r="Q95" s="2001"/>
      <c r="R95" s="2001"/>
      <c r="S95" s="2001"/>
      <c r="T95" s="2001"/>
      <c r="U95" s="2001"/>
      <c r="V95" s="2001"/>
      <c r="W95" s="2001"/>
      <c r="X95" s="2001"/>
      <c r="Y95" s="2001"/>
      <c r="Z95" s="2001"/>
      <c r="AA95" s="2001"/>
      <c r="AB95" s="2001"/>
      <c r="AC95" s="2001"/>
      <c r="AD95" s="2001"/>
      <c r="AE95" s="2001"/>
      <c r="AF95" s="2001"/>
    </row>
    <row r="96" spans="6:32" ht="16.5" customHeight="1">
      <c r="F96" s="2001"/>
      <c r="G96" s="2001"/>
      <c r="H96" s="2001"/>
      <c r="I96" s="2001"/>
      <c r="J96" s="2001"/>
      <c r="K96" s="2001"/>
      <c r="L96" s="2001"/>
      <c r="M96" s="2001"/>
      <c r="N96" s="2001"/>
      <c r="O96" s="2001"/>
      <c r="P96" s="2001"/>
      <c r="Q96" s="2001"/>
      <c r="R96" s="2001"/>
      <c r="S96" s="2001"/>
      <c r="T96" s="2001"/>
      <c r="U96" s="2001"/>
      <c r="V96" s="2001"/>
      <c r="W96" s="2001"/>
      <c r="X96" s="2001"/>
      <c r="Y96" s="2001"/>
      <c r="Z96" s="2001"/>
      <c r="AA96" s="2001"/>
      <c r="AB96" s="2001"/>
      <c r="AC96" s="2001"/>
      <c r="AD96" s="2001"/>
      <c r="AE96" s="2001"/>
      <c r="AF96" s="2001"/>
    </row>
    <row r="97" spans="6:32" ht="16.5" customHeight="1">
      <c r="F97" s="2001"/>
      <c r="G97" s="2001"/>
      <c r="H97" s="2001"/>
      <c r="I97" s="2001"/>
      <c r="J97" s="2001"/>
      <c r="K97" s="2001"/>
      <c r="L97" s="2001"/>
      <c r="M97" s="2001"/>
      <c r="N97" s="2001"/>
      <c r="O97" s="2001"/>
      <c r="P97" s="2001"/>
      <c r="Q97" s="2001"/>
      <c r="R97" s="2001"/>
      <c r="S97" s="2001"/>
      <c r="T97" s="2001"/>
      <c r="U97" s="2001"/>
      <c r="V97" s="2001"/>
      <c r="W97" s="2001"/>
      <c r="X97" s="2001"/>
      <c r="Y97" s="2001"/>
      <c r="Z97" s="2001"/>
      <c r="AA97" s="2001"/>
      <c r="AB97" s="2001"/>
      <c r="AC97" s="2001"/>
      <c r="AD97" s="2001"/>
      <c r="AE97" s="2001"/>
      <c r="AF97" s="2001"/>
    </row>
    <row r="98" spans="6:32" ht="16.5" customHeight="1">
      <c r="F98" s="2001"/>
      <c r="G98" s="2001"/>
      <c r="H98" s="2001"/>
      <c r="I98" s="2001"/>
      <c r="J98" s="2001"/>
      <c r="K98" s="2001"/>
      <c r="L98" s="2001"/>
      <c r="M98" s="2001"/>
      <c r="N98" s="2001"/>
      <c r="O98" s="2001"/>
      <c r="P98" s="2001"/>
      <c r="Q98" s="2001"/>
      <c r="R98" s="2001"/>
      <c r="S98" s="2001"/>
      <c r="T98" s="2001"/>
      <c r="U98" s="2001"/>
      <c r="V98" s="2001"/>
      <c r="W98" s="2001"/>
      <c r="X98" s="2001"/>
      <c r="Y98" s="2001"/>
      <c r="Z98" s="2001"/>
      <c r="AA98" s="2001"/>
      <c r="AB98" s="2001"/>
      <c r="AC98" s="2001"/>
      <c r="AD98" s="2001"/>
      <c r="AE98" s="2001"/>
      <c r="AF98" s="2001"/>
    </row>
    <row r="99" spans="6:32" ht="16.5" customHeight="1">
      <c r="F99" s="2001"/>
      <c r="G99" s="2001"/>
      <c r="H99" s="2001"/>
      <c r="I99" s="2001"/>
      <c r="J99" s="2001"/>
      <c r="K99" s="2001"/>
      <c r="L99" s="2001"/>
      <c r="M99" s="2001"/>
      <c r="N99" s="2001"/>
      <c r="O99" s="2001"/>
      <c r="P99" s="2001"/>
      <c r="Q99" s="2001"/>
      <c r="R99" s="2001"/>
      <c r="S99" s="2001"/>
      <c r="T99" s="2001"/>
      <c r="U99" s="2001"/>
      <c r="V99" s="2001"/>
      <c r="W99" s="2001"/>
      <c r="X99" s="2001"/>
      <c r="Y99" s="2001"/>
      <c r="Z99" s="2001"/>
      <c r="AA99" s="2001"/>
      <c r="AB99" s="2001"/>
      <c r="AC99" s="2001"/>
      <c r="AD99" s="2001"/>
      <c r="AE99" s="2001"/>
      <c r="AF99" s="2001"/>
    </row>
    <row r="100" spans="6:32" ht="16.5" customHeight="1">
      <c r="F100" s="2001"/>
      <c r="G100" s="2001"/>
      <c r="H100" s="2001"/>
      <c r="I100" s="2001"/>
      <c r="J100" s="2001"/>
      <c r="K100" s="2001"/>
      <c r="L100" s="2001"/>
      <c r="M100" s="2001"/>
      <c r="N100" s="2001"/>
      <c r="O100" s="2001"/>
      <c r="P100" s="2001"/>
      <c r="Q100" s="2001"/>
      <c r="R100" s="2001"/>
      <c r="S100" s="2001"/>
      <c r="T100" s="2001"/>
      <c r="U100" s="2001"/>
      <c r="V100" s="2001"/>
      <c r="W100" s="2001"/>
      <c r="X100" s="2001"/>
      <c r="Y100" s="2001"/>
      <c r="Z100" s="2001"/>
      <c r="AA100" s="2001"/>
      <c r="AB100" s="2001"/>
      <c r="AC100" s="2001"/>
      <c r="AD100" s="2001"/>
      <c r="AE100" s="2001"/>
      <c r="AF100" s="2001"/>
    </row>
    <row r="101" spans="6:32" ht="16.5" customHeight="1">
      <c r="F101" s="2001"/>
      <c r="G101" s="2001"/>
      <c r="H101" s="2001"/>
      <c r="I101" s="2001"/>
      <c r="J101" s="2001"/>
      <c r="K101" s="2001"/>
      <c r="L101" s="2001"/>
      <c r="M101" s="2001"/>
      <c r="N101" s="2001"/>
      <c r="O101" s="2001"/>
      <c r="P101" s="2001"/>
      <c r="Q101" s="2001"/>
      <c r="R101" s="2001"/>
      <c r="S101" s="2001"/>
      <c r="T101" s="2001"/>
      <c r="U101" s="2001"/>
      <c r="V101" s="2001"/>
      <c r="W101" s="2001"/>
      <c r="X101" s="2001"/>
      <c r="Y101" s="2001"/>
      <c r="Z101" s="2001"/>
      <c r="AA101" s="2001"/>
      <c r="AB101" s="2001"/>
      <c r="AC101" s="2001"/>
      <c r="AD101" s="2001"/>
      <c r="AE101" s="2001"/>
      <c r="AF101" s="2001"/>
    </row>
    <row r="102" spans="6:32" ht="16.5" customHeight="1">
      <c r="F102" s="2001"/>
      <c r="G102" s="2001"/>
      <c r="H102" s="2001"/>
      <c r="I102" s="2001"/>
      <c r="J102" s="2001"/>
      <c r="K102" s="2001"/>
      <c r="L102" s="2001"/>
      <c r="M102" s="2001"/>
      <c r="N102" s="2001"/>
      <c r="O102" s="2001"/>
      <c r="P102" s="2001"/>
      <c r="Q102" s="2001"/>
      <c r="R102" s="2001"/>
      <c r="S102" s="2001"/>
      <c r="T102" s="2001"/>
      <c r="U102" s="2001"/>
      <c r="V102" s="2001"/>
      <c r="W102" s="2001"/>
      <c r="X102" s="2001"/>
      <c r="Y102" s="2001"/>
      <c r="Z102" s="2001"/>
      <c r="AA102" s="2001"/>
      <c r="AB102" s="2001"/>
      <c r="AC102" s="2001"/>
      <c r="AD102" s="2001"/>
      <c r="AE102" s="2001"/>
      <c r="AF102" s="2001"/>
    </row>
    <row r="103" spans="6:32" ht="16.5" customHeight="1">
      <c r="F103" s="2001"/>
      <c r="G103" s="2001"/>
      <c r="H103" s="2001"/>
      <c r="I103" s="2001"/>
      <c r="J103" s="2001"/>
      <c r="K103" s="2001"/>
      <c r="L103" s="2001"/>
      <c r="M103" s="2001"/>
      <c r="N103" s="2001"/>
      <c r="O103" s="2001"/>
      <c r="P103" s="2001"/>
      <c r="Q103" s="2001"/>
      <c r="R103" s="2001"/>
      <c r="S103" s="2001"/>
      <c r="T103" s="2001"/>
      <c r="U103" s="2001"/>
      <c r="V103" s="2001"/>
      <c r="W103" s="2001"/>
      <c r="X103" s="2001"/>
      <c r="Y103" s="2001"/>
      <c r="Z103" s="2001"/>
      <c r="AA103" s="2001"/>
      <c r="AB103" s="2001"/>
      <c r="AC103" s="2001"/>
      <c r="AD103" s="2001"/>
      <c r="AE103" s="2001"/>
      <c r="AF103" s="2001"/>
    </row>
    <row r="104" spans="6:32" ht="16.5" customHeight="1">
      <c r="F104" s="2001"/>
      <c r="G104" s="2001"/>
      <c r="H104" s="2001"/>
      <c r="I104" s="2001"/>
      <c r="J104" s="2001"/>
      <c r="K104" s="2001"/>
      <c r="L104" s="2001"/>
      <c r="M104" s="2001"/>
      <c r="N104" s="2001"/>
      <c r="O104" s="2001"/>
      <c r="P104" s="2001"/>
      <c r="Q104" s="2001"/>
      <c r="R104" s="2001"/>
      <c r="S104" s="2001"/>
      <c r="T104" s="2001"/>
      <c r="U104" s="2001"/>
      <c r="V104" s="2001"/>
      <c r="W104" s="2001"/>
      <c r="X104" s="2001"/>
      <c r="Y104" s="2001"/>
      <c r="Z104" s="2001"/>
      <c r="AA104" s="2001"/>
      <c r="AB104" s="2001"/>
      <c r="AC104" s="2001"/>
      <c r="AD104" s="2001"/>
      <c r="AE104" s="2001"/>
      <c r="AF104" s="2001"/>
    </row>
    <row r="105" spans="6:32" ht="16.5" customHeight="1">
      <c r="F105" s="2001"/>
      <c r="G105" s="2001"/>
      <c r="H105" s="2001"/>
      <c r="I105" s="2001"/>
      <c r="J105" s="2001"/>
      <c r="K105" s="2001"/>
      <c r="L105" s="2001"/>
      <c r="M105" s="2001"/>
      <c r="N105" s="2001"/>
      <c r="O105" s="2001"/>
      <c r="P105" s="2001"/>
      <c r="Q105" s="2001"/>
      <c r="R105" s="2001"/>
      <c r="S105" s="2001"/>
      <c r="T105" s="2001"/>
      <c r="U105" s="2001"/>
      <c r="V105" s="2001"/>
      <c r="W105" s="2001"/>
      <c r="X105" s="2001"/>
      <c r="Y105" s="2001"/>
      <c r="Z105" s="2001"/>
      <c r="AA105" s="2001"/>
      <c r="AB105" s="2001"/>
      <c r="AC105" s="2001"/>
      <c r="AD105" s="2001"/>
      <c r="AE105" s="2001"/>
      <c r="AF105" s="2001"/>
    </row>
    <row r="106" spans="6:32" ht="16.5" customHeight="1">
      <c r="F106" s="2001"/>
      <c r="G106" s="2001"/>
      <c r="H106" s="2001"/>
      <c r="I106" s="2001"/>
      <c r="J106" s="2001"/>
      <c r="K106" s="2001"/>
      <c r="L106" s="2001"/>
      <c r="M106" s="2001"/>
      <c r="N106" s="2001"/>
      <c r="O106" s="2001"/>
      <c r="P106" s="2001"/>
      <c r="Q106" s="2001"/>
      <c r="R106" s="2001"/>
      <c r="S106" s="2001"/>
      <c r="T106" s="2001"/>
      <c r="U106" s="2001"/>
      <c r="V106" s="2001"/>
      <c r="W106" s="2001"/>
      <c r="X106" s="2001"/>
      <c r="Y106" s="2001"/>
      <c r="Z106" s="2001"/>
      <c r="AA106" s="2001"/>
      <c r="AB106" s="2001"/>
      <c r="AC106" s="2001"/>
      <c r="AD106" s="2001"/>
      <c r="AE106" s="2001"/>
      <c r="AF106" s="2001"/>
    </row>
    <row r="107" spans="6:32" ht="16.5" customHeight="1">
      <c r="F107" s="2001"/>
      <c r="G107" s="2001"/>
      <c r="H107" s="2001"/>
      <c r="I107" s="2001"/>
      <c r="J107" s="2001"/>
      <c r="K107" s="2001"/>
      <c r="L107" s="2001"/>
      <c r="M107" s="2001"/>
      <c r="N107" s="2001"/>
      <c r="O107" s="2001"/>
      <c r="P107" s="2001"/>
      <c r="Q107" s="2001"/>
      <c r="R107" s="2001"/>
      <c r="S107" s="2001"/>
      <c r="T107" s="2001"/>
      <c r="U107" s="2001"/>
      <c r="V107" s="2001"/>
      <c r="W107" s="2001"/>
      <c r="X107" s="2001"/>
      <c r="Y107" s="2001"/>
      <c r="Z107" s="2001"/>
      <c r="AA107" s="2001"/>
      <c r="AB107" s="2001"/>
      <c r="AC107" s="2001"/>
      <c r="AD107" s="2001"/>
      <c r="AE107" s="2001"/>
      <c r="AF107" s="2001"/>
    </row>
    <row r="108" spans="6:32" ht="16.5" customHeight="1">
      <c r="F108" s="2001"/>
      <c r="G108" s="2001"/>
      <c r="H108" s="2001"/>
      <c r="I108" s="2001"/>
      <c r="J108" s="2001"/>
      <c r="K108" s="2001"/>
      <c r="L108" s="2001"/>
      <c r="M108" s="2001"/>
      <c r="N108" s="2001"/>
      <c r="O108" s="2001"/>
      <c r="P108" s="2001"/>
      <c r="Q108" s="2001"/>
      <c r="R108" s="2001"/>
      <c r="S108" s="2001"/>
      <c r="T108" s="2001"/>
      <c r="U108" s="2001"/>
      <c r="V108" s="2001"/>
      <c r="W108" s="2001"/>
      <c r="X108" s="2001"/>
      <c r="Y108" s="2001"/>
      <c r="Z108" s="2001"/>
      <c r="AA108" s="2001"/>
      <c r="AB108" s="2001"/>
      <c r="AC108" s="2001"/>
      <c r="AD108" s="2001"/>
      <c r="AE108" s="2001"/>
      <c r="AF108" s="2001"/>
    </row>
    <row r="109" spans="6:32" ht="16.5" customHeight="1">
      <c r="F109" s="2001"/>
      <c r="G109" s="2001"/>
      <c r="H109" s="2001"/>
      <c r="I109" s="2001"/>
      <c r="J109" s="2001"/>
      <c r="K109" s="2001"/>
      <c r="L109" s="2001"/>
      <c r="M109" s="2001"/>
      <c r="N109" s="2001"/>
      <c r="O109" s="2001"/>
      <c r="P109" s="2001"/>
      <c r="Q109" s="2001"/>
      <c r="R109" s="2001"/>
      <c r="S109" s="2001"/>
      <c r="T109" s="2001"/>
      <c r="U109" s="2001"/>
      <c r="V109" s="2001"/>
      <c r="W109" s="2001"/>
      <c r="X109" s="2001"/>
      <c r="Y109" s="2001"/>
      <c r="Z109" s="2001"/>
      <c r="AA109" s="2001"/>
      <c r="AB109" s="2001"/>
      <c r="AC109" s="2001"/>
      <c r="AD109" s="2001"/>
      <c r="AE109" s="2001"/>
      <c r="AF109" s="2001"/>
    </row>
    <row r="110" spans="6:32" ht="16.5" customHeight="1">
      <c r="F110" s="2001"/>
      <c r="G110" s="2001"/>
      <c r="H110" s="2001"/>
      <c r="I110" s="2001"/>
      <c r="J110" s="2001"/>
      <c r="K110" s="2001"/>
      <c r="L110" s="2001"/>
      <c r="M110" s="2001"/>
      <c r="N110" s="2001"/>
      <c r="O110" s="2001"/>
      <c r="P110" s="2001"/>
      <c r="Q110" s="2001"/>
      <c r="R110" s="2001"/>
      <c r="S110" s="2001"/>
      <c r="T110" s="2001"/>
      <c r="U110" s="2001"/>
      <c r="V110" s="2001"/>
      <c r="W110" s="2001"/>
      <c r="X110" s="2001"/>
      <c r="Y110" s="2001"/>
      <c r="Z110" s="2001"/>
      <c r="AA110" s="2001"/>
      <c r="AB110" s="2001"/>
      <c r="AC110" s="2001"/>
      <c r="AD110" s="2001"/>
      <c r="AE110" s="2001"/>
      <c r="AF110" s="2001"/>
    </row>
    <row r="111" spans="6:32" ht="16.5" customHeight="1">
      <c r="F111" s="2001"/>
      <c r="G111" s="2001"/>
      <c r="H111" s="2001"/>
      <c r="I111" s="2001"/>
      <c r="J111" s="2001"/>
      <c r="K111" s="2001"/>
      <c r="L111" s="2001"/>
      <c r="M111" s="2001"/>
      <c r="N111" s="2001"/>
      <c r="O111" s="2001"/>
      <c r="P111" s="2001"/>
      <c r="Q111" s="2001"/>
      <c r="R111" s="2001"/>
      <c r="S111" s="2001"/>
      <c r="T111" s="2001"/>
      <c r="U111" s="2001"/>
      <c r="V111" s="2001"/>
      <c r="W111" s="2001"/>
      <c r="X111" s="2001"/>
      <c r="Y111" s="2001"/>
      <c r="Z111" s="2001"/>
      <c r="AA111" s="2001"/>
      <c r="AB111" s="2001"/>
      <c r="AC111" s="2001"/>
      <c r="AD111" s="2001"/>
      <c r="AE111" s="2001"/>
      <c r="AF111" s="2001"/>
    </row>
    <row r="112" spans="6:32" ht="16.5" customHeight="1">
      <c r="F112" s="2001"/>
      <c r="G112" s="2001"/>
      <c r="H112" s="2001"/>
      <c r="I112" s="2001"/>
      <c r="J112" s="2001"/>
      <c r="K112" s="2001"/>
      <c r="L112" s="2001"/>
      <c r="M112" s="2001"/>
      <c r="N112" s="2001"/>
      <c r="O112" s="2001"/>
      <c r="P112" s="2001"/>
      <c r="Q112" s="2001"/>
      <c r="R112" s="2001"/>
      <c r="S112" s="2001"/>
      <c r="T112" s="2001"/>
      <c r="U112" s="2001"/>
      <c r="V112" s="2001"/>
      <c r="W112" s="2001"/>
      <c r="X112" s="2001"/>
      <c r="Y112" s="2001"/>
      <c r="Z112" s="2001"/>
      <c r="AA112" s="2001"/>
      <c r="AB112" s="2001"/>
      <c r="AC112" s="2001"/>
      <c r="AD112" s="2001"/>
      <c r="AE112" s="2001"/>
      <c r="AF112" s="2001"/>
    </row>
    <row r="113" spans="6:32" ht="16.5" customHeight="1">
      <c r="F113" s="2001"/>
      <c r="G113" s="2001"/>
      <c r="H113" s="2001"/>
      <c r="I113" s="2001"/>
      <c r="J113" s="2001"/>
      <c r="K113" s="2001"/>
      <c r="L113" s="2001"/>
      <c r="M113" s="2001"/>
      <c r="N113" s="2001"/>
      <c r="O113" s="2001"/>
      <c r="P113" s="2001"/>
      <c r="Q113" s="2001"/>
      <c r="R113" s="2001"/>
      <c r="S113" s="2001"/>
      <c r="T113" s="2001"/>
      <c r="U113" s="2001"/>
      <c r="V113" s="2001"/>
      <c r="W113" s="2001"/>
      <c r="X113" s="2001"/>
      <c r="Y113" s="2001"/>
      <c r="Z113" s="2001"/>
      <c r="AA113" s="2001"/>
      <c r="AB113" s="2001"/>
      <c r="AC113" s="2001"/>
      <c r="AD113" s="2001"/>
      <c r="AE113" s="2001"/>
      <c r="AF113" s="2001"/>
    </row>
    <row r="114" spans="6:32" ht="16.5" customHeight="1">
      <c r="F114" s="2001"/>
      <c r="G114" s="2001"/>
      <c r="H114" s="2001"/>
      <c r="I114" s="2001"/>
      <c r="J114" s="2001"/>
      <c r="K114" s="2001"/>
      <c r="L114" s="2001"/>
      <c r="M114" s="2001"/>
      <c r="N114" s="2001"/>
      <c r="O114" s="2001"/>
      <c r="P114" s="2001"/>
      <c r="Q114" s="2001"/>
      <c r="R114" s="2001"/>
      <c r="S114" s="2001"/>
      <c r="T114" s="2001"/>
      <c r="U114" s="2001"/>
      <c r="V114" s="2001"/>
      <c r="W114" s="2001"/>
      <c r="X114" s="2001"/>
      <c r="Y114" s="2001"/>
      <c r="Z114" s="2001"/>
      <c r="AA114" s="2001"/>
      <c r="AB114" s="2001"/>
      <c r="AC114" s="2001"/>
      <c r="AD114" s="2001"/>
      <c r="AE114" s="2001"/>
      <c r="AF114" s="2001"/>
    </row>
    <row r="115" spans="6:32" ht="16.5" customHeight="1">
      <c r="F115" s="2001"/>
      <c r="G115" s="2001"/>
      <c r="H115" s="2001"/>
      <c r="I115" s="2001"/>
      <c r="J115" s="2001"/>
      <c r="K115" s="2001"/>
      <c r="L115" s="2001"/>
      <c r="M115" s="2001"/>
      <c r="N115" s="2001"/>
      <c r="O115" s="2001"/>
      <c r="P115" s="2001"/>
      <c r="Q115" s="2001"/>
      <c r="R115" s="2001"/>
      <c r="S115" s="2001"/>
      <c r="T115" s="2001"/>
      <c r="U115" s="2001"/>
      <c r="V115" s="2001"/>
      <c r="W115" s="2001"/>
      <c r="X115" s="2001"/>
      <c r="Y115" s="2001"/>
      <c r="Z115" s="2001"/>
      <c r="AA115" s="2001"/>
      <c r="AB115" s="2001"/>
      <c r="AC115" s="2001"/>
      <c r="AD115" s="2001"/>
      <c r="AE115" s="2001"/>
      <c r="AF115" s="2001"/>
    </row>
    <row r="116" spans="6:32" ht="16.5" customHeight="1">
      <c r="F116" s="2001"/>
      <c r="G116" s="2001"/>
      <c r="H116" s="2001"/>
      <c r="I116" s="2001"/>
      <c r="J116" s="2001"/>
      <c r="K116" s="2001"/>
      <c r="L116" s="2001"/>
      <c r="M116" s="2001"/>
      <c r="N116" s="2001"/>
      <c r="O116" s="2001"/>
      <c r="P116" s="2001"/>
      <c r="Q116" s="2001"/>
      <c r="R116" s="2001"/>
      <c r="S116" s="2001"/>
      <c r="T116" s="2001"/>
      <c r="U116" s="2001"/>
      <c r="V116" s="2001"/>
      <c r="W116" s="2001"/>
      <c r="X116" s="2001"/>
      <c r="Y116" s="2001"/>
      <c r="Z116" s="2001"/>
      <c r="AA116" s="2001"/>
      <c r="AB116" s="2001"/>
      <c r="AC116" s="2001"/>
      <c r="AD116" s="2001"/>
      <c r="AE116" s="2001"/>
      <c r="AF116" s="2001"/>
    </row>
    <row r="117" spans="6:32" ht="16.5" customHeight="1">
      <c r="F117" s="2001"/>
      <c r="G117" s="2001"/>
      <c r="H117" s="2001"/>
      <c r="I117" s="2001"/>
      <c r="J117" s="2001"/>
      <c r="K117" s="2001"/>
      <c r="L117" s="2001"/>
      <c r="M117" s="2001"/>
      <c r="N117" s="2001"/>
      <c r="O117" s="2001"/>
      <c r="P117" s="2001"/>
      <c r="Q117" s="2001"/>
      <c r="R117" s="2001"/>
      <c r="S117" s="2001"/>
      <c r="T117" s="2001"/>
      <c r="U117" s="2001"/>
      <c r="V117" s="2001"/>
      <c r="W117" s="2001"/>
      <c r="X117" s="2001"/>
      <c r="Y117" s="2001"/>
      <c r="Z117" s="2001"/>
      <c r="AA117" s="2001"/>
      <c r="AB117" s="2001"/>
      <c r="AC117" s="2001"/>
      <c r="AD117" s="2001"/>
      <c r="AE117" s="2001"/>
      <c r="AF117" s="2001"/>
    </row>
    <row r="118" spans="6:32" ht="16.5" customHeight="1">
      <c r="F118" s="2001"/>
      <c r="G118" s="2001"/>
      <c r="H118" s="2001"/>
      <c r="I118" s="2001"/>
      <c r="J118" s="2001"/>
      <c r="K118" s="2001"/>
      <c r="L118" s="2001"/>
      <c r="M118" s="2001"/>
      <c r="N118" s="2001"/>
      <c r="O118" s="2001"/>
      <c r="P118" s="2001"/>
      <c r="Q118" s="2001"/>
      <c r="R118" s="2001"/>
      <c r="S118" s="2001"/>
      <c r="T118" s="2001"/>
      <c r="U118" s="2001"/>
      <c r="V118" s="2001"/>
      <c r="W118" s="2001"/>
      <c r="X118" s="2001"/>
      <c r="Y118" s="2001"/>
      <c r="Z118" s="2001"/>
      <c r="AA118" s="2001"/>
      <c r="AB118" s="2001"/>
      <c r="AC118" s="2001"/>
      <c r="AD118" s="2001"/>
      <c r="AE118" s="2001"/>
      <c r="AF118" s="2001"/>
    </row>
    <row r="119" spans="6:32" ht="16.5" customHeight="1">
      <c r="F119" s="2001"/>
      <c r="G119" s="2001"/>
      <c r="H119" s="2001"/>
      <c r="I119" s="2001"/>
      <c r="J119" s="2001"/>
      <c r="K119" s="2001"/>
      <c r="L119" s="2001"/>
      <c r="M119" s="2001"/>
      <c r="N119" s="2001"/>
      <c r="O119" s="2001"/>
      <c r="P119" s="2001"/>
      <c r="Q119" s="2001"/>
      <c r="R119" s="2001"/>
      <c r="S119" s="2001"/>
      <c r="T119" s="2001"/>
      <c r="U119" s="2001"/>
      <c r="V119" s="2001"/>
      <c r="W119" s="2001"/>
      <c r="X119" s="2001"/>
      <c r="Y119" s="2001"/>
      <c r="Z119" s="2001"/>
      <c r="AA119" s="2001"/>
      <c r="AB119" s="2001"/>
      <c r="AC119" s="2001"/>
      <c r="AD119" s="2001"/>
      <c r="AE119" s="2001"/>
      <c r="AF119" s="2001"/>
    </row>
    <row r="120" spans="6:32" ht="16.5" customHeight="1">
      <c r="F120" s="2001"/>
      <c r="G120" s="2001"/>
      <c r="H120" s="2001"/>
      <c r="I120" s="2001"/>
      <c r="J120" s="2001"/>
      <c r="K120" s="2001"/>
      <c r="L120" s="2001"/>
      <c r="M120" s="2001"/>
      <c r="N120" s="2001"/>
      <c r="O120" s="2001"/>
      <c r="P120" s="2001"/>
      <c r="Q120" s="2001"/>
      <c r="R120" s="2001"/>
      <c r="S120" s="2001"/>
      <c r="T120" s="2001"/>
      <c r="U120" s="2001"/>
      <c r="V120" s="2001"/>
      <c r="W120" s="2001"/>
      <c r="X120" s="2001"/>
      <c r="Y120" s="2001"/>
      <c r="Z120" s="2001"/>
      <c r="AA120" s="2001"/>
      <c r="AB120" s="2001"/>
      <c r="AC120" s="2001"/>
      <c r="AD120" s="2001"/>
      <c r="AE120" s="2001"/>
      <c r="AF120" s="2001"/>
    </row>
    <row r="121" spans="6:32" ht="16.5" customHeight="1">
      <c r="F121" s="2001"/>
      <c r="G121" s="2001"/>
      <c r="H121" s="2001"/>
      <c r="I121" s="2001"/>
      <c r="J121" s="2001"/>
      <c r="K121" s="2001"/>
      <c r="L121" s="2001"/>
      <c r="M121" s="2001"/>
      <c r="N121" s="2001"/>
      <c r="O121" s="2001"/>
      <c r="P121" s="2001"/>
      <c r="Q121" s="2001"/>
      <c r="R121" s="2001"/>
      <c r="S121" s="2001"/>
      <c r="T121" s="2001"/>
      <c r="U121" s="2001"/>
      <c r="V121" s="2001"/>
      <c r="W121" s="2001"/>
      <c r="X121" s="2001"/>
      <c r="Y121" s="2001"/>
      <c r="Z121" s="2001"/>
      <c r="AA121" s="2001"/>
      <c r="AB121" s="2001"/>
      <c r="AC121" s="2001"/>
      <c r="AD121" s="2001"/>
      <c r="AE121" s="2001"/>
      <c r="AF121" s="2001"/>
    </row>
    <row r="122" spans="6:32" ht="16.5" customHeight="1">
      <c r="F122" s="2001"/>
      <c r="G122" s="2001"/>
      <c r="H122" s="2001"/>
      <c r="I122" s="2001"/>
      <c r="J122" s="2001"/>
      <c r="K122" s="2001"/>
      <c r="L122" s="2001"/>
      <c r="M122" s="2001"/>
      <c r="N122" s="2001"/>
      <c r="O122" s="2001"/>
      <c r="P122" s="2001"/>
      <c r="Q122" s="2001"/>
      <c r="R122" s="2001"/>
      <c r="S122" s="2001"/>
      <c r="T122" s="2001"/>
      <c r="U122" s="2001"/>
      <c r="V122" s="2001"/>
      <c r="W122" s="2001"/>
      <c r="X122" s="2001"/>
      <c r="Y122" s="2001"/>
      <c r="Z122" s="2001"/>
      <c r="AA122" s="2001"/>
      <c r="AB122" s="2001"/>
      <c r="AC122" s="2001"/>
      <c r="AD122" s="2001"/>
      <c r="AE122" s="2001"/>
      <c r="AF122" s="2001"/>
    </row>
    <row r="123" spans="6:32" ht="16.5" customHeight="1">
      <c r="F123" s="2001"/>
      <c r="G123" s="2001"/>
      <c r="H123" s="2001"/>
      <c r="I123" s="2001"/>
      <c r="J123" s="2001"/>
      <c r="K123" s="2001"/>
      <c r="L123" s="2001"/>
      <c r="M123" s="2001"/>
      <c r="N123" s="2001"/>
      <c r="O123" s="2001"/>
      <c r="P123" s="2001"/>
      <c r="Q123" s="2001"/>
      <c r="R123" s="2001"/>
      <c r="S123" s="2001"/>
      <c r="T123" s="2001"/>
      <c r="U123" s="2001"/>
      <c r="V123" s="2001"/>
      <c r="W123" s="2001"/>
      <c r="X123" s="2001"/>
      <c r="Y123" s="2001"/>
      <c r="Z123" s="2001"/>
      <c r="AA123" s="2001"/>
      <c r="AB123" s="2001"/>
      <c r="AC123" s="2001"/>
      <c r="AD123" s="2001"/>
      <c r="AE123" s="2001"/>
      <c r="AF123" s="2001"/>
    </row>
    <row r="124" spans="6:32" ht="16.5" customHeight="1">
      <c r="F124" s="2001"/>
      <c r="G124" s="2001"/>
      <c r="H124" s="2001"/>
      <c r="I124" s="2001"/>
      <c r="J124" s="2001"/>
      <c r="K124" s="2001"/>
      <c r="L124" s="2001"/>
      <c r="M124" s="2001"/>
      <c r="N124" s="2001"/>
      <c r="O124" s="2001"/>
      <c r="P124" s="2001"/>
      <c r="Q124" s="2001"/>
      <c r="R124" s="2001"/>
      <c r="S124" s="2001"/>
      <c r="T124" s="2001"/>
      <c r="U124" s="2001"/>
      <c r="V124" s="2001"/>
      <c r="W124" s="2001"/>
      <c r="X124" s="2001"/>
      <c r="Y124" s="2001"/>
      <c r="Z124" s="2001"/>
      <c r="AA124" s="2001"/>
      <c r="AB124" s="2001"/>
      <c r="AC124" s="2001"/>
      <c r="AD124" s="2001"/>
      <c r="AE124" s="2001"/>
      <c r="AF124" s="2001"/>
    </row>
    <row r="125" spans="6:32" ht="16.5" customHeight="1">
      <c r="F125" s="2001"/>
      <c r="G125" s="2001"/>
      <c r="H125" s="2001"/>
      <c r="I125" s="2001"/>
      <c r="J125" s="2001"/>
      <c r="K125" s="2001"/>
      <c r="L125" s="2001"/>
      <c r="M125" s="2001"/>
      <c r="N125" s="2001"/>
      <c r="O125" s="2001"/>
      <c r="P125" s="2001"/>
      <c r="Q125" s="2001"/>
      <c r="R125" s="2001"/>
      <c r="S125" s="2001"/>
      <c r="T125" s="2001"/>
      <c r="U125" s="2001"/>
      <c r="V125" s="2001"/>
      <c r="W125" s="2001"/>
      <c r="X125" s="2001"/>
      <c r="Y125" s="2001"/>
      <c r="Z125" s="2001"/>
      <c r="AA125" s="2001"/>
      <c r="AB125" s="2001"/>
      <c r="AC125" s="2001"/>
      <c r="AD125" s="2001"/>
      <c r="AE125" s="2001"/>
      <c r="AF125" s="2001"/>
    </row>
    <row r="126" spans="6:32" ht="16.5" customHeight="1">
      <c r="F126" s="2001"/>
      <c r="G126" s="2001"/>
      <c r="H126" s="2001"/>
      <c r="I126" s="2001"/>
      <c r="J126" s="2001"/>
      <c r="K126" s="2001"/>
      <c r="L126" s="2001"/>
      <c r="M126" s="2001"/>
      <c r="N126" s="2001"/>
      <c r="O126" s="2001"/>
      <c r="P126" s="2001"/>
      <c r="Q126" s="2001"/>
      <c r="R126" s="2001"/>
      <c r="S126" s="2001"/>
      <c r="T126" s="2001"/>
      <c r="U126" s="2001"/>
      <c r="V126" s="2001"/>
      <c r="W126" s="2001"/>
      <c r="X126" s="2001"/>
      <c r="Y126" s="2001"/>
      <c r="Z126" s="2001"/>
      <c r="AA126" s="2001"/>
      <c r="AB126" s="2001"/>
      <c r="AC126" s="2001"/>
      <c r="AD126" s="2001"/>
      <c r="AE126" s="2001"/>
      <c r="AF126" s="2001"/>
    </row>
    <row r="127" spans="6:32" ht="16.5" customHeight="1">
      <c r="F127" s="2001"/>
      <c r="G127" s="2001"/>
      <c r="H127" s="2001"/>
      <c r="I127" s="2001"/>
      <c r="J127" s="2001"/>
      <c r="K127" s="2001"/>
      <c r="L127" s="2001"/>
      <c r="M127" s="2001"/>
      <c r="N127" s="2001"/>
      <c r="O127" s="2001"/>
      <c r="P127" s="2001"/>
      <c r="Q127" s="2001"/>
      <c r="R127" s="2001"/>
      <c r="S127" s="2001"/>
      <c r="T127" s="2001"/>
      <c r="U127" s="2001"/>
      <c r="V127" s="2001"/>
      <c r="W127" s="2001"/>
      <c r="X127" s="2001"/>
      <c r="Y127" s="2001"/>
      <c r="Z127" s="2001"/>
      <c r="AA127" s="2001"/>
      <c r="AB127" s="2001"/>
      <c r="AC127" s="2001"/>
      <c r="AD127" s="2001"/>
      <c r="AE127" s="2001"/>
      <c r="AF127" s="2001"/>
    </row>
    <row r="128" spans="6:32" ht="16.5" customHeight="1">
      <c r="F128" s="2001"/>
      <c r="G128" s="2001"/>
      <c r="H128" s="2001"/>
      <c r="I128" s="2001"/>
      <c r="J128" s="2001"/>
      <c r="K128" s="2001"/>
      <c r="L128" s="2001"/>
      <c r="M128" s="2001"/>
      <c r="N128" s="2001"/>
      <c r="O128" s="2001"/>
      <c r="P128" s="2001"/>
      <c r="Q128" s="2001"/>
      <c r="R128" s="2001"/>
      <c r="S128" s="2001"/>
      <c r="T128" s="2001"/>
      <c r="U128" s="2001"/>
      <c r="V128" s="2001"/>
      <c r="W128" s="2001"/>
      <c r="X128" s="2001"/>
      <c r="Y128" s="2001"/>
      <c r="Z128" s="2001"/>
      <c r="AA128" s="2001"/>
      <c r="AB128" s="2001"/>
      <c r="AC128" s="2001"/>
      <c r="AD128" s="2001"/>
      <c r="AE128" s="2001"/>
      <c r="AF128" s="2001"/>
    </row>
    <row r="129" spans="6:32" ht="16.5" customHeight="1">
      <c r="F129" s="2001"/>
      <c r="G129" s="2001"/>
      <c r="H129" s="2001"/>
      <c r="I129" s="2001"/>
      <c r="J129" s="2001"/>
      <c r="K129" s="2001"/>
      <c r="L129" s="2001"/>
      <c r="M129" s="2001"/>
      <c r="N129" s="2001"/>
      <c r="O129" s="2001"/>
      <c r="P129" s="2001"/>
      <c r="Q129" s="2001"/>
      <c r="R129" s="2001"/>
      <c r="S129" s="2001"/>
      <c r="T129" s="2001"/>
      <c r="U129" s="2001"/>
      <c r="V129" s="2001"/>
      <c r="W129" s="2001"/>
      <c r="X129" s="2001"/>
      <c r="Y129" s="2001"/>
      <c r="Z129" s="2001"/>
      <c r="AA129" s="2001"/>
      <c r="AB129" s="2001"/>
      <c r="AC129" s="2001"/>
      <c r="AD129" s="2001"/>
      <c r="AE129" s="2001"/>
      <c r="AF129" s="2001"/>
    </row>
    <row r="130" spans="6:32" ht="16.5" customHeight="1">
      <c r="F130" s="2001"/>
      <c r="G130" s="2001"/>
      <c r="H130" s="2001"/>
      <c r="I130" s="2001"/>
      <c r="J130" s="2001"/>
      <c r="K130" s="2001"/>
      <c r="L130" s="2001"/>
      <c r="M130" s="2001"/>
      <c r="N130" s="2001"/>
      <c r="O130" s="2001"/>
      <c r="P130" s="2001"/>
      <c r="Q130" s="2001"/>
      <c r="R130" s="2001"/>
      <c r="S130" s="2001"/>
      <c r="T130" s="2001"/>
      <c r="U130" s="2001"/>
      <c r="V130" s="2001"/>
      <c r="W130" s="2001"/>
      <c r="X130" s="2001"/>
      <c r="Y130" s="2001"/>
      <c r="Z130" s="2001"/>
      <c r="AA130" s="2001"/>
      <c r="AB130" s="2001"/>
      <c r="AC130" s="2001"/>
      <c r="AD130" s="2001"/>
      <c r="AE130" s="2001"/>
      <c r="AF130" s="2001"/>
    </row>
    <row r="131" spans="6:32" ht="16.5" customHeight="1">
      <c r="F131" s="2001"/>
      <c r="G131" s="2001"/>
      <c r="H131" s="2001"/>
      <c r="I131" s="2001"/>
      <c r="J131" s="2001"/>
      <c r="K131" s="2001"/>
      <c r="L131" s="2001"/>
      <c r="M131" s="2001"/>
      <c r="N131" s="2001"/>
      <c r="O131" s="2001"/>
      <c r="P131" s="2001"/>
      <c r="Q131" s="2001"/>
      <c r="R131" s="2001"/>
      <c r="S131" s="2001"/>
      <c r="T131" s="2001"/>
      <c r="U131" s="2001"/>
      <c r="V131" s="2001"/>
      <c r="W131" s="2001"/>
      <c r="X131" s="2001"/>
      <c r="Y131" s="2001"/>
      <c r="Z131" s="2001"/>
      <c r="AA131" s="2001"/>
      <c r="AB131" s="2001"/>
      <c r="AC131" s="2001"/>
      <c r="AD131" s="2001"/>
      <c r="AE131" s="2001"/>
      <c r="AF131" s="2001"/>
    </row>
    <row r="132" spans="6:32" ht="16.5" customHeight="1">
      <c r="F132" s="2001"/>
      <c r="G132" s="2001"/>
      <c r="H132" s="2001"/>
      <c r="I132" s="2001"/>
      <c r="J132" s="2001"/>
      <c r="K132" s="2001"/>
      <c r="L132" s="2001"/>
      <c r="M132" s="2001"/>
      <c r="N132" s="2001"/>
      <c r="O132" s="2001"/>
      <c r="P132" s="2001"/>
      <c r="Q132" s="2001"/>
      <c r="R132" s="2001"/>
      <c r="S132" s="2001"/>
      <c r="T132" s="2001"/>
      <c r="U132" s="2001"/>
      <c r="V132" s="2001"/>
      <c r="W132" s="2001"/>
      <c r="X132" s="2001"/>
      <c r="Y132" s="2001"/>
      <c r="Z132" s="2001"/>
      <c r="AA132" s="2001"/>
      <c r="AB132" s="2001"/>
      <c r="AC132" s="2001"/>
      <c r="AD132" s="2001"/>
      <c r="AE132" s="2001"/>
      <c r="AF132" s="2001"/>
    </row>
    <row r="133" spans="6:32" ht="16.5" customHeight="1">
      <c r="F133" s="2001"/>
      <c r="G133" s="2001"/>
      <c r="H133" s="2001"/>
      <c r="I133" s="2001"/>
      <c r="J133" s="2001"/>
      <c r="K133" s="2001"/>
      <c r="L133" s="2001"/>
      <c r="M133" s="2001"/>
      <c r="N133" s="2001"/>
      <c r="O133" s="2001"/>
      <c r="P133" s="2001"/>
      <c r="Q133" s="2001"/>
      <c r="R133" s="2001"/>
      <c r="S133" s="2001"/>
      <c r="T133" s="2001"/>
      <c r="U133" s="2001"/>
      <c r="V133" s="2001"/>
      <c r="W133" s="2001"/>
      <c r="X133" s="2001"/>
      <c r="Y133" s="2001"/>
      <c r="Z133" s="2001"/>
      <c r="AA133" s="2001"/>
      <c r="AB133" s="2001"/>
      <c r="AC133" s="2001"/>
      <c r="AD133" s="2001"/>
      <c r="AE133" s="2001"/>
      <c r="AF133" s="2001"/>
    </row>
    <row r="134" spans="6:32" ht="16.5" customHeight="1">
      <c r="F134" s="2001"/>
      <c r="G134" s="2001"/>
      <c r="H134" s="2001"/>
      <c r="I134" s="2001"/>
      <c r="J134" s="2001"/>
      <c r="K134" s="2001"/>
      <c r="L134" s="2001"/>
      <c r="M134" s="2001"/>
      <c r="N134" s="2001"/>
      <c r="O134" s="2001"/>
      <c r="P134" s="2001"/>
      <c r="Q134" s="2001"/>
      <c r="R134" s="2001"/>
      <c r="S134" s="2001"/>
      <c r="T134" s="2001"/>
      <c r="U134" s="2001"/>
      <c r="V134" s="2001"/>
      <c r="W134" s="2001"/>
      <c r="X134" s="2001"/>
      <c r="Y134" s="2001"/>
      <c r="Z134" s="2001"/>
      <c r="AA134" s="2001"/>
      <c r="AB134" s="2001"/>
      <c r="AC134" s="2001"/>
      <c r="AD134" s="2001"/>
      <c r="AE134" s="2001"/>
      <c r="AF134" s="2001"/>
    </row>
    <row r="135" spans="6:32" ht="16.5" customHeight="1">
      <c r="F135" s="2001"/>
      <c r="G135" s="2001"/>
      <c r="H135" s="2001"/>
      <c r="I135" s="2001"/>
      <c r="J135" s="2001"/>
      <c r="K135" s="2001"/>
      <c r="L135" s="2001"/>
      <c r="M135" s="2001"/>
      <c r="N135" s="2001"/>
      <c r="O135" s="2001"/>
      <c r="P135" s="2001"/>
      <c r="Q135" s="2001"/>
      <c r="R135" s="2001"/>
      <c r="S135" s="2001"/>
      <c r="T135" s="2001"/>
      <c r="U135" s="2001"/>
      <c r="V135" s="2001"/>
      <c r="W135" s="2001"/>
      <c r="X135" s="2001"/>
      <c r="Y135" s="2001"/>
      <c r="Z135" s="2001"/>
      <c r="AA135" s="2001"/>
      <c r="AB135" s="2001"/>
      <c r="AC135" s="2001"/>
      <c r="AD135" s="2001"/>
      <c r="AE135" s="2001"/>
      <c r="AF135" s="2001"/>
    </row>
    <row r="136" spans="6:32" ht="16.5" customHeight="1">
      <c r="F136" s="2001"/>
      <c r="G136" s="2001"/>
      <c r="H136" s="2001"/>
      <c r="I136" s="2001"/>
      <c r="J136" s="2001"/>
      <c r="K136" s="2001"/>
      <c r="L136" s="2001"/>
      <c r="M136" s="2001"/>
      <c r="N136" s="2001"/>
      <c r="O136" s="2001"/>
      <c r="P136" s="2001"/>
      <c r="Q136" s="2001"/>
      <c r="R136" s="2001"/>
      <c r="S136" s="2001"/>
      <c r="T136" s="2001"/>
      <c r="U136" s="2001"/>
      <c r="V136" s="2001"/>
      <c r="W136" s="2001"/>
      <c r="X136" s="2001"/>
      <c r="Y136" s="2001"/>
      <c r="Z136" s="2001"/>
      <c r="AA136" s="2001"/>
      <c r="AB136" s="2001"/>
      <c r="AC136" s="2001"/>
      <c r="AD136" s="2001"/>
      <c r="AE136" s="2001"/>
      <c r="AF136" s="2001"/>
    </row>
    <row r="137" spans="6:32" ht="16.5" customHeight="1">
      <c r="F137" s="2001"/>
      <c r="G137" s="2001"/>
      <c r="H137" s="2001"/>
      <c r="I137" s="2001"/>
      <c r="J137" s="2001"/>
      <c r="K137" s="2001"/>
      <c r="L137" s="2001"/>
      <c r="M137" s="2001"/>
      <c r="N137" s="2001"/>
      <c r="O137" s="2001"/>
      <c r="P137" s="2001"/>
      <c r="Q137" s="2001"/>
      <c r="R137" s="2001"/>
      <c r="S137" s="2001"/>
      <c r="T137" s="2001"/>
      <c r="U137" s="2001"/>
      <c r="V137" s="2001"/>
      <c r="W137" s="2001"/>
      <c r="X137" s="2001"/>
      <c r="Y137" s="2001"/>
      <c r="Z137" s="2001"/>
      <c r="AA137" s="2001"/>
      <c r="AB137" s="2001"/>
      <c r="AC137" s="2001"/>
      <c r="AD137" s="2001"/>
      <c r="AE137" s="2001"/>
      <c r="AF137" s="2001"/>
    </row>
    <row r="138" spans="6:32" ht="16.5" customHeight="1">
      <c r="F138" s="2001"/>
      <c r="G138" s="2001"/>
      <c r="H138" s="2001"/>
      <c r="I138" s="2001"/>
      <c r="J138" s="2001"/>
      <c r="K138" s="2001"/>
      <c r="L138" s="2001"/>
      <c r="M138" s="2001"/>
      <c r="N138" s="2001"/>
      <c r="O138" s="2001"/>
      <c r="P138" s="2001"/>
      <c r="Q138" s="2001"/>
      <c r="R138" s="2001"/>
      <c r="S138" s="2001"/>
      <c r="T138" s="2001"/>
      <c r="U138" s="2001"/>
      <c r="V138" s="2001"/>
      <c r="W138" s="2001"/>
      <c r="X138" s="2001"/>
      <c r="Y138" s="2001"/>
      <c r="Z138" s="2001"/>
      <c r="AA138" s="2001"/>
      <c r="AB138" s="2001"/>
      <c r="AC138" s="2001"/>
      <c r="AD138" s="2001"/>
      <c r="AE138" s="2001"/>
      <c r="AF138" s="2001"/>
    </row>
    <row r="139" spans="6:32" ht="16.5" customHeight="1">
      <c r="F139" s="2001"/>
      <c r="G139" s="2001"/>
      <c r="H139" s="2001"/>
      <c r="I139" s="2001"/>
      <c r="J139" s="2001"/>
      <c r="K139" s="2001"/>
      <c r="L139" s="2001"/>
      <c r="M139" s="2001"/>
      <c r="N139" s="2001"/>
      <c r="O139" s="2001"/>
      <c r="P139" s="2001"/>
      <c r="Q139" s="2001"/>
      <c r="R139" s="2001"/>
      <c r="S139" s="2001"/>
      <c r="T139" s="2001"/>
      <c r="U139" s="2001"/>
      <c r="V139" s="2001"/>
      <c r="W139" s="2001"/>
      <c r="X139" s="2001"/>
      <c r="Y139" s="2001"/>
      <c r="Z139" s="2001"/>
      <c r="AA139" s="2001"/>
      <c r="AB139" s="2001"/>
      <c r="AC139" s="2001"/>
      <c r="AD139" s="2001"/>
      <c r="AE139" s="2001"/>
      <c r="AF139" s="2001"/>
    </row>
    <row r="140" spans="6:32" ht="16.5" customHeight="1">
      <c r="F140" s="2001"/>
      <c r="G140" s="2001"/>
      <c r="H140" s="2001"/>
      <c r="I140" s="2001"/>
      <c r="J140" s="2001"/>
      <c r="K140" s="2001"/>
      <c r="L140" s="2001"/>
      <c r="M140" s="2001"/>
      <c r="N140" s="2001"/>
      <c r="O140" s="2001"/>
      <c r="P140" s="2001"/>
      <c r="Q140" s="2001"/>
      <c r="R140" s="2001"/>
      <c r="S140" s="2001"/>
      <c r="T140" s="2001"/>
      <c r="U140" s="2001"/>
      <c r="V140" s="2001"/>
      <c r="W140" s="2001"/>
      <c r="X140" s="2001"/>
      <c r="Y140" s="2001"/>
      <c r="Z140" s="2001"/>
      <c r="AA140" s="2001"/>
      <c r="AB140" s="2001"/>
      <c r="AC140" s="2001"/>
      <c r="AD140" s="2001"/>
      <c r="AE140" s="2001"/>
      <c r="AF140" s="2001"/>
    </row>
    <row r="141" spans="6:32" ht="16.5" customHeight="1">
      <c r="F141" s="2001"/>
      <c r="G141" s="2001"/>
      <c r="H141" s="2001"/>
      <c r="I141" s="2001"/>
      <c r="J141" s="2001"/>
      <c r="K141" s="2001"/>
      <c r="L141" s="2001"/>
      <c r="M141" s="2001"/>
      <c r="N141" s="2001"/>
      <c r="O141" s="2001"/>
      <c r="P141" s="2001"/>
      <c r="Q141" s="2001"/>
      <c r="R141" s="2001"/>
      <c r="S141" s="2001"/>
      <c r="T141" s="2001"/>
      <c r="U141" s="2001"/>
      <c r="V141" s="2001"/>
      <c r="W141" s="2001"/>
      <c r="X141" s="2001"/>
      <c r="Y141" s="2001"/>
      <c r="Z141" s="2001"/>
      <c r="AA141" s="2001"/>
      <c r="AB141" s="2001"/>
      <c r="AC141" s="2001"/>
      <c r="AD141" s="2001"/>
      <c r="AE141" s="2001"/>
      <c r="AF141" s="2001"/>
    </row>
    <row r="142" spans="6:32" ht="16.5" customHeight="1">
      <c r="F142" s="2001"/>
      <c r="G142" s="2001"/>
      <c r="H142" s="2001"/>
      <c r="I142" s="2001"/>
      <c r="J142" s="2001"/>
      <c r="K142" s="2001"/>
      <c r="L142" s="2001"/>
      <c r="M142" s="2001"/>
      <c r="N142" s="2001"/>
      <c r="O142" s="2001"/>
      <c r="P142" s="2001"/>
      <c r="Q142" s="2001"/>
      <c r="R142" s="2001"/>
      <c r="S142" s="2001"/>
      <c r="T142" s="2001"/>
      <c r="U142" s="2001"/>
      <c r="V142" s="2001"/>
      <c r="W142" s="2001"/>
      <c r="X142" s="2001"/>
      <c r="Y142" s="2001"/>
      <c r="Z142" s="2001"/>
      <c r="AA142" s="2001"/>
      <c r="AB142" s="2001"/>
      <c r="AC142" s="2001"/>
      <c r="AD142" s="2001"/>
      <c r="AE142" s="2001"/>
      <c r="AF142" s="2001"/>
    </row>
    <row r="143" spans="6:32" ht="16.5" customHeight="1">
      <c r="F143" s="2001"/>
      <c r="G143" s="2001"/>
      <c r="H143" s="2001"/>
      <c r="I143" s="2001"/>
      <c r="J143" s="2001"/>
      <c r="K143" s="2001"/>
      <c r="L143" s="2001"/>
      <c r="M143" s="2001"/>
      <c r="N143" s="2001"/>
      <c r="O143" s="2001"/>
      <c r="P143" s="2001"/>
      <c r="Q143" s="2001"/>
      <c r="R143" s="2001"/>
      <c r="S143" s="2001"/>
      <c r="T143" s="2001"/>
      <c r="U143" s="2001"/>
      <c r="V143" s="2001"/>
      <c r="W143" s="2001"/>
      <c r="X143" s="2001"/>
      <c r="Y143" s="2001"/>
      <c r="Z143" s="2001"/>
      <c r="AA143" s="2001"/>
      <c r="AB143" s="2001"/>
      <c r="AC143" s="2001"/>
      <c r="AD143" s="2001"/>
      <c r="AE143" s="2001"/>
      <c r="AF143" s="2001"/>
    </row>
    <row r="144" spans="6:32" ht="16.5" customHeight="1">
      <c r="F144" s="2001"/>
      <c r="G144" s="2001"/>
      <c r="H144" s="2001"/>
      <c r="I144" s="2001"/>
      <c r="J144" s="2001"/>
      <c r="K144" s="2001"/>
      <c r="L144" s="2001"/>
      <c r="M144" s="2001"/>
      <c r="N144" s="2001"/>
      <c r="O144" s="2001"/>
      <c r="P144" s="2001"/>
      <c r="Q144" s="2001"/>
      <c r="R144" s="2001"/>
      <c r="S144" s="2001"/>
      <c r="T144" s="2001"/>
      <c r="U144" s="2001"/>
      <c r="V144" s="2001"/>
      <c r="W144" s="2001"/>
      <c r="X144" s="2001"/>
      <c r="Y144" s="2001"/>
      <c r="Z144" s="2001"/>
      <c r="AA144" s="2001"/>
      <c r="AB144" s="2001"/>
      <c r="AC144" s="2001"/>
      <c r="AD144" s="2001"/>
      <c r="AE144" s="2001"/>
      <c r="AF144" s="2001"/>
    </row>
    <row r="145" spans="6:32" ht="16.5" customHeight="1">
      <c r="F145" s="2001"/>
      <c r="G145" s="2001"/>
      <c r="H145" s="2001"/>
      <c r="I145" s="2001"/>
      <c r="J145" s="2001"/>
      <c r="K145" s="2001"/>
      <c r="L145" s="2001"/>
      <c r="M145" s="2001"/>
      <c r="N145" s="2001"/>
      <c r="O145" s="2001"/>
      <c r="P145" s="2001"/>
      <c r="Q145" s="2001"/>
      <c r="R145" s="2001"/>
      <c r="S145" s="2001"/>
      <c r="T145" s="2001"/>
      <c r="U145" s="2001"/>
      <c r="V145" s="2001"/>
      <c r="W145" s="2001"/>
      <c r="X145" s="2001"/>
      <c r="Y145" s="2001"/>
      <c r="Z145" s="2001"/>
      <c r="AA145" s="2001"/>
      <c r="AB145" s="2001"/>
      <c r="AC145" s="2001"/>
      <c r="AD145" s="2001"/>
      <c r="AE145" s="2001"/>
      <c r="AF145" s="2001"/>
    </row>
    <row r="146" spans="6:32" ht="16.5" customHeight="1">
      <c r="F146" s="2001"/>
      <c r="G146" s="2001"/>
      <c r="H146" s="2001"/>
      <c r="I146" s="2001"/>
      <c r="J146" s="2001"/>
      <c r="K146" s="2001"/>
      <c r="L146" s="2001"/>
      <c r="M146" s="2001"/>
      <c r="N146" s="2001"/>
      <c r="O146" s="2001"/>
      <c r="P146" s="2001"/>
      <c r="Q146" s="2001"/>
      <c r="R146" s="2001"/>
      <c r="S146" s="2001"/>
      <c r="T146" s="2001"/>
      <c r="U146" s="2001"/>
      <c r="V146" s="2001"/>
      <c r="W146" s="2001"/>
      <c r="X146" s="2001"/>
      <c r="Y146" s="2001"/>
      <c r="Z146" s="2001"/>
      <c r="AA146" s="2001"/>
      <c r="AB146" s="2001"/>
      <c r="AC146" s="2001"/>
      <c r="AD146" s="2001"/>
      <c r="AE146" s="2001"/>
      <c r="AF146" s="2001"/>
    </row>
    <row r="147" spans="6:32" ht="16.5" customHeight="1">
      <c r="F147" s="2001"/>
      <c r="G147" s="2001"/>
      <c r="H147" s="2001"/>
      <c r="I147" s="2001"/>
      <c r="J147" s="2001"/>
      <c r="K147" s="2001"/>
      <c r="L147" s="2001"/>
      <c r="M147" s="2001"/>
      <c r="N147" s="2001"/>
      <c r="O147" s="2001"/>
      <c r="P147" s="2001"/>
      <c r="Q147" s="2001"/>
      <c r="R147" s="2001"/>
      <c r="S147" s="2001"/>
      <c r="T147" s="2001"/>
      <c r="U147" s="2001"/>
      <c r="V147" s="2001"/>
      <c r="W147" s="2001"/>
      <c r="X147" s="2001"/>
      <c r="Y147" s="2001"/>
      <c r="Z147" s="2001"/>
      <c r="AA147" s="2001"/>
      <c r="AB147" s="2001"/>
      <c r="AC147" s="2001"/>
      <c r="AD147" s="2001"/>
      <c r="AE147" s="2001"/>
      <c r="AF147" s="2001"/>
    </row>
    <row r="148" spans="6:32" ht="16.5" customHeight="1">
      <c r="F148" s="2001"/>
      <c r="G148" s="2001"/>
      <c r="H148" s="2001"/>
      <c r="I148" s="2001"/>
      <c r="J148" s="2001"/>
      <c r="K148" s="2001"/>
      <c r="L148" s="2001"/>
      <c r="M148" s="2001"/>
      <c r="N148" s="2001"/>
      <c r="O148" s="2001"/>
      <c r="P148" s="2001"/>
      <c r="Q148" s="2001"/>
      <c r="R148" s="2001"/>
      <c r="S148" s="2001"/>
      <c r="T148" s="2001"/>
      <c r="U148" s="2001"/>
      <c r="V148" s="2001"/>
      <c r="W148" s="2001"/>
      <c r="X148" s="2001"/>
      <c r="Y148" s="2001"/>
      <c r="Z148" s="2001"/>
      <c r="AA148" s="2001"/>
      <c r="AB148" s="2001"/>
      <c r="AC148" s="2001"/>
      <c r="AD148" s="2001"/>
      <c r="AE148" s="2001"/>
      <c r="AF148" s="2001"/>
    </row>
    <row r="149" spans="6:32" ht="16.5" customHeight="1">
      <c r="F149" s="2001"/>
      <c r="G149" s="2001"/>
      <c r="H149" s="2001"/>
      <c r="I149" s="2001"/>
      <c r="J149" s="2001"/>
      <c r="K149" s="2001"/>
      <c r="L149" s="2001"/>
      <c r="M149" s="2001"/>
      <c r="N149" s="2001"/>
      <c r="O149" s="2001"/>
      <c r="P149" s="2001"/>
      <c r="Q149" s="2001"/>
      <c r="R149" s="2001"/>
      <c r="S149" s="2001"/>
      <c r="T149" s="2001"/>
      <c r="U149" s="2001"/>
      <c r="V149" s="2001"/>
      <c r="W149" s="2001"/>
      <c r="X149" s="2001"/>
      <c r="Y149" s="2001"/>
      <c r="Z149" s="2001"/>
      <c r="AA149" s="2001"/>
      <c r="AB149" s="2001"/>
      <c r="AC149" s="2001"/>
      <c r="AD149" s="2001"/>
      <c r="AE149" s="2001"/>
      <c r="AF149" s="2001"/>
    </row>
    <row r="150" spans="6:32" ht="16.5" customHeight="1">
      <c r="F150" s="2001"/>
      <c r="G150" s="2001"/>
      <c r="H150" s="2001"/>
      <c r="I150" s="2001"/>
      <c r="J150" s="2001"/>
      <c r="K150" s="2001"/>
      <c r="L150" s="2001"/>
      <c r="M150" s="2001"/>
      <c r="N150" s="2001"/>
      <c r="O150" s="2001"/>
      <c r="P150" s="2001"/>
      <c r="Q150" s="2001"/>
      <c r="R150" s="2001"/>
      <c r="S150" s="2001"/>
      <c r="T150" s="2001"/>
      <c r="U150" s="2001"/>
      <c r="V150" s="2001"/>
      <c r="W150" s="2001"/>
      <c r="X150" s="2001"/>
      <c r="Y150" s="2001"/>
      <c r="Z150" s="2001"/>
      <c r="AA150" s="2001"/>
      <c r="AB150" s="2001"/>
      <c r="AC150" s="2001"/>
      <c r="AD150" s="2001"/>
      <c r="AE150" s="2001"/>
      <c r="AF150" s="2001"/>
    </row>
    <row r="151" spans="6:32" ht="16.5" customHeight="1">
      <c r="F151" s="2001"/>
      <c r="G151" s="2001"/>
      <c r="H151" s="2001"/>
      <c r="I151" s="2001"/>
      <c r="J151" s="2001"/>
      <c r="K151" s="2001"/>
      <c r="L151" s="2001"/>
      <c r="M151" s="2001"/>
      <c r="N151" s="2001"/>
      <c r="O151" s="2001"/>
      <c r="P151" s="2001"/>
      <c r="Q151" s="2001"/>
      <c r="R151" s="2001"/>
      <c r="S151" s="2001"/>
      <c r="T151" s="2001"/>
      <c r="U151" s="2001"/>
      <c r="V151" s="2001"/>
      <c r="W151" s="2001"/>
      <c r="X151" s="2001"/>
      <c r="Y151" s="2001"/>
      <c r="Z151" s="2001"/>
      <c r="AA151" s="2001"/>
      <c r="AB151" s="2001"/>
      <c r="AC151" s="2001"/>
      <c r="AD151" s="2001"/>
      <c r="AE151" s="2001"/>
      <c r="AF151" s="2001"/>
    </row>
    <row r="152" ht="16.5" customHeight="1">
      <c r="AF152" s="2001"/>
    </row>
    <row r="153" ht="16.5" customHeight="1">
      <c r="AF153" s="2001"/>
    </row>
    <row r="154" ht="16.5" customHeight="1">
      <c r="AF154" s="2001"/>
    </row>
    <row r="155" ht="16.5" customHeight="1">
      <c r="AF155" s="2001"/>
    </row>
    <row r="156" ht="16.5" customHeight="1"/>
    <row r="157" ht="16.5" customHeight="1"/>
    <row r="158" ht="16.5" customHeight="1"/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8.7109375" style="9" customWidth="1"/>
    <col min="9" max="9" width="6.4218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5.00390625" style="9" hidden="1" customWidth="1"/>
    <col min="17" max="17" width="12.8515625" style="9" hidden="1" customWidth="1"/>
    <col min="18" max="19" width="10.5742187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+'TOT-0312'!B2</f>
        <v>ANEXO IV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395"/>
    </row>
    <row r="8" spans="2:23" s="18" customFormat="1" ht="20.25">
      <c r="B8" s="96"/>
      <c r="C8" s="23"/>
      <c r="D8" s="23"/>
      <c r="E8" s="23"/>
      <c r="F8" s="396" t="s">
        <v>27</v>
      </c>
      <c r="N8" s="262"/>
      <c r="O8" s="262"/>
      <c r="P8" s="264"/>
      <c r="Q8" s="23"/>
      <c r="R8" s="23"/>
      <c r="S8" s="23"/>
      <c r="T8" s="23"/>
      <c r="U8" s="23"/>
      <c r="V8" s="23"/>
      <c r="W8" s="397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18" customFormat="1" ht="20.25">
      <c r="B10" s="96"/>
      <c r="C10" s="23"/>
      <c r="D10" s="23"/>
      <c r="E10" s="23"/>
      <c r="F10" s="398" t="s">
        <v>67</v>
      </c>
      <c r="G10" s="399"/>
      <c r="H10" s="262"/>
      <c r="I10" s="400"/>
      <c r="K10" s="400"/>
      <c r="L10" s="400"/>
      <c r="M10" s="400"/>
      <c r="N10" s="400"/>
      <c r="O10" s="400"/>
      <c r="P10" s="400"/>
      <c r="Q10" s="23"/>
      <c r="R10" s="23"/>
      <c r="S10" s="23"/>
      <c r="T10" s="23"/>
      <c r="U10" s="23"/>
      <c r="V10" s="23"/>
      <c r="W10" s="397"/>
    </row>
    <row r="11" spans="2:23" s="8" customFormat="1" ht="13.5">
      <c r="B11" s="55"/>
      <c r="C11" s="11"/>
      <c r="D11" s="11"/>
      <c r="E11" s="11"/>
      <c r="F11" s="401"/>
      <c r="G11" s="401"/>
      <c r="H11" s="90"/>
      <c r="I11" s="402"/>
      <c r="J11" s="67"/>
      <c r="K11" s="402"/>
      <c r="L11" s="402"/>
      <c r="M11" s="402"/>
      <c r="N11" s="402"/>
      <c r="O11" s="402"/>
      <c r="P11" s="402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6"/>
      <c r="C12" s="23"/>
      <c r="D12" s="23"/>
      <c r="E12" s="23"/>
      <c r="F12" s="398" t="s">
        <v>68</v>
      </c>
      <c r="G12" s="399"/>
      <c r="H12" s="262"/>
      <c r="I12" s="400"/>
      <c r="K12" s="400"/>
      <c r="L12" s="400"/>
      <c r="M12" s="400"/>
      <c r="N12" s="400"/>
      <c r="O12" s="400"/>
      <c r="P12" s="400"/>
      <c r="Q12" s="23"/>
      <c r="R12" s="23"/>
      <c r="S12" s="23"/>
      <c r="T12" s="23"/>
      <c r="U12" s="23"/>
      <c r="V12" s="23"/>
      <c r="W12" s="397"/>
    </row>
    <row r="13" spans="2:23" s="8" customFormat="1" ht="13.5">
      <c r="B13" s="55"/>
      <c r="C13" s="11"/>
      <c r="D13" s="11"/>
      <c r="E13" s="11"/>
      <c r="F13" s="401"/>
      <c r="G13" s="401"/>
      <c r="H13" s="90"/>
      <c r="I13" s="402"/>
      <c r="J13" s="67"/>
      <c r="K13" s="402"/>
      <c r="L13" s="402"/>
      <c r="M13" s="402"/>
      <c r="N13" s="402"/>
      <c r="O13" s="402"/>
      <c r="P13" s="402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'TOT-0312'!B14</f>
        <v>Desde el 01 al 31 de Marzo de 2012</v>
      </c>
      <c r="C14" s="39"/>
      <c r="D14" s="39"/>
      <c r="E14" s="39"/>
      <c r="F14" s="39"/>
      <c r="G14" s="39"/>
      <c r="H14" s="39"/>
      <c r="I14" s="403"/>
      <c r="J14" s="403"/>
      <c r="K14" s="403"/>
      <c r="L14" s="403"/>
      <c r="M14" s="403"/>
      <c r="N14" s="403"/>
      <c r="O14" s="403"/>
      <c r="P14" s="403"/>
      <c r="Q14" s="39"/>
      <c r="R14" s="39"/>
      <c r="S14" s="39"/>
      <c r="T14" s="39"/>
      <c r="U14" s="39"/>
      <c r="V14" s="39"/>
      <c r="W14" s="404"/>
    </row>
    <row r="15" spans="2:23" s="8" customFormat="1" ht="14.25" thickBot="1">
      <c r="B15" s="405"/>
      <c r="C15" s="406"/>
      <c r="D15" s="406"/>
      <c r="E15" s="406"/>
      <c r="F15" s="406"/>
      <c r="G15" s="406"/>
      <c r="H15" s="406"/>
      <c r="I15" s="407"/>
      <c r="J15" s="407"/>
      <c r="K15" s="407"/>
      <c r="L15" s="407"/>
      <c r="M15" s="407"/>
      <c r="N15" s="407"/>
      <c r="O15" s="407"/>
      <c r="P15" s="407"/>
      <c r="Q15" s="406"/>
      <c r="R15" s="406"/>
      <c r="S15" s="406"/>
      <c r="T15" s="406"/>
      <c r="U15" s="406"/>
      <c r="V15" s="406"/>
      <c r="W15" s="408"/>
    </row>
    <row r="16" spans="2:23" s="8" customFormat="1" ht="15" thickBot="1" thickTop="1">
      <c r="B16" s="55"/>
      <c r="C16" s="11"/>
      <c r="D16" s="11"/>
      <c r="E16" s="11"/>
      <c r="F16" s="409"/>
      <c r="G16" s="409"/>
      <c r="H16" s="410" t="s">
        <v>69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11" t="s">
        <v>70</v>
      </c>
      <c r="G17" s="412">
        <v>128.853</v>
      </c>
      <c r="H17" s="413">
        <v>200</v>
      </c>
      <c r="V17" s="110"/>
      <c r="W17" s="60"/>
    </row>
    <row r="18" spans="2:23" s="8" customFormat="1" ht="16.5" customHeight="1" thickBot="1" thickTop="1">
      <c r="B18" s="55"/>
      <c r="C18" s="11"/>
      <c r="D18" s="11"/>
      <c r="E18" s="11"/>
      <c r="F18" s="414" t="s">
        <v>71</v>
      </c>
      <c r="G18" s="415">
        <v>115.951</v>
      </c>
      <c r="H18" s="413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16" t="s">
        <v>72</v>
      </c>
      <c r="G19" s="415">
        <v>103.083</v>
      </c>
      <c r="H19" s="413">
        <v>40</v>
      </c>
      <c r="K19" s="108"/>
      <c r="L19" s="109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1">
        <v>3</v>
      </c>
      <c r="D20" s="111">
        <v>4</v>
      </c>
      <c r="E20" s="111">
        <v>5</v>
      </c>
      <c r="F20" s="111">
        <v>6</v>
      </c>
      <c r="G20" s="111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1">
        <v>16</v>
      </c>
      <c r="Q20" s="111">
        <v>17</v>
      </c>
      <c r="R20" s="111">
        <v>18</v>
      </c>
      <c r="S20" s="111">
        <v>19</v>
      </c>
      <c r="T20" s="111">
        <v>20</v>
      </c>
      <c r="U20" s="111">
        <v>21</v>
      </c>
      <c r="V20" s="111">
        <v>22</v>
      </c>
      <c r="W20" s="60"/>
    </row>
    <row r="21" spans="2:23" s="8" customFormat="1" ht="33.75" customHeight="1" thickBot="1" thickTop="1">
      <c r="B21" s="55"/>
      <c r="C21" s="296" t="s">
        <v>32</v>
      </c>
      <c r="D21" s="112" t="s">
        <v>33</v>
      </c>
      <c r="E21" s="112" t="s">
        <v>34</v>
      </c>
      <c r="F21" s="115" t="s">
        <v>60</v>
      </c>
      <c r="G21" s="417" t="s">
        <v>61</v>
      </c>
      <c r="H21" s="418" t="s">
        <v>35</v>
      </c>
      <c r="I21" s="301" t="s">
        <v>39</v>
      </c>
      <c r="J21" s="113" t="s">
        <v>40</v>
      </c>
      <c r="K21" s="417" t="s">
        <v>41</v>
      </c>
      <c r="L21" s="419" t="s">
        <v>42</v>
      </c>
      <c r="M21" s="419" t="s">
        <v>43</v>
      </c>
      <c r="N21" s="120" t="s">
        <v>251</v>
      </c>
      <c r="O21" s="119" t="s">
        <v>46</v>
      </c>
      <c r="P21" s="420" t="s">
        <v>38</v>
      </c>
      <c r="Q21" s="421" t="s">
        <v>73</v>
      </c>
      <c r="R21" s="422" t="s">
        <v>74</v>
      </c>
      <c r="S21" s="423"/>
      <c r="T21" s="424" t="s">
        <v>51</v>
      </c>
      <c r="U21" s="131" t="s">
        <v>53</v>
      </c>
      <c r="V21" s="300" t="s">
        <v>54</v>
      </c>
      <c r="W21" s="60"/>
    </row>
    <row r="22" spans="2:23" s="8" customFormat="1" ht="16.5" customHeight="1" thickTop="1">
      <c r="B22" s="55"/>
      <c r="C22" s="310"/>
      <c r="D22" s="310"/>
      <c r="E22" s="310"/>
      <c r="F22" s="425"/>
      <c r="G22" s="425"/>
      <c r="H22" s="425"/>
      <c r="I22" s="253"/>
      <c r="J22" s="425"/>
      <c r="K22" s="425"/>
      <c r="L22" s="425"/>
      <c r="M22" s="425"/>
      <c r="N22" s="425"/>
      <c r="O22" s="425"/>
      <c r="P22" s="426"/>
      <c r="Q22" s="427"/>
      <c r="R22" s="428"/>
      <c r="S22" s="429"/>
      <c r="T22" s="430"/>
      <c r="U22" s="425"/>
      <c r="V22" s="431"/>
      <c r="W22" s="60"/>
    </row>
    <row r="23" spans="2:23" s="8" customFormat="1" ht="16.5" customHeight="1">
      <c r="B23" s="55"/>
      <c r="C23" s="151"/>
      <c r="D23" s="151"/>
      <c r="E23" s="151"/>
      <c r="F23" s="432"/>
      <c r="G23" s="432"/>
      <c r="H23" s="432"/>
      <c r="I23" s="433"/>
      <c r="J23" s="432"/>
      <c r="K23" s="432"/>
      <c r="L23" s="432"/>
      <c r="M23" s="432"/>
      <c r="N23" s="432"/>
      <c r="O23" s="432"/>
      <c r="P23" s="434"/>
      <c r="Q23" s="435"/>
      <c r="R23" s="436"/>
      <c r="S23" s="437"/>
      <c r="T23" s="438"/>
      <c r="U23" s="432"/>
      <c r="V23" s="439"/>
      <c r="W23" s="60"/>
    </row>
    <row r="24" spans="2:23" s="8" customFormat="1" ht="16.5" customHeight="1">
      <c r="B24" s="55"/>
      <c r="C24" s="151">
        <v>36</v>
      </c>
      <c r="D24" s="151">
        <v>245136</v>
      </c>
      <c r="E24" s="170">
        <v>87</v>
      </c>
      <c r="F24" s="683" t="s">
        <v>266</v>
      </c>
      <c r="G24" s="683" t="s">
        <v>267</v>
      </c>
      <c r="H24" s="684">
        <v>500</v>
      </c>
      <c r="I24" s="442">
        <f aca="true" t="shared" si="0" ref="I24:I43">IF(H24=500,$G$17,IF(H24=220,$G$18,$G$19))</f>
        <v>128.853</v>
      </c>
      <c r="J24" s="443">
        <v>40969</v>
      </c>
      <c r="K24" s="444">
        <v>40977.552083333336</v>
      </c>
      <c r="L24" s="445">
        <f aca="true" t="shared" si="1" ref="L24:L43">IF(F24="","",(K24-J24)*24)</f>
        <v>205.2500000000582</v>
      </c>
      <c r="M24" s="446">
        <f aca="true" t="shared" si="2" ref="M24:M43">IF(F24="","",ROUND((K24-J24)*24*60,0))</f>
        <v>12315</v>
      </c>
      <c r="N24" s="179" t="s">
        <v>253</v>
      </c>
      <c r="O24" s="181" t="str">
        <f aca="true" t="shared" si="3" ref="O24:O43">IF(F24="","",IF(N24="P","--","NO"))</f>
        <v>--</v>
      </c>
      <c r="P24" s="447">
        <f aca="true" t="shared" si="4" ref="P24:P43">IF(H24=500,$H$17,IF(H24=220,$H$18,$H$19))</f>
        <v>200</v>
      </c>
      <c r="Q24" s="448">
        <f aca="true" t="shared" si="5" ref="Q24:Q43">IF(N24="P",I24*P24*ROUND(M24/60,2)*0.1,"--")</f>
        <v>528941.5650000001</v>
      </c>
      <c r="R24" s="436" t="str">
        <f aca="true" t="shared" si="6" ref="R24:R43">IF(AND(N24="F",O24="NO"),I24*P24,"--")</f>
        <v>--</v>
      </c>
      <c r="S24" s="437" t="str">
        <f aca="true" t="shared" si="7" ref="S24:S43">IF(N24="F",I24*P24*ROUND(M24/60,2),"--")</f>
        <v>--</v>
      </c>
      <c r="T24" s="438" t="str">
        <f aca="true" t="shared" si="8" ref="T24:T43">IF(N24="RF",I24*P24*ROUND(M24/60,2),"--")</f>
        <v>--</v>
      </c>
      <c r="U24" s="181" t="s">
        <v>77</v>
      </c>
      <c r="V24" s="449">
        <f aca="true" t="shared" si="9" ref="V24:V42">IF(F24="","",SUM(Q24:T24)*IF(U24="SI",1,2))</f>
        <v>528941.5650000001</v>
      </c>
      <c r="W24" s="60"/>
    </row>
    <row r="25" spans="2:23" s="8" customFormat="1" ht="16.5" customHeight="1">
      <c r="B25" s="55"/>
      <c r="C25" s="151">
        <v>37</v>
      </c>
      <c r="D25" s="151">
        <v>245253</v>
      </c>
      <c r="E25" s="151">
        <v>85</v>
      </c>
      <c r="F25" s="683" t="s">
        <v>268</v>
      </c>
      <c r="G25" s="683" t="s">
        <v>269</v>
      </c>
      <c r="H25" s="684">
        <v>500</v>
      </c>
      <c r="I25" s="442">
        <f t="shared" si="0"/>
        <v>128.853</v>
      </c>
      <c r="J25" s="443">
        <v>40971.33263888889</v>
      </c>
      <c r="K25" s="444">
        <v>40971.69652777778</v>
      </c>
      <c r="L25" s="445">
        <f t="shared" si="1"/>
        <v>8.733333333337214</v>
      </c>
      <c r="M25" s="446">
        <f t="shared" si="2"/>
        <v>524</v>
      </c>
      <c r="N25" s="179" t="s">
        <v>253</v>
      </c>
      <c r="O25" s="181" t="str">
        <f t="shared" si="3"/>
        <v>--</v>
      </c>
      <c r="P25" s="447">
        <f t="shared" si="4"/>
        <v>200</v>
      </c>
      <c r="Q25" s="448">
        <f t="shared" si="5"/>
        <v>22497.7338</v>
      </c>
      <c r="R25" s="436" t="str">
        <f t="shared" si="6"/>
        <v>--</v>
      </c>
      <c r="S25" s="437" t="str">
        <f t="shared" si="7"/>
        <v>--</v>
      </c>
      <c r="T25" s="438" t="str">
        <f t="shared" si="8"/>
        <v>--</v>
      </c>
      <c r="U25" s="181" t="s">
        <v>77</v>
      </c>
      <c r="V25" s="449">
        <f t="shared" si="9"/>
        <v>22497.7338</v>
      </c>
      <c r="W25" s="60"/>
    </row>
    <row r="26" spans="2:23" s="8" customFormat="1" ht="16.5" customHeight="1">
      <c r="B26" s="55"/>
      <c r="C26" s="151">
        <v>38</v>
      </c>
      <c r="D26" s="151">
        <v>245256</v>
      </c>
      <c r="E26" s="170">
        <v>147</v>
      </c>
      <c r="F26" s="683" t="s">
        <v>270</v>
      </c>
      <c r="G26" s="683" t="s">
        <v>313</v>
      </c>
      <c r="H26" s="684">
        <v>132</v>
      </c>
      <c r="I26" s="442">
        <f t="shared" si="0"/>
        <v>103.083</v>
      </c>
      <c r="J26" s="443">
        <v>40971.43263888889</v>
      </c>
      <c r="K26" s="444">
        <v>40971.59027777778</v>
      </c>
      <c r="L26" s="445">
        <f t="shared" si="1"/>
        <v>3.7833333334419876</v>
      </c>
      <c r="M26" s="446">
        <f t="shared" si="2"/>
        <v>227</v>
      </c>
      <c r="N26" s="179" t="s">
        <v>256</v>
      </c>
      <c r="O26" s="181" t="str">
        <f t="shared" si="3"/>
        <v>NO</v>
      </c>
      <c r="P26" s="447">
        <f t="shared" si="4"/>
        <v>40</v>
      </c>
      <c r="Q26" s="448" t="str">
        <f t="shared" si="5"/>
        <v>--</v>
      </c>
      <c r="R26" s="436">
        <f t="shared" si="6"/>
        <v>4123.32</v>
      </c>
      <c r="S26" s="437">
        <f t="shared" si="7"/>
        <v>15586.149599999999</v>
      </c>
      <c r="T26" s="438" t="str">
        <f t="shared" si="8"/>
        <v>--</v>
      </c>
      <c r="U26" s="181" t="s">
        <v>77</v>
      </c>
      <c r="V26" s="449">
        <f t="shared" si="9"/>
        <v>19709.469599999997</v>
      </c>
      <c r="W26" s="60"/>
    </row>
    <row r="27" spans="2:23" s="8" customFormat="1" ht="16.5" customHeight="1">
      <c r="B27" s="55"/>
      <c r="C27" s="151">
        <v>39</v>
      </c>
      <c r="D27" s="151">
        <v>245328</v>
      </c>
      <c r="E27" s="170">
        <v>142</v>
      </c>
      <c r="F27" s="683" t="s">
        <v>271</v>
      </c>
      <c r="G27" s="683" t="s">
        <v>318</v>
      </c>
      <c r="H27" s="684">
        <v>132</v>
      </c>
      <c r="I27" s="442">
        <f t="shared" si="0"/>
        <v>103.083</v>
      </c>
      <c r="J27" s="443">
        <v>40975.29305555556</v>
      </c>
      <c r="K27" s="444">
        <v>40975.486805555556</v>
      </c>
      <c r="L27" s="445">
        <f t="shared" si="1"/>
        <v>4.649999999965075</v>
      </c>
      <c r="M27" s="446">
        <f t="shared" si="2"/>
        <v>279</v>
      </c>
      <c r="N27" s="179" t="s">
        <v>253</v>
      </c>
      <c r="O27" s="181" t="str">
        <f t="shared" si="3"/>
        <v>--</v>
      </c>
      <c r="P27" s="447">
        <f t="shared" si="4"/>
        <v>40</v>
      </c>
      <c r="Q27" s="448">
        <f t="shared" si="5"/>
        <v>1917.3438000000003</v>
      </c>
      <c r="R27" s="436" t="str">
        <f t="shared" si="6"/>
        <v>--</v>
      </c>
      <c r="S27" s="437" t="str">
        <f t="shared" si="7"/>
        <v>--</v>
      </c>
      <c r="T27" s="438" t="str">
        <f t="shared" si="8"/>
        <v>--</v>
      </c>
      <c r="U27" s="181" t="s">
        <v>77</v>
      </c>
      <c r="V27" s="449">
        <v>0</v>
      </c>
      <c r="W27" s="60"/>
    </row>
    <row r="28" spans="2:23" s="8" customFormat="1" ht="16.5" customHeight="1">
      <c r="B28" s="55"/>
      <c r="C28" s="151">
        <v>40</v>
      </c>
      <c r="D28" s="151">
        <v>245337</v>
      </c>
      <c r="E28" s="151">
        <v>2794</v>
      </c>
      <c r="F28" s="683" t="s">
        <v>273</v>
      </c>
      <c r="G28" s="683" t="s">
        <v>274</v>
      </c>
      <c r="H28" s="684">
        <v>132</v>
      </c>
      <c r="I28" s="442">
        <f t="shared" si="0"/>
        <v>103.083</v>
      </c>
      <c r="J28" s="443">
        <v>40977.30486111111</v>
      </c>
      <c r="K28" s="444">
        <v>40977.32361111111</v>
      </c>
      <c r="L28" s="445">
        <f t="shared" si="1"/>
        <v>0.4500000000698492</v>
      </c>
      <c r="M28" s="446">
        <f t="shared" si="2"/>
        <v>27</v>
      </c>
      <c r="N28" s="179" t="s">
        <v>253</v>
      </c>
      <c r="O28" s="181" t="str">
        <f t="shared" si="3"/>
        <v>--</v>
      </c>
      <c r="P28" s="447">
        <f t="shared" si="4"/>
        <v>40</v>
      </c>
      <c r="Q28" s="448">
        <f t="shared" si="5"/>
        <v>185.5494</v>
      </c>
      <c r="R28" s="436" t="str">
        <f t="shared" si="6"/>
        <v>--</v>
      </c>
      <c r="S28" s="437" t="str">
        <f t="shared" si="7"/>
        <v>--</v>
      </c>
      <c r="T28" s="438" t="str">
        <f t="shared" si="8"/>
        <v>--</v>
      </c>
      <c r="U28" s="181" t="s">
        <v>77</v>
      </c>
      <c r="V28" s="449">
        <v>0</v>
      </c>
      <c r="W28" s="60"/>
    </row>
    <row r="29" spans="2:23" s="8" customFormat="1" ht="16.5" customHeight="1">
      <c r="B29" s="55"/>
      <c r="C29" s="151">
        <v>41</v>
      </c>
      <c r="D29" s="151">
        <v>245343</v>
      </c>
      <c r="E29" s="170">
        <v>94</v>
      </c>
      <c r="F29" s="683" t="s">
        <v>275</v>
      </c>
      <c r="G29" s="683" t="s">
        <v>276</v>
      </c>
      <c r="H29" s="684">
        <v>500</v>
      </c>
      <c r="I29" s="442">
        <f t="shared" si="0"/>
        <v>128.853</v>
      </c>
      <c r="J29" s="443">
        <v>40978.33125</v>
      </c>
      <c r="K29" s="444">
        <v>40978.74791666667</v>
      </c>
      <c r="L29" s="445">
        <f t="shared" si="1"/>
        <v>9.999999999941792</v>
      </c>
      <c r="M29" s="446">
        <f t="shared" si="2"/>
        <v>600</v>
      </c>
      <c r="N29" s="179" t="s">
        <v>253</v>
      </c>
      <c r="O29" s="181" t="str">
        <f t="shared" si="3"/>
        <v>--</v>
      </c>
      <c r="P29" s="447">
        <f t="shared" si="4"/>
        <v>200</v>
      </c>
      <c r="Q29" s="448">
        <f t="shared" si="5"/>
        <v>25770.600000000006</v>
      </c>
      <c r="R29" s="436" t="str">
        <f t="shared" si="6"/>
        <v>--</v>
      </c>
      <c r="S29" s="437" t="str">
        <f t="shared" si="7"/>
        <v>--</v>
      </c>
      <c r="T29" s="438" t="str">
        <f t="shared" si="8"/>
        <v>--</v>
      </c>
      <c r="U29" s="181" t="s">
        <v>77</v>
      </c>
      <c r="V29" s="449">
        <v>0</v>
      </c>
      <c r="W29" s="60"/>
    </row>
    <row r="30" spans="2:23" s="8" customFormat="1" ht="16.5" customHeight="1">
      <c r="B30" s="55"/>
      <c r="C30" s="151">
        <v>42</v>
      </c>
      <c r="D30" s="151">
        <v>245344</v>
      </c>
      <c r="E30" s="170">
        <v>143</v>
      </c>
      <c r="F30" s="683" t="s">
        <v>271</v>
      </c>
      <c r="G30" s="683" t="s">
        <v>314</v>
      </c>
      <c r="H30" s="684">
        <v>132</v>
      </c>
      <c r="I30" s="442">
        <f t="shared" si="0"/>
        <v>103.083</v>
      </c>
      <c r="J30" s="443">
        <v>40978.35625</v>
      </c>
      <c r="K30" s="444">
        <v>40978.59444444445</v>
      </c>
      <c r="L30" s="445">
        <f t="shared" si="1"/>
        <v>5.716666666790843</v>
      </c>
      <c r="M30" s="446">
        <f t="shared" si="2"/>
        <v>343</v>
      </c>
      <c r="N30" s="179" t="s">
        <v>253</v>
      </c>
      <c r="O30" s="181" t="str">
        <f t="shared" si="3"/>
        <v>--</v>
      </c>
      <c r="P30" s="447">
        <f t="shared" si="4"/>
        <v>40</v>
      </c>
      <c r="Q30" s="448">
        <f t="shared" si="5"/>
        <v>2358.5390399999997</v>
      </c>
      <c r="R30" s="436" t="str">
        <f t="shared" si="6"/>
        <v>--</v>
      </c>
      <c r="S30" s="437" t="str">
        <f t="shared" si="7"/>
        <v>--</v>
      </c>
      <c r="T30" s="438" t="str">
        <f t="shared" si="8"/>
        <v>--</v>
      </c>
      <c r="U30" s="181" t="s">
        <v>77</v>
      </c>
      <c r="V30" s="449">
        <v>0</v>
      </c>
      <c r="W30" s="60"/>
    </row>
    <row r="31" spans="2:23" s="8" customFormat="1" ht="16.5" customHeight="1">
      <c r="B31" s="55"/>
      <c r="C31" s="151">
        <v>43</v>
      </c>
      <c r="D31" s="151">
        <v>245346</v>
      </c>
      <c r="E31" s="170">
        <v>102</v>
      </c>
      <c r="F31" s="683" t="s">
        <v>315</v>
      </c>
      <c r="G31" s="683" t="s">
        <v>316</v>
      </c>
      <c r="H31" s="684">
        <v>500</v>
      </c>
      <c r="I31" s="442">
        <f t="shared" si="0"/>
        <v>128.853</v>
      </c>
      <c r="J31" s="443">
        <v>40979.325</v>
      </c>
      <c r="K31" s="444">
        <v>40979.74166666667</v>
      </c>
      <c r="L31" s="445">
        <f t="shared" si="1"/>
        <v>10.000000000116415</v>
      </c>
      <c r="M31" s="446">
        <f t="shared" si="2"/>
        <v>600</v>
      </c>
      <c r="N31" s="179" t="s">
        <v>253</v>
      </c>
      <c r="O31" s="181" t="str">
        <f t="shared" si="3"/>
        <v>--</v>
      </c>
      <c r="P31" s="447">
        <f t="shared" si="4"/>
        <v>200</v>
      </c>
      <c r="Q31" s="448">
        <f t="shared" si="5"/>
        <v>25770.600000000006</v>
      </c>
      <c r="R31" s="436" t="str">
        <f t="shared" si="6"/>
        <v>--</v>
      </c>
      <c r="S31" s="437" t="str">
        <f t="shared" si="7"/>
        <v>--</v>
      </c>
      <c r="T31" s="438" t="str">
        <f t="shared" si="8"/>
        <v>--</v>
      </c>
      <c r="U31" s="181" t="s">
        <v>77</v>
      </c>
      <c r="V31" s="449">
        <v>0</v>
      </c>
      <c r="W31" s="60"/>
    </row>
    <row r="32" spans="2:23" s="8" customFormat="1" ht="16.5" customHeight="1">
      <c r="B32" s="55"/>
      <c r="C32" s="151">
        <v>44</v>
      </c>
      <c r="D32" s="151">
        <v>245640</v>
      </c>
      <c r="E32" s="151">
        <v>89</v>
      </c>
      <c r="F32" s="683" t="s">
        <v>266</v>
      </c>
      <c r="G32" s="683" t="s">
        <v>277</v>
      </c>
      <c r="H32" s="684">
        <v>500</v>
      </c>
      <c r="I32" s="442">
        <f t="shared" si="0"/>
        <v>128.853</v>
      </c>
      <c r="J32" s="443">
        <v>40981.410416666666</v>
      </c>
      <c r="K32" s="444">
        <v>40990.73055555556</v>
      </c>
      <c r="L32" s="445">
        <f t="shared" si="1"/>
        <v>223.68333333340706</v>
      </c>
      <c r="M32" s="446">
        <f t="shared" si="2"/>
        <v>13421</v>
      </c>
      <c r="N32" s="179" t="s">
        <v>253</v>
      </c>
      <c r="O32" s="181" t="str">
        <f t="shared" si="3"/>
        <v>--</v>
      </c>
      <c r="P32" s="447">
        <f t="shared" si="4"/>
        <v>200</v>
      </c>
      <c r="Q32" s="448">
        <f t="shared" si="5"/>
        <v>576436.7808000002</v>
      </c>
      <c r="R32" s="436" t="str">
        <f t="shared" si="6"/>
        <v>--</v>
      </c>
      <c r="S32" s="437" t="str">
        <f t="shared" si="7"/>
        <v>--</v>
      </c>
      <c r="T32" s="438" t="str">
        <f t="shared" si="8"/>
        <v>--</v>
      </c>
      <c r="U32" s="181" t="s">
        <v>77</v>
      </c>
      <c r="V32" s="449">
        <f t="shared" si="9"/>
        <v>576436.7808000002</v>
      </c>
      <c r="W32" s="60"/>
    </row>
    <row r="33" spans="2:23" s="8" customFormat="1" ht="16.5" customHeight="1">
      <c r="B33" s="55"/>
      <c r="C33" s="151">
        <v>45</v>
      </c>
      <c r="D33" s="151">
        <v>245653</v>
      </c>
      <c r="E33" s="170">
        <v>4667</v>
      </c>
      <c r="F33" s="683" t="s">
        <v>273</v>
      </c>
      <c r="G33" s="683" t="s">
        <v>278</v>
      </c>
      <c r="H33" s="684">
        <v>132</v>
      </c>
      <c r="I33" s="442">
        <f t="shared" si="0"/>
        <v>103.083</v>
      </c>
      <c r="J33" s="443">
        <v>40984.350694444445</v>
      </c>
      <c r="K33" s="444">
        <v>40984.43263888889</v>
      </c>
      <c r="L33" s="445">
        <f t="shared" si="1"/>
        <v>1.96666666661622</v>
      </c>
      <c r="M33" s="446">
        <f t="shared" si="2"/>
        <v>118</v>
      </c>
      <c r="N33" s="179" t="s">
        <v>253</v>
      </c>
      <c r="O33" s="181" t="str">
        <f t="shared" si="3"/>
        <v>--</v>
      </c>
      <c r="P33" s="447">
        <f t="shared" si="4"/>
        <v>40</v>
      </c>
      <c r="Q33" s="448">
        <f t="shared" si="5"/>
        <v>812.29404</v>
      </c>
      <c r="R33" s="436" t="str">
        <f t="shared" si="6"/>
        <v>--</v>
      </c>
      <c r="S33" s="437" t="str">
        <f t="shared" si="7"/>
        <v>--</v>
      </c>
      <c r="T33" s="438" t="str">
        <f t="shared" si="8"/>
        <v>--</v>
      </c>
      <c r="U33" s="181" t="s">
        <v>77</v>
      </c>
      <c r="V33" s="449">
        <v>0</v>
      </c>
      <c r="W33" s="60"/>
    </row>
    <row r="34" spans="2:23" s="8" customFormat="1" ht="16.5" customHeight="1">
      <c r="B34" s="55"/>
      <c r="C34" s="151">
        <v>46</v>
      </c>
      <c r="D34" s="151">
        <v>245862</v>
      </c>
      <c r="E34" s="170">
        <v>123</v>
      </c>
      <c r="F34" s="683" t="s">
        <v>282</v>
      </c>
      <c r="G34" s="683" t="s">
        <v>317</v>
      </c>
      <c r="H34" s="684">
        <v>500</v>
      </c>
      <c r="I34" s="442">
        <f t="shared" si="0"/>
        <v>128.853</v>
      </c>
      <c r="J34" s="443">
        <v>40991.38402777778</v>
      </c>
      <c r="K34" s="444">
        <v>40991.45486111111</v>
      </c>
      <c r="L34" s="445">
        <f t="shared" si="1"/>
        <v>1.6999999999534339</v>
      </c>
      <c r="M34" s="446">
        <f t="shared" si="2"/>
        <v>102</v>
      </c>
      <c r="N34" s="179" t="s">
        <v>253</v>
      </c>
      <c r="O34" s="181" t="str">
        <f t="shared" si="3"/>
        <v>--</v>
      </c>
      <c r="P34" s="447">
        <f t="shared" si="4"/>
        <v>200</v>
      </c>
      <c r="Q34" s="448">
        <f t="shared" si="5"/>
        <v>4381.002</v>
      </c>
      <c r="R34" s="436" t="str">
        <f t="shared" si="6"/>
        <v>--</v>
      </c>
      <c r="S34" s="437" t="str">
        <f t="shared" si="7"/>
        <v>--</v>
      </c>
      <c r="T34" s="438" t="str">
        <f t="shared" si="8"/>
        <v>--</v>
      </c>
      <c r="U34" s="181" t="s">
        <v>77</v>
      </c>
      <c r="V34" s="449">
        <v>0</v>
      </c>
      <c r="W34" s="60"/>
    </row>
    <row r="35" spans="2:23" s="8" customFormat="1" ht="16.5" customHeight="1">
      <c r="B35" s="55"/>
      <c r="C35" s="151">
        <v>47</v>
      </c>
      <c r="D35" s="151">
        <v>245863</v>
      </c>
      <c r="E35" s="151">
        <v>146</v>
      </c>
      <c r="F35" s="683" t="s">
        <v>271</v>
      </c>
      <c r="G35" s="683" t="s">
        <v>279</v>
      </c>
      <c r="H35" s="684">
        <v>132</v>
      </c>
      <c r="I35" s="442">
        <f t="shared" si="0"/>
        <v>103.083</v>
      </c>
      <c r="J35" s="443">
        <v>40992.29375</v>
      </c>
      <c r="K35" s="444">
        <v>40992.43472222222</v>
      </c>
      <c r="L35" s="445">
        <f t="shared" si="1"/>
        <v>3.383333333360497</v>
      </c>
      <c r="M35" s="446">
        <f t="shared" si="2"/>
        <v>203</v>
      </c>
      <c r="N35" s="179" t="s">
        <v>253</v>
      </c>
      <c r="O35" s="181" t="str">
        <f t="shared" si="3"/>
        <v>--</v>
      </c>
      <c r="P35" s="447">
        <f t="shared" si="4"/>
        <v>40</v>
      </c>
      <c r="Q35" s="448">
        <f t="shared" si="5"/>
        <v>1393.68216</v>
      </c>
      <c r="R35" s="436" t="str">
        <f t="shared" si="6"/>
        <v>--</v>
      </c>
      <c r="S35" s="437" t="str">
        <f t="shared" si="7"/>
        <v>--</v>
      </c>
      <c r="T35" s="438" t="str">
        <f t="shared" si="8"/>
        <v>--</v>
      </c>
      <c r="U35" s="181" t="s">
        <v>77</v>
      </c>
      <c r="V35" s="449">
        <f t="shared" si="9"/>
        <v>1393.68216</v>
      </c>
      <c r="W35" s="60"/>
    </row>
    <row r="36" spans="2:23" s="8" customFormat="1" ht="16.5" customHeight="1">
      <c r="B36" s="55"/>
      <c r="C36" s="151">
        <v>48</v>
      </c>
      <c r="D36" s="151">
        <v>245864</v>
      </c>
      <c r="E36" s="170">
        <v>3522</v>
      </c>
      <c r="F36" s="683" t="s">
        <v>280</v>
      </c>
      <c r="G36" s="683" t="s">
        <v>281</v>
      </c>
      <c r="H36" s="684">
        <v>500</v>
      </c>
      <c r="I36" s="442">
        <f t="shared" si="0"/>
        <v>128.853</v>
      </c>
      <c r="J36" s="443">
        <v>40992.32916666667</v>
      </c>
      <c r="K36" s="444">
        <v>40992.760416666664</v>
      </c>
      <c r="L36" s="445">
        <f t="shared" si="1"/>
        <v>10.349999999860302</v>
      </c>
      <c r="M36" s="446">
        <f t="shared" si="2"/>
        <v>621</v>
      </c>
      <c r="N36" s="179" t="s">
        <v>253</v>
      </c>
      <c r="O36" s="181" t="str">
        <f t="shared" si="3"/>
        <v>--</v>
      </c>
      <c r="P36" s="447">
        <f t="shared" si="4"/>
        <v>200</v>
      </c>
      <c r="Q36" s="448">
        <f t="shared" si="5"/>
        <v>26672.571000000004</v>
      </c>
      <c r="R36" s="436" t="str">
        <f t="shared" si="6"/>
        <v>--</v>
      </c>
      <c r="S36" s="437" t="str">
        <f t="shared" si="7"/>
        <v>--</v>
      </c>
      <c r="T36" s="438" t="str">
        <f t="shared" si="8"/>
        <v>--</v>
      </c>
      <c r="U36" s="181" t="s">
        <v>77</v>
      </c>
      <c r="V36" s="449">
        <f t="shared" si="9"/>
        <v>26672.571000000004</v>
      </c>
      <c r="W36" s="60"/>
    </row>
    <row r="37" spans="2:23" s="8" customFormat="1" ht="16.5" customHeight="1">
      <c r="B37" s="55"/>
      <c r="C37" s="151">
        <v>49</v>
      </c>
      <c r="D37" s="151">
        <v>245869</v>
      </c>
      <c r="E37" s="170">
        <v>142</v>
      </c>
      <c r="F37" s="683" t="s">
        <v>271</v>
      </c>
      <c r="G37" s="683" t="s">
        <v>318</v>
      </c>
      <c r="H37" s="684">
        <v>132</v>
      </c>
      <c r="I37" s="442">
        <f t="shared" si="0"/>
        <v>103.083</v>
      </c>
      <c r="J37" s="443">
        <v>40993.27777777778</v>
      </c>
      <c r="K37" s="444">
        <v>40993.42013888889</v>
      </c>
      <c r="L37" s="445">
        <f t="shared" si="1"/>
        <v>3.4166666666278616</v>
      </c>
      <c r="M37" s="446">
        <f t="shared" si="2"/>
        <v>205</v>
      </c>
      <c r="N37" s="179" t="s">
        <v>253</v>
      </c>
      <c r="O37" s="181" t="str">
        <f t="shared" si="3"/>
        <v>--</v>
      </c>
      <c r="P37" s="447">
        <f t="shared" si="4"/>
        <v>40</v>
      </c>
      <c r="Q37" s="448">
        <f t="shared" si="5"/>
        <v>1410.17544</v>
      </c>
      <c r="R37" s="436" t="str">
        <f t="shared" si="6"/>
        <v>--</v>
      </c>
      <c r="S37" s="437" t="str">
        <f t="shared" si="7"/>
        <v>--</v>
      </c>
      <c r="T37" s="438" t="str">
        <f t="shared" si="8"/>
        <v>--</v>
      </c>
      <c r="U37" s="181" t="s">
        <v>77</v>
      </c>
      <c r="V37" s="449">
        <v>0</v>
      </c>
      <c r="W37" s="60"/>
    </row>
    <row r="38" spans="2:23" s="8" customFormat="1" ht="16.5" customHeight="1">
      <c r="B38" s="55"/>
      <c r="C38" s="151">
        <v>50</v>
      </c>
      <c r="D38" s="151">
        <v>245872</v>
      </c>
      <c r="E38" s="151">
        <v>3522</v>
      </c>
      <c r="F38" s="683" t="s">
        <v>280</v>
      </c>
      <c r="G38" s="683" t="s">
        <v>281</v>
      </c>
      <c r="H38" s="684">
        <v>500</v>
      </c>
      <c r="I38" s="442">
        <f t="shared" si="0"/>
        <v>128.853</v>
      </c>
      <c r="J38" s="443">
        <v>40993.32916666667</v>
      </c>
      <c r="K38" s="444">
        <v>40993.763194444444</v>
      </c>
      <c r="L38" s="445">
        <f t="shared" si="1"/>
        <v>10.416666666569654</v>
      </c>
      <c r="M38" s="446">
        <f t="shared" si="2"/>
        <v>625</v>
      </c>
      <c r="N38" s="179" t="s">
        <v>253</v>
      </c>
      <c r="O38" s="181" t="str">
        <f t="shared" si="3"/>
        <v>--</v>
      </c>
      <c r="P38" s="447">
        <f t="shared" si="4"/>
        <v>200</v>
      </c>
      <c r="Q38" s="448">
        <f t="shared" si="5"/>
        <v>26852.965200000002</v>
      </c>
      <c r="R38" s="436" t="str">
        <f t="shared" si="6"/>
        <v>--</v>
      </c>
      <c r="S38" s="437" t="str">
        <f t="shared" si="7"/>
        <v>--</v>
      </c>
      <c r="T38" s="438" t="str">
        <f t="shared" si="8"/>
        <v>--</v>
      </c>
      <c r="U38" s="181" t="s">
        <v>77</v>
      </c>
      <c r="V38" s="449">
        <f t="shared" si="9"/>
        <v>26852.965200000002</v>
      </c>
      <c r="W38" s="60"/>
    </row>
    <row r="39" spans="2:23" s="8" customFormat="1" ht="16.5" customHeight="1">
      <c r="B39" s="55"/>
      <c r="C39" s="151">
        <v>51</v>
      </c>
      <c r="D39" s="151">
        <v>246046</v>
      </c>
      <c r="E39" s="170">
        <v>142</v>
      </c>
      <c r="F39" s="683" t="s">
        <v>271</v>
      </c>
      <c r="G39" s="683" t="s">
        <v>272</v>
      </c>
      <c r="H39" s="684">
        <v>132</v>
      </c>
      <c r="I39" s="442">
        <f t="shared" si="0"/>
        <v>103.083</v>
      </c>
      <c r="J39" s="443">
        <v>40994.2875</v>
      </c>
      <c r="K39" s="444">
        <v>40994.52777777778</v>
      </c>
      <c r="L39" s="445">
        <f t="shared" si="1"/>
        <v>5.7666666667792015</v>
      </c>
      <c r="M39" s="446">
        <f t="shared" si="2"/>
        <v>346</v>
      </c>
      <c r="N39" s="179" t="s">
        <v>253</v>
      </c>
      <c r="O39" s="181" t="str">
        <f t="shared" si="3"/>
        <v>--</v>
      </c>
      <c r="P39" s="447">
        <f t="shared" si="4"/>
        <v>40</v>
      </c>
      <c r="Q39" s="448">
        <f t="shared" si="5"/>
        <v>2379.15564</v>
      </c>
      <c r="R39" s="436" t="str">
        <f t="shared" si="6"/>
        <v>--</v>
      </c>
      <c r="S39" s="437" t="str">
        <f t="shared" si="7"/>
        <v>--</v>
      </c>
      <c r="T39" s="438" t="str">
        <f t="shared" si="8"/>
        <v>--</v>
      </c>
      <c r="U39" s="181" t="s">
        <v>77</v>
      </c>
      <c r="V39" s="449">
        <f t="shared" si="9"/>
        <v>2379.15564</v>
      </c>
      <c r="W39" s="60"/>
    </row>
    <row r="40" spans="2:23" s="8" customFormat="1" ht="16.5" customHeight="1">
      <c r="B40" s="55"/>
      <c r="C40" s="151">
        <v>52</v>
      </c>
      <c r="D40" s="151">
        <v>246047</v>
      </c>
      <c r="E40" s="151">
        <v>124</v>
      </c>
      <c r="F40" s="683" t="s">
        <v>282</v>
      </c>
      <c r="G40" s="683" t="s">
        <v>283</v>
      </c>
      <c r="H40" s="684">
        <v>500</v>
      </c>
      <c r="I40" s="442">
        <f t="shared" si="0"/>
        <v>128.853</v>
      </c>
      <c r="J40" s="443">
        <v>40994.364583333336</v>
      </c>
      <c r="K40" s="444">
        <v>40994.78125</v>
      </c>
      <c r="L40" s="445">
        <f t="shared" si="1"/>
        <v>9.999999999941792</v>
      </c>
      <c r="M40" s="446">
        <f t="shared" si="2"/>
        <v>600</v>
      </c>
      <c r="N40" s="179" t="s">
        <v>253</v>
      </c>
      <c r="O40" s="181" t="str">
        <f t="shared" si="3"/>
        <v>--</v>
      </c>
      <c r="P40" s="447">
        <f t="shared" si="4"/>
        <v>200</v>
      </c>
      <c r="Q40" s="448">
        <f t="shared" si="5"/>
        <v>25770.600000000006</v>
      </c>
      <c r="R40" s="436" t="str">
        <f t="shared" si="6"/>
        <v>--</v>
      </c>
      <c r="S40" s="437" t="str">
        <f t="shared" si="7"/>
        <v>--</v>
      </c>
      <c r="T40" s="438" t="str">
        <f t="shared" si="8"/>
        <v>--</v>
      </c>
      <c r="U40" s="181" t="s">
        <v>77</v>
      </c>
      <c r="V40" s="449">
        <v>0</v>
      </c>
      <c r="W40" s="60"/>
    </row>
    <row r="41" spans="2:23" s="8" customFormat="1" ht="16.5" customHeight="1">
      <c r="B41" s="55"/>
      <c r="C41" s="151">
        <v>53</v>
      </c>
      <c r="D41" s="151">
        <v>246049</v>
      </c>
      <c r="E41" s="170">
        <v>142</v>
      </c>
      <c r="F41" s="683" t="s">
        <v>271</v>
      </c>
      <c r="G41" s="683" t="s">
        <v>272</v>
      </c>
      <c r="H41" s="684">
        <v>132</v>
      </c>
      <c r="I41" s="442">
        <f t="shared" si="0"/>
        <v>103.083</v>
      </c>
      <c r="J41" s="443">
        <v>40995.291666666664</v>
      </c>
      <c r="K41" s="444">
        <v>40995.53958333333</v>
      </c>
      <c r="L41" s="445">
        <f t="shared" si="1"/>
        <v>5.9500000000116415</v>
      </c>
      <c r="M41" s="446">
        <f t="shared" si="2"/>
        <v>357</v>
      </c>
      <c r="N41" s="179" t="s">
        <v>253</v>
      </c>
      <c r="O41" s="181" t="str">
        <f t="shared" si="3"/>
        <v>--</v>
      </c>
      <c r="P41" s="447">
        <f t="shared" si="4"/>
        <v>40</v>
      </c>
      <c r="Q41" s="448">
        <f t="shared" si="5"/>
        <v>2453.3754000000004</v>
      </c>
      <c r="R41" s="436" t="str">
        <f t="shared" si="6"/>
        <v>--</v>
      </c>
      <c r="S41" s="437" t="str">
        <f t="shared" si="7"/>
        <v>--</v>
      </c>
      <c r="T41" s="438" t="str">
        <f t="shared" si="8"/>
        <v>--</v>
      </c>
      <c r="U41" s="181" t="s">
        <v>77</v>
      </c>
      <c r="V41" s="449">
        <f t="shared" si="9"/>
        <v>2453.3754000000004</v>
      </c>
      <c r="W41" s="60"/>
    </row>
    <row r="42" spans="2:23" s="8" customFormat="1" ht="16.5" customHeight="1">
      <c r="B42" s="55"/>
      <c r="C42" s="151">
        <v>54</v>
      </c>
      <c r="D42" s="151">
        <v>246052</v>
      </c>
      <c r="E42" s="151">
        <v>136</v>
      </c>
      <c r="F42" s="683" t="s">
        <v>273</v>
      </c>
      <c r="G42" s="683" t="s">
        <v>284</v>
      </c>
      <c r="H42" s="684">
        <v>132</v>
      </c>
      <c r="I42" s="442">
        <f t="shared" si="0"/>
        <v>103.083</v>
      </c>
      <c r="J42" s="443">
        <v>40995.381944444445</v>
      </c>
      <c r="K42" s="444">
        <v>40995.683333333334</v>
      </c>
      <c r="L42" s="445">
        <f t="shared" si="1"/>
        <v>7.233333333337214</v>
      </c>
      <c r="M42" s="446">
        <f t="shared" si="2"/>
        <v>434</v>
      </c>
      <c r="N42" s="179" t="s">
        <v>253</v>
      </c>
      <c r="O42" s="181" t="str">
        <f t="shared" si="3"/>
        <v>--</v>
      </c>
      <c r="P42" s="447">
        <f t="shared" si="4"/>
        <v>40</v>
      </c>
      <c r="Q42" s="448">
        <f t="shared" si="5"/>
        <v>2981.16036</v>
      </c>
      <c r="R42" s="436" t="str">
        <f t="shared" si="6"/>
        <v>--</v>
      </c>
      <c r="S42" s="437" t="str">
        <f t="shared" si="7"/>
        <v>--</v>
      </c>
      <c r="T42" s="438" t="str">
        <f t="shared" si="8"/>
        <v>--</v>
      </c>
      <c r="U42" s="181" t="s">
        <v>77</v>
      </c>
      <c r="V42" s="449">
        <f t="shared" si="9"/>
        <v>2981.16036</v>
      </c>
      <c r="W42" s="60"/>
    </row>
    <row r="43" spans="2:23" s="8" customFormat="1" ht="16.5" customHeight="1">
      <c r="B43" s="55"/>
      <c r="C43" s="151">
        <v>55</v>
      </c>
      <c r="D43" s="151">
        <v>246053</v>
      </c>
      <c r="E43" s="170">
        <v>1695</v>
      </c>
      <c r="F43" s="683" t="s">
        <v>285</v>
      </c>
      <c r="G43" s="683" t="s">
        <v>286</v>
      </c>
      <c r="H43" s="684">
        <v>220</v>
      </c>
      <c r="I43" s="442">
        <f t="shared" si="0"/>
        <v>115.951</v>
      </c>
      <c r="J43" s="443">
        <v>40995.40347222222</v>
      </c>
      <c r="K43" s="444">
        <v>40995.65833333333</v>
      </c>
      <c r="L43" s="445">
        <f t="shared" si="1"/>
        <v>6.116666666697711</v>
      </c>
      <c r="M43" s="446">
        <f t="shared" si="2"/>
        <v>367</v>
      </c>
      <c r="N43" s="179" t="s">
        <v>253</v>
      </c>
      <c r="O43" s="181" t="str">
        <f t="shared" si="3"/>
        <v>--</v>
      </c>
      <c r="P43" s="447">
        <f t="shared" si="4"/>
        <v>100</v>
      </c>
      <c r="Q43" s="448">
        <f t="shared" si="5"/>
        <v>7096.2011999999995</v>
      </c>
      <c r="R43" s="436" t="str">
        <f t="shared" si="6"/>
        <v>--</v>
      </c>
      <c r="S43" s="437" t="str">
        <f t="shared" si="7"/>
        <v>--</v>
      </c>
      <c r="T43" s="438" t="str">
        <f t="shared" si="8"/>
        <v>--</v>
      </c>
      <c r="U43" s="181" t="s">
        <v>77</v>
      </c>
      <c r="V43" s="449">
        <v>0</v>
      </c>
      <c r="W43" s="60"/>
    </row>
    <row r="44" spans="2:23" s="8" customFormat="1" ht="16.5" customHeight="1" thickBot="1">
      <c r="B44" s="55"/>
      <c r="C44" s="205"/>
      <c r="D44" s="205"/>
      <c r="E44" s="205"/>
      <c r="F44" s="205"/>
      <c r="G44" s="205"/>
      <c r="H44" s="205"/>
      <c r="I44" s="361"/>
      <c r="J44" s="450"/>
      <c r="K44" s="450"/>
      <c r="L44" s="451"/>
      <c r="M44" s="451"/>
      <c r="N44" s="450"/>
      <c r="O44" s="212"/>
      <c r="P44" s="452"/>
      <c r="Q44" s="453"/>
      <c r="R44" s="454"/>
      <c r="S44" s="455"/>
      <c r="T44" s="456"/>
      <c r="U44" s="212"/>
      <c r="V44" s="457"/>
      <c r="W44" s="60"/>
    </row>
    <row r="45" spans="2:23" s="8" customFormat="1" ht="16.5" customHeight="1" thickBot="1" thickTop="1">
      <c r="B45" s="55"/>
      <c r="C45" s="625" t="s">
        <v>324</v>
      </c>
      <c r="D45" s="626" t="s">
        <v>525</v>
      </c>
      <c r="E45" s="226"/>
      <c r="F45" s="227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58">
        <f>SUM(Q22:Q44)</f>
        <v>1286081.8942800006</v>
      </c>
      <c r="R45" s="459">
        <f>SUM(R22:R44)</f>
        <v>4123.32</v>
      </c>
      <c r="S45" s="460">
        <f>SUM(S22:S44)</f>
        <v>15586.149599999999</v>
      </c>
      <c r="T45" s="461">
        <f>SUM(T22:T44)</f>
        <v>0</v>
      </c>
      <c r="U45" s="462"/>
      <c r="V45" s="463">
        <f>ROUND(SUM(V22:V44),2)</f>
        <v>1210318.46</v>
      </c>
      <c r="W45" s="60"/>
    </row>
    <row r="46" spans="2:23" s="8" customFormat="1" ht="16.5" customHeight="1" thickBot="1" thickTop="1"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3"/>
    </row>
    <row r="47" spans="23:25" ht="16.5" customHeight="1" thickTop="1">
      <c r="W47" s="392"/>
      <c r="X47" s="392"/>
      <c r="Y47" s="392"/>
    </row>
    <row r="48" spans="23:25" ht="16.5" customHeight="1">
      <c r="W48" s="392"/>
      <c r="X48" s="392"/>
      <c r="Y48" s="392"/>
    </row>
    <row r="49" spans="23:25" ht="16.5" customHeight="1">
      <c r="W49" s="392"/>
      <c r="X49" s="392"/>
      <c r="Y49" s="392"/>
    </row>
    <row r="50" spans="23:25" ht="16.5" customHeight="1">
      <c r="W50" s="392"/>
      <c r="X50" s="392"/>
      <c r="Y50" s="392"/>
    </row>
    <row r="51" spans="23:25" ht="16.5" customHeight="1">
      <c r="W51" s="392"/>
      <c r="X51" s="392"/>
      <c r="Y51" s="392"/>
    </row>
    <row r="52" spans="6:25" ht="16.5" customHeight="1"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</row>
    <row r="53" spans="6:25" ht="16.5" customHeight="1"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</row>
    <row r="54" spans="6:25" ht="16.5" customHeight="1"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</row>
    <row r="55" spans="6:25" ht="16.5" customHeight="1"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</row>
    <row r="56" spans="6:25" ht="16.5" customHeight="1"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</row>
    <row r="57" spans="6:25" ht="16.5" customHeight="1"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</row>
    <row r="58" spans="6:25" ht="16.5" customHeight="1"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</row>
    <row r="59" spans="6:25" ht="16.5" customHeight="1"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</row>
    <row r="60" spans="6:25" ht="16.5" customHeight="1"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</row>
    <row r="61" spans="6:25" ht="16.5" customHeight="1"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</row>
    <row r="62" spans="6:25" ht="16.5" customHeight="1"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</row>
    <row r="63" spans="6:25" ht="16.5" customHeight="1"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</row>
    <row r="64" spans="6:25" ht="16.5" customHeight="1"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</row>
    <row r="65" spans="6:25" ht="16.5" customHeight="1"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</row>
    <row r="66" spans="6:25" ht="16.5" customHeight="1"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</row>
    <row r="67" spans="6:25" ht="16.5" customHeight="1"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</row>
    <row r="68" spans="6:25" ht="16.5" customHeight="1"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</row>
    <row r="69" spans="6:25" ht="16.5" customHeight="1"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</row>
    <row r="70" spans="6:25" ht="16.5" customHeight="1"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</row>
    <row r="71" spans="6:25" ht="16.5" customHeight="1"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</row>
    <row r="72" spans="6:25" ht="16.5" customHeight="1"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</row>
    <row r="73" spans="6:25" ht="16.5" customHeight="1"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</row>
    <row r="74" spans="6:25" ht="16.5" customHeight="1"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</row>
    <row r="75" spans="6:25" ht="16.5" customHeight="1"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</row>
    <row r="76" spans="6:25" ht="16.5" customHeight="1"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</row>
    <row r="77" spans="6:25" ht="16.5" customHeight="1"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</row>
    <row r="78" spans="6:25" ht="16.5" customHeight="1"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</row>
    <row r="79" spans="6:25" ht="16.5" customHeight="1"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</row>
    <row r="80" spans="6:25" ht="16.5" customHeight="1"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</row>
    <row r="81" spans="6:25" ht="16.5" customHeight="1"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</row>
    <row r="82" spans="6:25" ht="16.5" customHeight="1"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</row>
    <row r="83" spans="6:25" ht="16.5" customHeight="1"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</row>
    <row r="84" spans="6:25" ht="16.5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</row>
    <row r="85" spans="6:25" ht="16.5" customHeight="1"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</row>
    <row r="86" spans="6:25" ht="16.5" customHeight="1"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</row>
    <row r="87" spans="6:25" ht="16.5" customHeight="1"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</row>
    <row r="88" spans="6:25" ht="16.5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</row>
    <row r="89" spans="6:25" ht="16.5" customHeight="1"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</row>
    <row r="90" spans="6:25" ht="16.5" customHeight="1"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</row>
    <row r="91" spans="6:25" ht="16.5" customHeight="1"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</row>
    <row r="92" spans="6:25" ht="16.5" customHeight="1"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</row>
    <row r="93" spans="6:25" ht="16.5" customHeight="1"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</row>
    <row r="94" spans="6:25" ht="16.5" customHeight="1"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</row>
    <row r="95" spans="6:25" ht="16.5" customHeight="1"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</row>
    <row r="96" spans="6:25" ht="16.5" customHeight="1"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</row>
    <row r="97" spans="6:25" ht="16.5" customHeight="1"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</row>
    <row r="98" spans="6:25" ht="16.5" customHeight="1"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</row>
    <row r="99" spans="6:25" ht="16.5" customHeight="1"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</row>
    <row r="100" spans="6:25" ht="16.5" customHeight="1"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</row>
    <row r="101" spans="6:25" ht="16.5" customHeight="1"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</row>
    <row r="102" spans="6:25" ht="16.5" customHeight="1"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</row>
    <row r="103" spans="6:25" ht="16.5" customHeight="1"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</row>
    <row r="104" spans="6:25" ht="16.5" customHeight="1"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</row>
    <row r="105" spans="6:25" ht="16.5" customHeight="1"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</row>
    <row r="106" spans="6:25" ht="16.5" customHeight="1"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</row>
    <row r="107" spans="6:25" ht="16.5" customHeight="1"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</row>
    <row r="108" spans="6:25" ht="16.5" customHeight="1"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</row>
    <row r="109" spans="6:25" ht="16.5" customHeight="1"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</row>
    <row r="110" spans="6:25" ht="16.5" customHeight="1"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</row>
    <row r="111" spans="6:25" ht="16.5" customHeight="1"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</row>
    <row r="112" spans="6:25" ht="16.5" customHeight="1"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</row>
    <row r="113" spans="6:25" ht="16.5" customHeight="1"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</row>
    <row r="114" spans="6:25" ht="16.5" customHeight="1"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</row>
    <row r="115" spans="6:25" ht="16.5" customHeight="1"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</row>
    <row r="116" spans="6:25" ht="16.5" customHeight="1"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</row>
    <row r="117" spans="6:25" ht="16.5" customHeight="1"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</row>
    <row r="118" spans="6:25" ht="16.5" customHeight="1"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</row>
    <row r="119" spans="6:25" ht="16.5" customHeight="1"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</row>
    <row r="120" spans="6:25" ht="16.5" customHeight="1"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</row>
    <row r="121" spans="6:25" ht="16.5" customHeight="1"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</row>
    <row r="122" spans="6:25" ht="16.5" customHeight="1"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</row>
    <row r="123" spans="6:25" ht="16.5" customHeight="1"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</row>
    <row r="124" spans="6:25" ht="16.5" customHeight="1"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</row>
    <row r="125" spans="6:25" ht="16.5" customHeight="1"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</row>
    <row r="126" spans="6:25" ht="16.5" customHeight="1"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</row>
    <row r="127" spans="6:25" ht="16.5" customHeight="1"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</row>
    <row r="128" spans="6:25" ht="16.5" customHeight="1"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</row>
    <row r="129" spans="6:25" ht="16.5" customHeight="1"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</row>
    <row r="130" spans="6:25" ht="16.5" customHeight="1"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</row>
    <row r="131" spans="6:25" ht="16.5" customHeight="1"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</row>
    <row r="132" spans="6:25" ht="16.5" customHeight="1"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</row>
    <row r="133" spans="6:25" ht="16.5" customHeight="1"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</row>
    <row r="134" spans="6:25" ht="16.5" customHeight="1"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</row>
    <row r="135" spans="6:25" ht="16.5" customHeight="1"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</row>
    <row r="136" spans="6:25" ht="16.5" customHeight="1"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</row>
    <row r="137" spans="6:25" ht="16.5" customHeight="1"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</row>
    <row r="138" spans="6:25" ht="16.5" customHeight="1"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</row>
    <row r="139" spans="6:25" ht="16.5" customHeight="1"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</row>
    <row r="140" spans="6:25" ht="16.5" customHeight="1"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</row>
    <row r="141" spans="6:25" ht="16.5" customHeight="1"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</row>
    <row r="142" spans="6:25" ht="16.5" customHeight="1"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</row>
    <row r="143" spans="6:25" ht="16.5" customHeight="1"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</row>
    <row r="144" spans="6:25" ht="16.5" customHeight="1"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</row>
    <row r="145" spans="6:25" ht="16.5" customHeight="1"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</row>
    <row r="146" spans="6:25" ht="16.5" customHeight="1"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</row>
    <row r="147" spans="6:25" ht="16.5" customHeight="1"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</row>
    <row r="148" spans="6:25" ht="16.5" customHeight="1"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</row>
    <row r="149" spans="6:25" ht="16.5" customHeight="1"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</row>
    <row r="150" spans="6:25" ht="16.5" customHeight="1"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</row>
    <row r="151" spans="6:25" ht="16.5" customHeight="1"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</row>
    <row r="152" spans="6:25" ht="16.5" customHeight="1">
      <c r="F152" s="392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392"/>
      <c r="V152" s="392"/>
      <c r="W152" s="392"/>
      <c r="X152" s="392"/>
      <c r="Y152" s="392"/>
    </row>
    <row r="153" spans="6:25" ht="16.5" customHeight="1"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</row>
    <row r="154" spans="6:25" ht="16.5" customHeight="1"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</row>
    <row r="155" spans="6:25" ht="16.5" customHeight="1"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</row>
    <row r="156" spans="6:25" ht="16.5" customHeight="1"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</row>
    <row r="157" spans="6:25" ht="16.5" customHeight="1">
      <c r="F157" s="392"/>
      <c r="G157" s="392"/>
      <c r="H157" s="392"/>
      <c r="I157" s="392"/>
      <c r="J157" s="392"/>
      <c r="K157" s="392"/>
      <c r="L157" s="392"/>
      <c r="M157" s="392"/>
      <c r="N157" s="392"/>
      <c r="O157" s="392"/>
      <c r="P157" s="392"/>
      <c r="Q157" s="392"/>
      <c r="R157" s="392"/>
      <c r="S157" s="392"/>
      <c r="T157" s="392"/>
      <c r="U157" s="392"/>
      <c r="V157" s="392"/>
      <c r="W157" s="392"/>
      <c r="X157" s="392"/>
      <c r="Y157" s="392"/>
    </row>
    <row r="158" spans="6:25" ht="16.5" customHeight="1">
      <c r="F158" s="392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</row>
    <row r="159" spans="6:25" ht="16.5" customHeight="1">
      <c r="F159" s="392"/>
      <c r="G159" s="392"/>
      <c r="H159" s="392"/>
      <c r="I159" s="392"/>
      <c r="J159" s="392"/>
      <c r="K159" s="392"/>
      <c r="L159" s="392"/>
      <c r="M159" s="392"/>
      <c r="N159" s="392"/>
      <c r="O159" s="392"/>
      <c r="P159" s="392"/>
      <c r="Q159" s="392"/>
      <c r="R159" s="392"/>
      <c r="S159" s="392"/>
      <c r="T159" s="392"/>
      <c r="U159" s="392"/>
      <c r="V159" s="392"/>
      <c r="W159" s="392"/>
      <c r="X159" s="392"/>
      <c r="Y159" s="392"/>
    </row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Roman,Normal"&amp;8&amp;F-&amp;A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zoomScalePageLayoutView="0" workbookViewId="0" topLeftCell="A1">
      <selection activeCell="N47" sqref="N47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6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5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+'TOT-0312'!B2</f>
        <v>ANEXO IV al Memorándum D.T.E.E.  N° 783/ 2013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395"/>
    </row>
    <row r="8" spans="2:23" s="18" customFormat="1" ht="20.25">
      <c r="B8" s="96"/>
      <c r="C8" s="23"/>
      <c r="D8" s="23"/>
      <c r="E8" s="23"/>
      <c r="F8" s="396" t="s">
        <v>27</v>
      </c>
      <c r="N8" s="262"/>
      <c r="O8" s="262"/>
      <c r="P8" s="264"/>
      <c r="Q8" s="23"/>
      <c r="R8" s="23"/>
      <c r="S8" s="23"/>
      <c r="T8" s="23"/>
      <c r="U8" s="23"/>
      <c r="V8" s="23"/>
      <c r="W8" s="397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18" customFormat="1" ht="20.25">
      <c r="B10" s="96"/>
      <c r="C10" s="23"/>
      <c r="D10" s="23"/>
      <c r="E10" s="23"/>
      <c r="F10" s="398" t="s">
        <v>67</v>
      </c>
      <c r="G10" s="399"/>
      <c r="H10" s="262"/>
      <c r="I10" s="400"/>
      <c r="K10" s="400"/>
      <c r="L10" s="400"/>
      <c r="M10" s="400"/>
      <c r="N10" s="400"/>
      <c r="O10" s="400"/>
      <c r="P10" s="400"/>
      <c r="Q10" s="23"/>
      <c r="R10" s="23"/>
      <c r="S10" s="23"/>
      <c r="T10" s="23"/>
      <c r="U10" s="23"/>
      <c r="V10" s="23"/>
      <c r="W10" s="397"/>
    </row>
    <row r="11" spans="2:23" s="8" customFormat="1" ht="13.5">
      <c r="B11" s="55"/>
      <c r="C11" s="11"/>
      <c r="D11" s="11"/>
      <c r="E11" s="11"/>
      <c r="F11" s="401"/>
      <c r="G11" s="401"/>
      <c r="H11" s="90"/>
      <c r="I11" s="402"/>
      <c r="J11" s="67"/>
      <c r="K11" s="402"/>
      <c r="L11" s="402"/>
      <c r="M11" s="402"/>
      <c r="N11" s="402"/>
      <c r="O11" s="402"/>
      <c r="P11" s="402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6"/>
      <c r="C12" s="23"/>
      <c r="D12" s="23"/>
      <c r="E12" s="23"/>
      <c r="F12" s="398" t="s">
        <v>68</v>
      </c>
      <c r="G12" s="399"/>
      <c r="H12" s="262"/>
      <c r="I12" s="400"/>
      <c r="K12" s="400"/>
      <c r="L12" s="400"/>
      <c r="M12" s="400"/>
      <c r="N12" s="400"/>
      <c r="O12" s="400"/>
      <c r="P12" s="400"/>
      <c r="Q12" s="23"/>
      <c r="R12" s="23"/>
      <c r="S12" s="23"/>
      <c r="T12" s="23"/>
      <c r="U12" s="23"/>
      <c r="V12" s="23"/>
      <c r="W12" s="397"/>
    </row>
    <row r="13" spans="2:23" s="8" customFormat="1" ht="13.5">
      <c r="B13" s="55"/>
      <c r="C13" s="11"/>
      <c r="D13" s="11"/>
      <c r="E13" s="11"/>
      <c r="F13" s="401"/>
      <c r="G13" s="401"/>
      <c r="H13" s="90"/>
      <c r="I13" s="402"/>
      <c r="J13" s="67"/>
      <c r="K13" s="402"/>
      <c r="L13" s="402"/>
      <c r="M13" s="402"/>
      <c r="N13" s="402"/>
      <c r="O13" s="402"/>
      <c r="P13" s="402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'TOT-0312'!B14</f>
        <v>Desde el 01 al 31 de Marzo de 2012</v>
      </c>
      <c r="C14" s="39"/>
      <c r="D14" s="39"/>
      <c r="E14" s="39"/>
      <c r="F14" s="39"/>
      <c r="G14" s="39"/>
      <c r="H14" s="39"/>
      <c r="I14" s="403"/>
      <c r="J14" s="403"/>
      <c r="K14" s="403"/>
      <c r="L14" s="403"/>
      <c r="M14" s="403"/>
      <c r="N14" s="403"/>
      <c r="O14" s="403"/>
      <c r="P14" s="403"/>
      <c r="Q14" s="39"/>
      <c r="R14" s="39"/>
      <c r="S14" s="39"/>
      <c r="T14" s="39"/>
      <c r="U14" s="39"/>
      <c r="V14" s="39"/>
      <c r="W14" s="404"/>
    </row>
    <row r="15" spans="2:23" s="8" customFormat="1" ht="14.25" thickBot="1">
      <c r="B15" s="405"/>
      <c r="C15" s="406"/>
      <c r="D15" s="406"/>
      <c r="E15" s="406"/>
      <c r="F15" s="406"/>
      <c r="G15" s="406"/>
      <c r="H15" s="406"/>
      <c r="I15" s="407"/>
      <c r="J15" s="407"/>
      <c r="K15" s="407"/>
      <c r="L15" s="407"/>
      <c r="M15" s="407"/>
      <c r="N15" s="407"/>
      <c r="O15" s="407"/>
      <c r="P15" s="407"/>
      <c r="Q15" s="406"/>
      <c r="R15" s="406"/>
      <c r="S15" s="406"/>
      <c r="T15" s="406"/>
      <c r="U15" s="406"/>
      <c r="V15" s="406"/>
      <c r="W15" s="408"/>
    </row>
    <row r="16" spans="2:23" s="8" customFormat="1" ht="15" thickBot="1" thickTop="1">
      <c r="B16" s="55"/>
      <c r="C16" s="11"/>
      <c r="D16" s="11"/>
      <c r="E16" s="11"/>
      <c r="F16" s="409"/>
      <c r="G16" s="409"/>
      <c r="H16" s="410" t="s">
        <v>69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11" t="s">
        <v>70</v>
      </c>
      <c r="G17" s="412">
        <v>128.853</v>
      </c>
      <c r="H17" s="413">
        <v>200</v>
      </c>
      <c r="V17" s="110"/>
      <c r="W17" s="60"/>
    </row>
    <row r="18" spans="2:23" s="8" customFormat="1" ht="16.5" customHeight="1" thickBot="1" thickTop="1">
      <c r="B18" s="55"/>
      <c r="C18" s="11"/>
      <c r="D18" s="11"/>
      <c r="E18" s="11"/>
      <c r="F18" s="414" t="s">
        <v>71</v>
      </c>
      <c r="G18" s="415">
        <v>115.951</v>
      </c>
      <c r="H18" s="413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16" t="s">
        <v>72</v>
      </c>
      <c r="G19" s="415">
        <v>103.083</v>
      </c>
      <c r="H19" s="413">
        <v>40</v>
      </c>
      <c r="K19" s="108"/>
      <c r="L19" s="109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1">
        <v>3</v>
      </c>
      <c r="D20" s="111">
        <v>4</v>
      </c>
      <c r="E20" s="111">
        <v>5</v>
      </c>
      <c r="F20" s="111">
        <v>6</v>
      </c>
      <c r="G20" s="111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1">
        <v>16</v>
      </c>
      <c r="Q20" s="111">
        <v>17</v>
      </c>
      <c r="R20" s="111">
        <v>18</v>
      </c>
      <c r="S20" s="111">
        <v>19</v>
      </c>
      <c r="T20" s="111">
        <v>20</v>
      </c>
      <c r="U20" s="111">
        <v>21</v>
      </c>
      <c r="V20" s="111">
        <v>22</v>
      </c>
      <c r="W20" s="60"/>
    </row>
    <row r="21" spans="2:23" s="8" customFormat="1" ht="33.75" customHeight="1" thickBot="1" thickTop="1">
      <c r="B21" s="55"/>
      <c r="C21" s="296" t="s">
        <v>32</v>
      </c>
      <c r="D21" s="112" t="s">
        <v>33</v>
      </c>
      <c r="E21" s="112" t="s">
        <v>34</v>
      </c>
      <c r="F21" s="115" t="s">
        <v>60</v>
      </c>
      <c r="G21" s="417" t="s">
        <v>61</v>
      </c>
      <c r="H21" s="418" t="s">
        <v>35</v>
      </c>
      <c r="I21" s="301" t="s">
        <v>39</v>
      </c>
      <c r="J21" s="113" t="s">
        <v>40</v>
      </c>
      <c r="K21" s="417" t="s">
        <v>41</v>
      </c>
      <c r="L21" s="419" t="s">
        <v>42</v>
      </c>
      <c r="M21" s="419" t="s">
        <v>43</v>
      </c>
      <c r="N21" s="120" t="s">
        <v>251</v>
      </c>
      <c r="O21" s="119" t="s">
        <v>46</v>
      </c>
      <c r="P21" s="420" t="s">
        <v>38</v>
      </c>
      <c r="Q21" s="421" t="s">
        <v>73</v>
      </c>
      <c r="R21" s="422" t="s">
        <v>74</v>
      </c>
      <c r="S21" s="423"/>
      <c r="T21" s="424" t="s">
        <v>51</v>
      </c>
      <c r="U21" s="131" t="s">
        <v>53</v>
      </c>
      <c r="V21" s="300" t="s">
        <v>54</v>
      </c>
      <c r="W21" s="60"/>
    </row>
    <row r="22" spans="2:23" s="8" customFormat="1" ht="16.5" customHeight="1" thickTop="1">
      <c r="B22" s="55"/>
      <c r="C22" s="310"/>
      <c r="D22" s="310"/>
      <c r="E22" s="310"/>
      <c r="F22" s="425"/>
      <c r="G22" s="425"/>
      <c r="H22" s="425"/>
      <c r="I22" s="253"/>
      <c r="J22" s="425"/>
      <c r="K22" s="425"/>
      <c r="L22" s="425"/>
      <c r="M22" s="425"/>
      <c r="N22" s="425"/>
      <c r="O22" s="425"/>
      <c r="P22" s="426"/>
      <c r="Q22" s="427"/>
      <c r="R22" s="428"/>
      <c r="S22" s="429"/>
      <c r="T22" s="430"/>
      <c r="U22" s="425"/>
      <c r="V22" s="682">
        <f>'SA-03 (1)'!V45</f>
        <v>1210318.46</v>
      </c>
      <c r="W22" s="60"/>
    </row>
    <row r="23" spans="2:23" s="8" customFormat="1" ht="16.5" customHeight="1">
      <c r="B23" s="55"/>
      <c r="C23" s="151"/>
      <c r="D23" s="151"/>
      <c r="E23" s="151"/>
      <c r="F23" s="432"/>
      <c r="G23" s="432"/>
      <c r="H23" s="432"/>
      <c r="I23" s="433"/>
      <c r="J23" s="432"/>
      <c r="K23" s="432"/>
      <c r="L23" s="432"/>
      <c r="M23" s="432"/>
      <c r="N23" s="432"/>
      <c r="O23" s="432"/>
      <c r="P23" s="434"/>
      <c r="Q23" s="435"/>
      <c r="R23" s="436"/>
      <c r="S23" s="437"/>
      <c r="T23" s="438"/>
      <c r="U23" s="432"/>
      <c r="V23" s="439"/>
      <c r="W23" s="60"/>
    </row>
    <row r="24" spans="2:23" s="8" customFormat="1" ht="16.5" customHeight="1">
      <c r="B24" s="55"/>
      <c r="C24" s="151">
        <v>56</v>
      </c>
      <c r="D24" s="151">
        <v>246054</v>
      </c>
      <c r="E24" s="151">
        <v>2641</v>
      </c>
      <c r="F24" s="683" t="s">
        <v>287</v>
      </c>
      <c r="G24" s="683" t="s">
        <v>288</v>
      </c>
      <c r="H24" s="684">
        <v>500</v>
      </c>
      <c r="I24" s="442">
        <f>IF(H24=500,'SA-03 (1)'!$G$17,IF(H24=220,'SA-03 (1)'!$G$18,'SA-03 (1)'!$G$19))</f>
        <v>128.853</v>
      </c>
      <c r="J24" s="443">
        <v>40996.29305555556</v>
      </c>
      <c r="K24" s="444">
        <v>40996.70972222222</v>
      </c>
      <c r="L24" s="445">
        <f aca="true" t="shared" si="0" ref="L24:L30">IF(F24="","",(K24-J24)*24)</f>
        <v>9.999999999941792</v>
      </c>
      <c r="M24" s="446">
        <f aca="true" t="shared" si="1" ref="M24:M30">IF(F24="","",ROUND((K24-J24)*24*60,0))</f>
        <v>600</v>
      </c>
      <c r="N24" s="179" t="s">
        <v>253</v>
      </c>
      <c r="O24" s="181" t="str">
        <f aca="true" t="shared" si="2" ref="O24:O30">IF(F24="","",IF(N24="P","--","NO"))</f>
        <v>--</v>
      </c>
      <c r="P24" s="447">
        <f>IF(H24=500,'SA-03 (1)'!$H$17,IF(H24=220,'SA-03 (1)'!$H$18,'SA-03 (1)'!$H$19))</f>
        <v>200</v>
      </c>
      <c r="Q24" s="448">
        <f aca="true" t="shared" si="3" ref="Q24:Q30">IF(N24="P",I24*P24*ROUND(M24/60,2)*0.1,"--")</f>
        <v>25770.600000000006</v>
      </c>
      <c r="R24" s="436" t="str">
        <f aca="true" t="shared" si="4" ref="R24:R30">IF(AND(N24="F",O24="NO"),I24*P24,"--")</f>
        <v>--</v>
      </c>
      <c r="S24" s="437" t="str">
        <f aca="true" t="shared" si="5" ref="S24:S30">IF(N24="F",I24*P24*ROUND(M24/60,2),"--")</f>
        <v>--</v>
      </c>
      <c r="T24" s="438" t="str">
        <f aca="true" t="shared" si="6" ref="T24:T30">IF(N24="RF",I24*P24*ROUND(M24/60,2),"--")</f>
        <v>--</v>
      </c>
      <c r="U24" s="181" t="s">
        <v>77</v>
      </c>
      <c r="V24" s="449">
        <v>0</v>
      </c>
      <c r="W24" s="60"/>
    </row>
    <row r="25" spans="2:23" s="8" customFormat="1" ht="16.5" customHeight="1">
      <c r="B25" s="55"/>
      <c r="C25" s="151">
        <v>57</v>
      </c>
      <c r="D25" s="151">
        <v>246055</v>
      </c>
      <c r="E25" s="251">
        <v>142</v>
      </c>
      <c r="F25" s="683" t="s">
        <v>271</v>
      </c>
      <c r="G25" s="683" t="s">
        <v>318</v>
      </c>
      <c r="H25" s="684">
        <v>132</v>
      </c>
      <c r="I25" s="442">
        <f>IF(H25=500,'SA-03 (1)'!$G$17,IF(H25=220,'SA-03 (1)'!$G$18,'SA-03 (1)'!$G$19))</f>
        <v>103.083</v>
      </c>
      <c r="J25" s="443">
        <v>40996.294444444444</v>
      </c>
      <c r="K25" s="444">
        <v>40996.53958333333</v>
      </c>
      <c r="L25" s="445">
        <f t="shared" si="0"/>
        <v>5.883333333302289</v>
      </c>
      <c r="M25" s="446">
        <f t="shared" si="1"/>
        <v>353</v>
      </c>
      <c r="N25" s="179" t="s">
        <v>253</v>
      </c>
      <c r="O25" s="181" t="str">
        <f t="shared" si="2"/>
        <v>--</v>
      </c>
      <c r="P25" s="447">
        <f>IF(H25=500,'SA-03 (1)'!$H$17,IF(H25=220,'SA-03 (1)'!$H$18,'SA-03 (1)'!$H$19))</f>
        <v>40</v>
      </c>
      <c r="Q25" s="448">
        <f t="shared" si="3"/>
        <v>2424.5121599999998</v>
      </c>
      <c r="R25" s="436" t="str">
        <f t="shared" si="4"/>
        <v>--</v>
      </c>
      <c r="S25" s="437" t="str">
        <f t="shared" si="5"/>
        <v>--</v>
      </c>
      <c r="T25" s="438" t="str">
        <f t="shared" si="6"/>
        <v>--</v>
      </c>
      <c r="U25" s="181" t="s">
        <v>77</v>
      </c>
      <c r="V25" s="449">
        <f>IF(F25="","",SUM(Q25:T25)*IF(U25="SI",1,2))</f>
        <v>2424.5121599999998</v>
      </c>
      <c r="W25" s="60"/>
    </row>
    <row r="26" spans="2:23" s="8" customFormat="1" ht="16.5" customHeight="1">
      <c r="B26" s="55"/>
      <c r="C26" s="151">
        <v>58</v>
      </c>
      <c r="D26" s="151">
        <v>246058</v>
      </c>
      <c r="E26" s="170">
        <v>136</v>
      </c>
      <c r="F26" s="683" t="s">
        <v>273</v>
      </c>
      <c r="G26" s="683" t="s">
        <v>284</v>
      </c>
      <c r="H26" s="684">
        <v>132</v>
      </c>
      <c r="I26" s="442">
        <f>IF(H26=500,'SA-03 (1)'!$G$17,IF(H26=220,'SA-03 (1)'!$G$18,'SA-03 (1)'!$G$19))</f>
        <v>103.083</v>
      </c>
      <c r="J26" s="443">
        <v>40996.38958333333</v>
      </c>
      <c r="K26" s="444">
        <v>40996.50486111111</v>
      </c>
      <c r="L26" s="445">
        <f t="shared" si="0"/>
        <v>2.7666666667792015</v>
      </c>
      <c r="M26" s="446">
        <f t="shared" si="1"/>
        <v>166</v>
      </c>
      <c r="N26" s="179" t="s">
        <v>253</v>
      </c>
      <c r="O26" s="181" t="str">
        <f t="shared" si="2"/>
        <v>--</v>
      </c>
      <c r="P26" s="447">
        <f>IF(H26=500,'SA-03 (1)'!$H$17,IF(H26=220,'SA-03 (1)'!$H$18,'SA-03 (1)'!$H$19))</f>
        <v>40</v>
      </c>
      <c r="Q26" s="448">
        <f t="shared" si="3"/>
        <v>1142.1596399999999</v>
      </c>
      <c r="R26" s="436" t="str">
        <f t="shared" si="4"/>
        <v>--</v>
      </c>
      <c r="S26" s="437" t="str">
        <f t="shared" si="5"/>
        <v>--</v>
      </c>
      <c r="T26" s="438" t="str">
        <f t="shared" si="6"/>
        <v>--</v>
      </c>
      <c r="U26" s="181" t="s">
        <v>77</v>
      </c>
      <c r="V26" s="449">
        <f>IF(F26="","",SUM(Q26:T26)*IF(U26="SI",1,2))</f>
        <v>1142.1596399999999</v>
      </c>
      <c r="W26" s="60"/>
    </row>
    <row r="27" spans="2:23" s="8" customFormat="1" ht="16.5" customHeight="1">
      <c r="B27" s="55"/>
      <c r="C27" s="151">
        <v>59</v>
      </c>
      <c r="D27" s="151">
        <v>246061</v>
      </c>
      <c r="E27" s="170">
        <v>142</v>
      </c>
      <c r="F27" s="683" t="s">
        <v>271</v>
      </c>
      <c r="G27" s="683" t="s">
        <v>318</v>
      </c>
      <c r="H27" s="684">
        <v>132</v>
      </c>
      <c r="I27" s="442">
        <f>IF(H27=500,'SA-03 (1)'!$G$17,IF(H27=220,'SA-03 (1)'!$G$18,'SA-03 (1)'!$G$19))</f>
        <v>103.083</v>
      </c>
      <c r="J27" s="443">
        <v>40997.013194444444</v>
      </c>
      <c r="K27" s="444">
        <v>40997.041666666664</v>
      </c>
      <c r="L27" s="445">
        <f t="shared" si="0"/>
        <v>0.6833333332906477</v>
      </c>
      <c r="M27" s="446">
        <f t="shared" si="1"/>
        <v>41</v>
      </c>
      <c r="N27" s="179" t="s">
        <v>256</v>
      </c>
      <c r="O27" s="181" t="str">
        <f t="shared" si="2"/>
        <v>NO</v>
      </c>
      <c r="P27" s="447">
        <f>IF(H27=500,'SA-03 (1)'!$H$17,IF(H27=220,'SA-03 (1)'!$H$18,'SA-03 (1)'!$H$19))</f>
        <v>40</v>
      </c>
      <c r="Q27" s="448" t="str">
        <f t="shared" si="3"/>
        <v>--</v>
      </c>
      <c r="R27" s="436">
        <f t="shared" si="4"/>
        <v>4123.32</v>
      </c>
      <c r="S27" s="437">
        <f t="shared" si="5"/>
        <v>2803.8576</v>
      </c>
      <c r="T27" s="438" t="str">
        <f t="shared" si="6"/>
        <v>--</v>
      </c>
      <c r="U27" s="181" t="s">
        <v>77</v>
      </c>
      <c r="V27" s="449">
        <f>IF(F27="","",SUM(Q27:T27)*IF(U27="SI",1,2))</f>
        <v>6927.177599999999</v>
      </c>
      <c r="W27" s="60"/>
    </row>
    <row r="28" spans="2:23" s="8" customFormat="1" ht="16.5" customHeight="1">
      <c r="B28" s="55"/>
      <c r="C28" s="151">
        <v>60</v>
      </c>
      <c r="D28" s="151">
        <v>246062</v>
      </c>
      <c r="E28" s="170">
        <v>142</v>
      </c>
      <c r="F28" s="683" t="s">
        <v>271</v>
      </c>
      <c r="G28" s="683" t="s">
        <v>318</v>
      </c>
      <c r="H28" s="684">
        <v>132</v>
      </c>
      <c r="I28" s="442">
        <f>IF(H28=500,'SA-03 (1)'!$G$17,IF(H28=220,'SA-03 (1)'!$G$18,'SA-03 (1)'!$G$19))</f>
        <v>103.083</v>
      </c>
      <c r="J28" s="443">
        <v>40997.291666666664</v>
      </c>
      <c r="K28" s="444">
        <v>40997.52777777778</v>
      </c>
      <c r="L28" s="445">
        <f t="shared" si="0"/>
        <v>5.6666666668024845</v>
      </c>
      <c r="M28" s="446">
        <f t="shared" si="1"/>
        <v>340</v>
      </c>
      <c r="N28" s="179" t="s">
        <v>253</v>
      </c>
      <c r="O28" s="181" t="str">
        <f t="shared" si="2"/>
        <v>--</v>
      </c>
      <c r="P28" s="447">
        <f>IF(H28=500,'SA-03 (1)'!$H$17,IF(H28=220,'SA-03 (1)'!$H$18,'SA-03 (1)'!$H$19))</f>
        <v>40</v>
      </c>
      <c r="Q28" s="448">
        <f t="shared" si="3"/>
        <v>2337.92244</v>
      </c>
      <c r="R28" s="436" t="str">
        <f t="shared" si="4"/>
        <v>--</v>
      </c>
      <c r="S28" s="437" t="str">
        <f t="shared" si="5"/>
        <v>--</v>
      </c>
      <c r="T28" s="438" t="str">
        <f t="shared" si="6"/>
        <v>--</v>
      </c>
      <c r="U28" s="181" t="s">
        <v>77</v>
      </c>
      <c r="V28" s="449">
        <f>IF(F28="","",SUM(Q28:T28)*IF(U28="SI",1,2))</f>
        <v>2337.92244</v>
      </c>
      <c r="W28" s="60"/>
    </row>
    <row r="29" spans="2:23" s="8" customFormat="1" ht="16.5" customHeight="1">
      <c r="B29" s="55"/>
      <c r="C29" s="151">
        <v>61</v>
      </c>
      <c r="D29" s="151">
        <v>246065</v>
      </c>
      <c r="E29" s="170">
        <v>2642</v>
      </c>
      <c r="F29" s="683" t="s">
        <v>287</v>
      </c>
      <c r="G29" s="683" t="s">
        <v>319</v>
      </c>
      <c r="H29" s="684">
        <v>500</v>
      </c>
      <c r="I29" s="442">
        <f>IF(H29=500,'SA-03 (1)'!$G$17,IF(H29=220,'SA-03 (1)'!$G$18,'SA-03 (1)'!$G$19))</f>
        <v>128.853</v>
      </c>
      <c r="J29" s="443">
        <v>40997.7375</v>
      </c>
      <c r="K29" s="444">
        <v>40998.15416666667</v>
      </c>
      <c r="L29" s="445">
        <f t="shared" si="0"/>
        <v>9.999999999941792</v>
      </c>
      <c r="M29" s="446">
        <f t="shared" si="1"/>
        <v>600</v>
      </c>
      <c r="N29" s="179" t="s">
        <v>253</v>
      </c>
      <c r="O29" s="181" t="str">
        <f t="shared" si="2"/>
        <v>--</v>
      </c>
      <c r="P29" s="447">
        <f>IF(H29=500,'SA-03 (1)'!$H$17,IF(H29=220,'SA-03 (1)'!$H$18,'SA-03 (1)'!$H$19))</f>
        <v>200</v>
      </c>
      <c r="Q29" s="448">
        <f t="shared" si="3"/>
        <v>25770.600000000006</v>
      </c>
      <c r="R29" s="436" t="str">
        <f t="shared" si="4"/>
        <v>--</v>
      </c>
      <c r="S29" s="437" t="str">
        <f t="shared" si="5"/>
        <v>--</v>
      </c>
      <c r="T29" s="438" t="str">
        <f t="shared" si="6"/>
        <v>--</v>
      </c>
      <c r="U29" s="181" t="s">
        <v>77</v>
      </c>
      <c r="V29" s="449">
        <v>0</v>
      </c>
      <c r="W29" s="60"/>
    </row>
    <row r="30" spans="2:23" s="8" customFormat="1" ht="16.5" customHeight="1">
      <c r="B30" s="55"/>
      <c r="C30" s="151">
        <v>62</v>
      </c>
      <c r="D30" s="151">
        <v>246068</v>
      </c>
      <c r="E30" s="151">
        <v>2768</v>
      </c>
      <c r="F30" s="683" t="s">
        <v>287</v>
      </c>
      <c r="G30" s="683" t="s">
        <v>320</v>
      </c>
      <c r="H30" s="684">
        <v>500</v>
      </c>
      <c r="I30" s="442">
        <f>IF(H30=500,'SA-03 (1)'!$G$17,IF(H30=220,'SA-03 (1)'!$G$18,'SA-03 (1)'!$G$19))</f>
        <v>128.853</v>
      </c>
      <c r="J30" s="443">
        <v>40999.27916666667</v>
      </c>
      <c r="K30" s="444">
        <v>40999.69583333333</v>
      </c>
      <c r="L30" s="445">
        <f t="shared" si="0"/>
        <v>9.999999999941792</v>
      </c>
      <c r="M30" s="446">
        <f t="shared" si="1"/>
        <v>600</v>
      </c>
      <c r="N30" s="179" t="s">
        <v>253</v>
      </c>
      <c r="O30" s="181" t="str">
        <f t="shared" si="2"/>
        <v>--</v>
      </c>
      <c r="P30" s="447">
        <f>IF(H30=500,'SA-03 (1)'!$H$17,IF(H30=220,'SA-03 (1)'!$H$18,'SA-03 (1)'!$H$19))</f>
        <v>200</v>
      </c>
      <c r="Q30" s="448">
        <f t="shared" si="3"/>
        <v>25770.600000000006</v>
      </c>
      <c r="R30" s="436" t="str">
        <f t="shared" si="4"/>
        <v>--</v>
      </c>
      <c r="S30" s="437" t="str">
        <f t="shared" si="5"/>
        <v>--</v>
      </c>
      <c r="T30" s="438" t="str">
        <f t="shared" si="6"/>
        <v>--</v>
      </c>
      <c r="U30" s="181" t="s">
        <v>77</v>
      </c>
      <c r="V30" s="449">
        <v>0</v>
      </c>
      <c r="W30" s="60"/>
    </row>
    <row r="31" spans="2:23" s="8" customFormat="1" ht="16.5" customHeight="1">
      <c r="B31" s="55"/>
      <c r="C31" s="151"/>
      <c r="D31" s="151"/>
      <c r="E31" s="151"/>
      <c r="F31" s="440"/>
      <c r="G31" s="440"/>
      <c r="H31" s="441"/>
      <c r="I31" s="442">
        <f aca="true" t="shared" si="7" ref="I31:I43">IF(H31=500,$G$17,IF(H31=220,$G$18,$G$19))</f>
        <v>103.083</v>
      </c>
      <c r="J31" s="443"/>
      <c r="K31" s="444"/>
      <c r="L31" s="445">
        <f aca="true" t="shared" si="8" ref="L31:L43">IF(F31="","",(K31-J31)*24)</f>
      </c>
      <c r="M31" s="446">
        <f aca="true" t="shared" si="9" ref="M31:M43">IF(F31="","",ROUND((K31-J31)*24*60,0))</f>
      </c>
      <c r="N31" s="179"/>
      <c r="O31" s="181">
        <f aca="true" t="shared" si="10" ref="O31:O43">IF(F31="","",IF(N31="P","--","NO"))</f>
      </c>
      <c r="P31" s="447">
        <f aca="true" t="shared" si="11" ref="P31:P43">IF(H31=500,$H$17,IF(H31=220,$H$18,$H$19))</f>
        <v>40</v>
      </c>
      <c r="Q31" s="448" t="str">
        <f aca="true" t="shared" si="12" ref="Q31:Q43">IF(N31="P",I31*P31*ROUND(M31/60,2)*0.1,"--")</f>
        <v>--</v>
      </c>
      <c r="R31" s="436" t="str">
        <f aca="true" t="shared" si="13" ref="R31:R43">IF(AND(N31="F",O31="NO"),I31*P31,"--")</f>
        <v>--</v>
      </c>
      <c r="S31" s="437" t="str">
        <f aca="true" t="shared" si="14" ref="S31:S43">IF(N31="F",I31*P31*ROUND(M31/60,2),"--")</f>
        <v>--</v>
      </c>
      <c r="T31" s="438" t="str">
        <f aca="true" t="shared" si="15" ref="T31:T43">IF(N31="RF",I31*P31*ROUND(M31/60,2),"--")</f>
        <v>--</v>
      </c>
      <c r="U31" s="181">
        <f aca="true" t="shared" si="16" ref="U31:U43">IF(F31="","","SI")</f>
      </c>
      <c r="V31" s="449">
        <f aca="true" t="shared" si="17" ref="V31:V43">IF(F31="","",SUM(Q31:T31)*IF(U31="SI",1,2))</f>
      </c>
      <c r="W31" s="60"/>
    </row>
    <row r="32" spans="2:23" s="8" customFormat="1" ht="16.5" customHeight="1">
      <c r="B32" s="55"/>
      <c r="C32" s="151"/>
      <c r="D32" s="151"/>
      <c r="E32" s="170"/>
      <c r="F32" s="440"/>
      <c r="G32" s="440"/>
      <c r="H32" s="441"/>
      <c r="I32" s="442">
        <f t="shared" si="7"/>
        <v>103.083</v>
      </c>
      <c r="J32" s="443"/>
      <c r="K32" s="444"/>
      <c r="L32" s="445">
        <f t="shared" si="8"/>
      </c>
      <c r="M32" s="446">
        <f t="shared" si="9"/>
      </c>
      <c r="N32" s="179"/>
      <c r="O32" s="181">
        <f t="shared" si="10"/>
      </c>
      <c r="P32" s="447">
        <f t="shared" si="11"/>
        <v>40</v>
      </c>
      <c r="Q32" s="448" t="str">
        <f t="shared" si="12"/>
        <v>--</v>
      </c>
      <c r="R32" s="436" t="str">
        <f t="shared" si="13"/>
        <v>--</v>
      </c>
      <c r="S32" s="437" t="str">
        <f t="shared" si="14"/>
        <v>--</v>
      </c>
      <c r="T32" s="438" t="str">
        <f t="shared" si="15"/>
        <v>--</v>
      </c>
      <c r="U32" s="181">
        <f t="shared" si="16"/>
      </c>
      <c r="V32" s="449">
        <f t="shared" si="17"/>
      </c>
      <c r="W32" s="60"/>
    </row>
    <row r="33" spans="2:23" s="8" customFormat="1" ht="16.5" customHeight="1">
      <c r="B33" s="55"/>
      <c r="C33" s="151"/>
      <c r="D33" s="151"/>
      <c r="E33" s="151"/>
      <c r="F33" s="440"/>
      <c r="G33" s="440"/>
      <c r="H33" s="441"/>
      <c r="I33" s="442">
        <f t="shared" si="7"/>
        <v>103.083</v>
      </c>
      <c r="J33" s="443"/>
      <c r="K33" s="444"/>
      <c r="L33" s="445">
        <f t="shared" si="8"/>
      </c>
      <c r="M33" s="446">
        <f t="shared" si="9"/>
      </c>
      <c r="N33" s="179"/>
      <c r="O33" s="181">
        <f t="shared" si="10"/>
      </c>
      <c r="P33" s="447">
        <f t="shared" si="11"/>
        <v>40</v>
      </c>
      <c r="Q33" s="448" t="str">
        <f t="shared" si="12"/>
        <v>--</v>
      </c>
      <c r="R33" s="436" t="str">
        <f t="shared" si="13"/>
        <v>--</v>
      </c>
      <c r="S33" s="437" t="str">
        <f t="shared" si="14"/>
        <v>--</v>
      </c>
      <c r="T33" s="438" t="str">
        <f t="shared" si="15"/>
        <v>--</v>
      </c>
      <c r="U33" s="181">
        <f t="shared" si="16"/>
      </c>
      <c r="V33" s="449">
        <f t="shared" si="17"/>
      </c>
      <c r="W33" s="60"/>
    </row>
    <row r="34" spans="2:23" s="8" customFormat="1" ht="16.5" customHeight="1">
      <c r="B34" s="55"/>
      <c r="C34" s="151"/>
      <c r="D34" s="151"/>
      <c r="E34" s="170"/>
      <c r="F34" s="440"/>
      <c r="G34" s="440"/>
      <c r="H34" s="441"/>
      <c r="I34" s="442">
        <f t="shared" si="7"/>
        <v>103.083</v>
      </c>
      <c r="J34" s="443"/>
      <c r="K34" s="444"/>
      <c r="L34" s="445">
        <f t="shared" si="8"/>
      </c>
      <c r="M34" s="446">
        <f t="shared" si="9"/>
      </c>
      <c r="N34" s="179"/>
      <c r="O34" s="181">
        <f t="shared" si="10"/>
      </c>
      <c r="P34" s="447">
        <f t="shared" si="11"/>
        <v>40</v>
      </c>
      <c r="Q34" s="448" t="str">
        <f t="shared" si="12"/>
        <v>--</v>
      </c>
      <c r="R34" s="436" t="str">
        <f t="shared" si="13"/>
        <v>--</v>
      </c>
      <c r="S34" s="437" t="str">
        <f t="shared" si="14"/>
        <v>--</v>
      </c>
      <c r="T34" s="438" t="str">
        <f t="shared" si="15"/>
        <v>--</v>
      </c>
      <c r="U34" s="181">
        <f t="shared" si="16"/>
      </c>
      <c r="V34" s="449">
        <f t="shared" si="17"/>
      </c>
      <c r="W34" s="60"/>
    </row>
    <row r="35" spans="2:23" s="8" customFormat="1" ht="16.5" customHeight="1">
      <c r="B35" s="55"/>
      <c r="C35" s="151"/>
      <c r="D35" s="151"/>
      <c r="E35" s="151"/>
      <c r="F35" s="440"/>
      <c r="G35" s="440"/>
      <c r="H35" s="441"/>
      <c r="I35" s="442">
        <f t="shared" si="7"/>
        <v>103.083</v>
      </c>
      <c r="J35" s="443"/>
      <c r="K35" s="444"/>
      <c r="L35" s="445">
        <f t="shared" si="8"/>
      </c>
      <c r="M35" s="446">
        <f t="shared" si="9"/>
      </c>
      <c r="N35" s="179"/>
      <c r="O35" s="181">
        <f t="shared" si="10"/>
      </c>
      <c r="P35" s="447">
        <f t="shared" si="11"/>
        <v>40</v>
      </c>
      <c r="Q35" s="448" t="str">
        <f t="shared" si="12"/>
        <v>--</v>
      </c>
      <c r="R35" s="436" t="str">
        <f t="shared" si="13"/>
        <v>--</v>
      </c>
      <c r="S35" s="437" t="str">
        <f t="shared" si="14"/>
        <v>--</v>
      </c>
      <c r="T35" s="438" t="str">
        <f t="shared" si="15"/>
        <v>--</v>
      </c>
      <c r="U35" s="181">
        <f t="shared" si="16"/>
      </c>
      <c r="V35" s="449">
        <f t="shared" si="17"/>
      </c>
      <c r="W35" s="60"/>
    </row>
    <row r="36" spans="2:23" s="8" customFormat="1" ht="16.5" customHeight="1">
      <c r="B36" s="55"/>
      <c r="C36" s="151"/>
      <c r="D36" s="151"/>
      <c r="E36" s="170"/>
      <c r="F36" s="440"/>
      <c r="G36" s="440"/>
      <c r="H36" s="441"/>
      <c r="I36" s="442">
        <f t="shared" si="7"/>
        <v>103.083</v>
      </c>
      <c r="J36" s="443"/>
      <c r="K36" s="444"/>
      <c r="L36" s="445">
        <f t="shared" si="8"/>
      </c>
      <c r="M36" s="446">
        <f t="shared" si="9"/>
      </c>
      <c r="N36" s="179"/>
      <c r="O36" s="181">
        <f t="shared" si="10"/>
      </c>
      <c r="P36" s="447">
        <f t="shared" si="11"/>
        <v>40</v>
      </c>
      <c r="Q36" s="448" t="str">
        <f t="shared" si="12"/>
        <v>--</v>
      </c>
      <c r="R36" s="436" t="str">
        <f t="shared" si="13"/>
        <v>--</v>
      </c>
      <c r="S36" s="437" t="str">
        <f t="shared" si="14"/>
        <v>--</v>
      </c>
      <c r="T36" s="438" t="str">
        <f t="shared" si="15"/>
        <v>--</v>
      </c>
      <c r="U36" s="181">
        <f t="shared" si="16"/>
      </c>
      <c r="V36" s="449">
        <f t="shared" si="17"/>
      </c>
      <c r="W36" s="60"/>
    </row>
    <row r="37" spans="2:23" s="8" customFormat="1" ht="16.5" customHeight="1">
      <c r="B37" s="55"/>
      <c r="C37" s="151"/>
      <c r="D37" s="151"/>
      <c r="E37" s="151"/>
      <c r="F37" s="440"/>
      <c r="G37" s="440"/>
      <c r="H37" s="441"/>
      <c r="I37" s="442">
        <f t="shared" si="7"/>
        <v>103.083</v>
      </c>
      <c r="J37" s="443"/>
      <c r="K37" s="444"/>
      <c r="L37" s="445">
        <f t="shared" si="8"/>
      </c>
      <c r="M37" s="446">
        <f t="shared" si="9"/>
      </c>
      <c r="N37" s="179"/>
      <c r="O37" s="181">
        <f t="shared" si="10"/>
      </c>
      <c r="P37" s="447">
        <f t="shared" si="11"/>
        <v>40</v>
      </c>
      <c r="Q37" s="448" t="str">
        <f t="shared" si="12"/>
        <v>--</v>
      </c>
      <c r="R37" s="436" t="str">
        <f t="shared" si="13"/>
        <v>--</v>
      </c>
      <c r="S37" s="437" t="str">
        <f t="shared" si="14"/>
        <v>--</v>
      </c>
      <c r="T37" s="438" t="str">
        <f t="shared" si="15"/>
        <v>--</v>
      </c>
      <c r="U37" s="181">
        <f t="shared" si="16"/>
      </c>
      <c r="V37" s="449">
        <f t="shared" si="17"/>
      </c>
      <c r="W37" s="60"/>
    </row>
    <row r="38" spans="2:23" s="8" customFormat="1" ht="16.5" customHeight="1">
      <c r="B38" s="55"/>
      <c r="C38" s="151"/>
      <c r="D38" s="151"/>
      <c r="E38" s="170"/>
      <c r="F38" s="440"/>
      <c r="G38" s="440"/>
      <c r="H38" s="441"/>
      <c r="I38" s="442">
        <f t="shared" si="7"/>
        <v>103.083</v>
      </c>
      <c r="J38" s="443"/>
      <c r="K38" s="444"/>
      <c r="L38" s="445">
        <f t="shared" si="8"/>
      </c>
      <c r="M38" s="446">
        <f t="shared" si="9"/>
      </c>
      <c r="N38" s="179"/>
      <c r="O38" s="181">
        <f t="shared" si="10"/>
      </c>
      <c r="P38" s="447">
        <f t="shared" si="11"/>
        <v>40</v>
      </c>
      <c r="Q38" s="448" t="str">
        <f t="shared" si="12"/>
        <v>--</v>
      </c>
      <c r="R38" s="436" t="str">
        <f t="shared" si="13"/>
        <v>--</v>
      </c>
      <c r="S38" s="437" t="str">
        <f t="shared" si="14"/>
        <v>--</v>
      </c>
      <c r="T38" s="438" t="str">
        <f t="shared" si="15"/>
        <v>--</v>
      </c>
      <c r="U38" s="181">
        <f t="shared" si="16"/>
      </c>
      <c r="V38" s="449">
        <f t="shared" si="17"/>
      </c>
      <c r="W38" s="60"/>
    </row>
    <row r="39" spans="2:23" s="8" customFormat="1" ht="16.5" customHeight="1">
      <c r="B39" s="55"/>
      <c r="C39" s="151"/>
      <c r="D39" s="151"/>
      <c r="E39" s="151"/>
      <c r="F39" s="440"/>
      <c r="G39" s="440"/>
      <c r="H39" s="441"/>
      <c r="I39" s="442">
        <f t="shared" si="7"/>
        <v>103.083</v>
      </c>
      <c r="J39" s="443"/>
      <c r="K39" s="444"/>
      <c r="L39" s="445">
        <f t="shared" si="8"/>
      </c>
      <c r="M39" s="446">
        <f t="shared" si="9"/>
      </c>
      <c r="N39" s="179"/>
      <c r="O39" s="181">
        <f t="shared" si="10"/>
      </c>
      <c r="P39" s="447">
        <f t="shared" si="11"/>
        <v>40</v>
      </c>
      <c r="Q39" s="448" t="str">
        <f t="shared" si="12"/>
        <v>--</v>
      </c>
      <c r="R39" s="436" t="str">
        <f t="shared" si="13"/>
        <v>--</v>
      </c>
      <c r="S39" s="437" t="str">
        <f t="shared" si="14"/>
        <v>--</v>
      </c>
      <c r="T39" s="438" t="str">
        <f t="shared" si="15"/>
        <v>--</v>
      </c>
      <c r="U39" s="181">
        <f t="shared" si="16"/>
      </c>
      <c r="V39" s="449">
        <f t="shared" si="17"/>
      </c>
      <c r="W39" s="60"/>
    </row>
    <row r="40" spans="2:23" s="8" customFormat="1" ht="16.5" customHeight="1">
      <c r="B40" s="55"/>
      <c r="C40" s="151"/>
      <c r="D40" s="151"/>
      <c r="E40" s="170"/>
      <c r="F40" s="440"/>
      <c r="G40" s="440"/>
      <c r="H40" s="441"/>
      <c r="I40" s="442">
        <f t="shared" si="7"/>
        <v>103.083</v>
      </c>
      <c r="J40" s="443"/>
      <c r="K40" s="444"/>
      <c r="L40" s="445">
        <f t="shared" si="8"/>
      </c>
      <c r="M40" s="446">
        <f t="shared" si="9"/>
      </c>
      <c r="N40" s="179"/>
      <c r="O40" s="181">
        <f t="shared" si="10"/>
      </c>
      <c r="P40" s="447">
        <f t="shared" si="11"/>
        <v>40</v>
      </c>
      <c r="Q40" s="448" t="str">
        <f t="shared" si="12"/>
        <v>--</v>
      </c>
      <c r="R40" s="436" t="str">
        <f t="shared" si="13"/>
        <v>--</v>
      </c>
      <c r="S40" s="437" t="str">
        <f t="shared" si="14"/>
        <v>--</v>
      </c>
      <c r="T40" s="438" t="str">
        <f t="shared" si="15"/>
        <v>--</v>
      </c>
      <c r="U40" s="181">
        <f t="shared" si="16"/>
      </c>
      <c r="V40" s="449">
        <f t="shared" si="17"/>
      </c>
      <c r="W40" s="60"/>
    </row>
    <row r="41" spans="2:23" s="8" customFormat="1" ht="16.5" customHeight="1">
      <c r="B41" s="55"/>
      <c r="C41" s="151"/>
      <c r="D41" s="151"/>
      <c r="E41" s="151"/>
      <c r="F41" s="440"/>
      <c r="G41" s="440"/>
      <c r="H41" s="441"/>
      <c r="I41" s="442">
        <f t="shared" si="7"/>
        <v>103.083</v>
      </c>
      <c r="J41" s="443"/>
      <c r="K41" s="444"/>
      <c r="L41" s="445">
        <f t="shared" si="8"/>
      </c>
      <c r="M41" s="446">
        <f t="shared" si="9"/>
      </c>
      <c r="N41" s="179"/>
      <c r="O41" s="181">
        <f t="shared" si="10"/>
      </c>
      <c r="P41" s="447">
        <f t="shared" si="11"/>
        <v>40</v>
      </c>
      <c r="Q41" s="448" t="str">
        <f t="shared" si="12"/>
        <v>--</v>
      </c>
      <c r="R41" s="436" t="str">
        <f t="shared" si="13"/>
        <v>--</v>
      </c>
      <c r="S41" s="437" t="str">
        <f t="shared" si="14"/>
        <v>--</v>
      </c>
      <c r="T41" s="438" t="str">
        <f t="shared" si="15"/>
        <v>--</v>
      </c>
      <c r="U41" s="181">
        <f t="shared" si="16"/>
      </c>
      <c r="V41" s="449">
        <f t="shared" si="17"/>
      </c>
      <c r="W41" s="60"/>
    </row>
    <row r="42" spans="2:23" s="8" customFormat="1" ht="16.5" customHeight="1">
      <c r="B42" s="55"/>
      <c r="C42" s="151"/>
      <c r="D42" s="151"/>
      <c r="E42" s="170"/>
      <c r="F42" s="440"/>
      <c r="G42" s="440"/>
      <c r="H42" s="441"/>
      <c r="I42" s="442">
        <f t="shared" si="7"/>
        <v>103.083</v>
      </c>
      <c r="J42" s="443"/>
      <c r="K42" s="444"/>
      <c r="L42" s="445">
        <f t="shared" si="8"/>
      </c>
      <c r="M42" s="446">
        <f t="shared" si="9"/>
      </c>
      <c r="N42" s="179"/>
      <c r="O42" s="181">
        <f t="shared" si="10"/>
      </c>
      <c r="P42" s="447">
        <f t="shared" si="11"/>
        <v>40</v>
      </c>
      <c r="Q42" s="448" t="str">
        <f t="shared" si="12"/>
        <v>--</v>
      </c>
      <c r="R42" s="436" t="str">
        <f t="shared" si="13"/>
        <v>--</v>
      </c>
      <c r="S42" s="437" t="str">
        <f t="shared" si="14"/>
        <v>--</v>
      </c>
      <c r="T42" s="438" t="str">
        <f t="shared" si="15"/>
        <v>--</v>
      </c>
      <c r="U42" s="181">
        <f t="shared" si="16"/>
      </c>
      <c r="V42" s="449">
        <f t="shared" si="17"/>
      </c>
      <c r="W42" s="60"/>
    </row>
    <row r="43" spans="2:23" s="8" customFormat="1" ht="16.5" customHeight="1">
      <c r="B43" s="55"/>
      <c r="C43" s="151"/>
      <c r="D43" s="151"/>
      <c r="E43" s="151"/>
      <c r="F43" s="440"/>
      <c r="G43" s="440"/>
      <c r="H43" s="441"/>
      <c r="I43" s="442">
        <f t="shared" si="7"/>
        <v>103.083</v>
      </c>
      <c r="J43" s="443"/>
      <c r="K43" s="444"/>
      <c r="L43" s="445">
        <f t="shared" si="8"/>
      </c>
      <c r="M43" s="446">
        <f t="shared" si="9"/>
      </c>
      <c r="N43" s="179"/>
      <c r="O43" s="181">
        <f t="shared" si="10"/>
      </c>
      <c r="P43" s="447">
        <f t="shared" si="11"/>
        <v>40</v>
      </c>
      <c r="Q43" s="448" t="str">
        <f t="shared" si="12"/>
        <v>--</v>
      </c>
      <c r="R43" s="436" t="str">
        <f t="shared" si="13"/>
        <v>--</v>
      </c>
      <c r="S43" s="437" t="str">
        <f t="shared" si="14"/>
        <v>--</v>
      </c>
      <c r="T43" s="438" t="str">
        <f t="shared" si="15"/>
        <v>--</v>
      </c>
      <c r="U43" s="181">
        <f t="shared" si="16"/>
      </c>
      <c r="V43" s="449">
        <f t="shared" si="17"/>
      </c>
      <c r="W43" s="60"/>
    </row>
    <row r="44" spans="2:23" s="8" customFormat="1" ht="16.5" customHeight="1" thickBot="1">
      <c r="B44" s="55"/>
      <c r="C44" s="205"/>
      <c r="D44" s="205"/>
      <c r="E44" s="205"/>
      <c r="F44" s="205"/>
      <c r="G44" s="205"/>
      <c r="H44" s="205"/>
      <c r="I44" s="361"/>
      <c r="J44" s="450"/>
      <c r="K44" s="450"/>
      <c r="L44" s="451"/>
      <c r="M44" s="451"/>
      <c r="N44" s="450"/>
      <c r="O44" s="212"/>
      <c r="P44" s="452"/>
      <c r="Q44" s="453"/>
      <c r="R44" s="454"/>
      <c r="S44" s="455"/>
      <c r="T44" s="456"/>
      <c r="U44" s="212"/>
      <c r="V44" s="457"/>
      <c r="W44" s="60"/>
    </row>
    <row r="45" spans="2:23" s="8" customFormat="1" ht="16.5" customHeight="1" thickBot="1" thickTop="1">
      <c r="B45" s="55"/>
      <c r="C45" s="625" t="s">
        <v>324</v>
      </c>
      <c r="D45" s="626" t="s">
        <v>525</v>
      </c>
      <c r="E45" s="226"/>
      <c r="F45" s="227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58">
        <f>SUM(Q22:Q44)</f>
        <v>83216.39424000001</v>
      </c>
      <c r="R45" s="459">
        <f>SUM(R22:R44)</f>
        <v>4123.32</v>
      </c>
      <c r="S45" s="460">
        <f>SUM(S22:S44)</f>
        <v>2803.8576</v>
      </c>
      <c r="T45" s="461">
        <f>SUM(T22:T44)</f>
        <v>0</v>
      </c>
      <c r="U45" s="462"/>
      <c r="V45" s="463">
        <f>ROUND(SUM(V22:V44),2)</f>
        <v>1223150.23</v>
      </c>
      <c r="W45" s="60"/>
    </row>
    <row r="46" spans="2:23" s="8" customFormat="1" ht="16.5" customHeight="1" thickBot="1" thickTop="1"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3"/>
    </row>
    <row r="47" spans="23:25" ht="16.5" customHeight="1" thickTop="1">
      <c r="W47" s="392"/>
      <c r="X47" s="392"/>
      <c r="Y47" s="392"/>
    </row>
    <row r="48" spans="23:25" ht="16.5" customHeight="1">
      <c r="W48" s="392"/>
      <c r="X48" s="392"/>
      <c r="Y48" s="392"/>
    </row>
    <row r="49" spans="23:25" ht="16.5" customHeight="1">
      <c r="W49" s="392"/>
      <c r="X49" s="392"/>
      <c r="Y49" s="392"/>
    </row>
    <row r="50" spans="23:25" ht="16.5" customHeight="1">
      <c r="W50" s="392"/>
      <c r="X50" s="392"/>
      <c r="Y50" s="392"/>
    </row>
    <row r="51" spans="23:25" ht="16.5" customHeight="1">
      <c r="W51" s="392"/>
      <c r="X51" s="392"/>
      <c r="Y51" s="392"/>
    </row>
    <row r="52" spans="6:25" ht="16.5" customHeight="1"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</row>
    <row r="53" spans="6:25" ht="16.5" customHeight="1"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</row>
    <row r="54" spans="6:25" ht="16.5" customHeight="1"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</row>
    <row r="55" spans="6:25" ht="16.5" customHeight="1"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</row>
    <row r="56" spans="6:25" ht="16.5" customHeight="1"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</row>
    <row r="57" spans="6:25" ht="16.5" customHeight="1"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</row>
    <row r="58" spans="6:25" ht="16.5" customHeight="1"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</row>
    <row r="59" spans="6:25" ht="16.5" customHeight="1"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</row>
    <row r="60" spans="6:25" ht="16.5" customHeight="1"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</row>
    <row r="61" spans="6:25" ht="16.5" customHeight="1"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</row>
    <row r="62" spans="6:25" ht="16.5" customHeight="1"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</row>
    <row r="63" spans="6:25" ht="16.5" customHeight="1"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</row>
    <row r="64" spans="6:25" ht="16.5" customHeight="1"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</row>
    <row r="65" spans="6:25" ht="16.5" customHeight="1"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</row>
    <row r="66" spans="6:25" ht="16.5" customHeight="1"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</row>
    <row r="67" spans="6:25" ht="16.5" customHeight="1"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</row>
    <row r="68" spans="6:25" ht="16.5" customHeight="1"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</row>
    <row r="69" spans="6:25" ht="16.5" customHeight="1"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</row>
    <row r="70" spans="6:25" ht="16.5" customHeight="1"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</row>
    <row r="71" spans="6:25" ht="16.5" customHeight="1"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</row>
    <row r="72" spans="6:25" ht="16.5" customHeight="1"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</row>
    <row r="73" spans="6:25" ht="16.5" customHeight="1"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</row>
    <row r="74" spans="6:25" ht="16.5" customHeight="1"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</row>
    <row r="75" spans="6:25" ht="16.5" customHeight="1"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</row>
    <row r="76" spans="6:25" ht="16.5" customHeight="1"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</row>
    <row r="77" spans="6:25" ht="16.5" customHeight="1"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</row>
    <row r="78" spans="6:25" ht="16.5" customHeight="1"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</row>
    <row r="79" spans="6:25" ht="16.5" customHeight="1"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</row>
    <row r="80" spans="6:25" ht="16.5" customHeight="1"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</row>
    <row r="81" spans="6:25" ht="16.5" customHeight="1"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</row>
    <row r="82" spans="6:25" ht="16.5" customHeight="1"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</row>
    <row r="83" spans="6:25" ht="16.5" customHeight="1"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</row>
    <row r="84" spans="6:25" ht="16.5" customHeight="1"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</row>
    <row r="85" spans="6:25" ht="16.5" customHeight="1"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</row>
    <row r="86" spans="6:25" ht="16.5" customHeight="1"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</row>
    <row r="87" spans="6:25" ht="16.5" customHeight="1"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</row>
    <row r="88" spans="6:25" ht="16.5" customHeight="1"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</row>
    <row r="89" spans="6:25" ht="16.5" customHeight="1"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</row>
    <row r="90" spans="6:25" ht="16.5" customHeight="1"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</row>
    <row r="91" spans="6:25" ht="16.5" customHeight="1"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</row>
    <row r="92" spans="6:25" ht="16.5" customHeight="1"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</row>
    <row r="93" spans="6:25" ht="16.5" customHeight="1"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</row>
    <row r="94" spans="6:25" ht="16.5" customHeight="1"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</row>
    <row r="95" spans="6:25" ht="16.5" customHeight="1"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</row>
    <row r="96" spans="6:25" ht="16.5" customHeight="1"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</row>
    <row r="97" spans="6:25" ht="16.5" customHeight="1"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</row>
    <row r="98" spans="6:25" ht="16.5" customHeight="1"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</row>
    <row r="99" spans="6:25" ht="16.5" customHeight="1"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</row>
    <row r="100" spans="6:25" ht="16.5" customHeight="1"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</row>
    <row r="101" spans="6:25" ht="16.5" customHeight="1"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2"/>
      <c r="T101" s="392"/>
      <c r="U101" s="392"/>
      <c r="V101" s="392"/>
      <c r="W101" s="392"/>
      <c r="X101" s="392"/>
      <c r="Y101" s="392"/>
    </row>
    <row r="102" spans="6:25" ht="16.5" customHeight="1"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</row>
    <row r="103" spans="6:25" ht="16.5" customHeight="1"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2"/>
      <c r="U103" s="392"/>
      <c r="V103" s="392"/>
      <c r="W103" s="392"/>
      <c r="X103" s="392"/>
      <c r="Y103" s="392"/>
    </row>
    <row r="104" spans="6:25" ht="16.5" customHeight="1">
      <c r="F104" s="392"/>
      <c r="G104" s="392"/>
      <c r="H104" s="392"/>
      <c r="I104" s="392"/>
      <c r="J104" s="392"/>
      <c r="K104" s="392"/>
      <c r="L104" s="392"/>
      <c r="M104" s="392"/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</row>
    <row r="105" spans="6:25" ht="16.5" customHeight="1">
      <c r="F105" s="392"/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</row>
    <row r="106" spans="6:25" ht="16.5" customHeight="1"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</row>
    <row r="107" spans="6:25" ht="16.5" customHeight="1">
      <c r="F107" s="392"/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92"/>
      <c r="R107" s="392"/>
      <c r="S107" s="392"/>
      <c r="T107" s="392"/>
      <c r="U107" s="392"/>
      <c r="V107" s="392"/>
      <c r="W107" s="392"/>
      <c r="X107" s="392"/>
      <c r="Y107" s="392"/>
    </row>
    <row r="108" spans="6:25" ht="16.5" customHeight="1"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</row>
    <row r="109" spans="6:25" ht="16.5" customHeight="1"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</row>
    <row r="110" spans="6:25" ht="16.5" customHeight="1"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</row>
    <row r="111" spans="6:25" ht="16.5" customHeight="1"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  <c r="S111" s="392"/>
      <c r="T111" s="392"/>
      <c r="U111" s="392"/>
      <c r="V111" s="392"/>
      <c r="W111" s="392"/>
      <c r="X111" s="392"/>
      <c r="Y111" s="392"/>
    </row>
    <row r="112" spans="6:25" ht="16.5" customHeight="1"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2"/>
      <c r="Q112" s="392"/>
      <c r="R112" s="392"/>
      <c r="S112" s="392"/>
      <c r="T112" s="392"/>
      <c r="U112" s="392"/>
      <c r="V112" s="392"/>
      <c r="W112" s="392"/>
      <c r="X112" s="392"/>
      <c r="Y112" s="392"/>
    </row>
    <row r="113" spans="6:25" ht="16.5" customHeight="1"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</row>
    <row r="114" spans="6:25" ht="16.5" customHeight="1"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</row>
    <row r="115" spans="6:25" ht="16.5" customHeight="1"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</row>
    <row r="116" spans="6:25" ht="16.5" customHeight="1">
      <c r="F116" s="392"/>
      <c r="G116" s="392"/>
      <c r="H116" s="392"/>
      <c r="I116" s="392"/>
      <c r="J116" s="392"/>
      <c r="K116" s="392"/>
      <c r="L116" s="392"/>
      <c r="M116" s="392"/>
      <c r="N116" s="392"/>
      <c r="O116" s="392"/>
      <c r="P116" s="392"/>
      <c r="Q116" s="392"/>
      <c r="R116" s="392"/>
      <c r="S116" s="392"/>
      <c r="T116" s="392"/>
      <c r="U116" s="392"/>
      <c r="V116" s="392"/>
      <c r="W116" s="392"/>
      <c r="X116" s="392"/>
      <c r="Y116" s="392"/>
    </row>
    <row r="117" spans="6:25" ht="16.5" customHeight="1"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</row>
    <row r="118" spans="6:25" ht="16.5" customHeight="1">
      <c r="F118" s="392"/>
      <c r="G118" s="392"/>
      <c r="H118" s="392"/>
      <c r="I118" s="392"/>
      <c r="J118" s="392"/>
      <c r="K118" s="392"/>
      <c r="L118" s="392"/>
      <c r="M118" s="392"/>
      <c r="N118" s="392"/>
      <c r="O118" s="392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</row>
    <row r="119" spans="6:25" ht="16.5" customHeight="1"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</row>
    <row r="120" spans="6:25" ht="16.5" customHeight="1"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</row>
    <row r="121" spans="6:25" ht="16.5" customHeight="1">
      <c r="F121" s="392"/>
      <c r="G121" s="392"/>
      <c r="H121" s="392"/>
      <c r="I121" s="392"/>
      <c r="J121" s="392"/>
      <c r="K121" s="392"/>
      <c r="L121" s="392"/>
      <c r="M121" s="392"/>
      <c r="N121" s="392"/>
      <c r="O121" s="392"/>
      <c r="P121" s="392"/>
      <c r="Q121" s="392"/>
      <c r="R121" s="392"/>
      <c r="S121" s="392"/>
      <c r="T121" s="392"/>
      <c r="U121" s="392"/>
      <c r="V121" s="392"/>
      <c r="W121" s="392"/>
      <c r="X121" s="392"/>
      <c r="Y121" s="392"/>
    </row>
    <row r="122" spans="6:25" ht="16.5" customHeight="1">
      <c r="F122" s="392"/>
      <c r="G122" s="392"/>
      <c r="H122" s="392"/>
      <c r="I122" s="392"/>
      <c r="J122" s="392"/>
      <c r="K122" s="392"/>
      <c r="L122" s="392"/>
      <c r="M122" s="392"/>
      <c r="N122" s="392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</row>
    <row r="123" spans="6:25" ht="16.5" customHeight="1"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2"/>
      <c r="Y123" s="392"/>
    </row>
    <row r="124" spans="6:25" ht="16.5" customHeight="1">
      <c r="F124" s="392"/>
      <c r="G124" s="392"/>
      <c r="H124" s="392"/>
      <c r="I124" s="392"/>
      <c r="J124" s="392"/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</row>
    <row r="125" spans="6:25" ht="16.5" customHeight="1"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</row>
    <row r="126" spans="6:25" ht="16.5" customHeight="1">
      <c r="F126" s="392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392"/>
      <c r="S126" s="392"/>
      <c r="T126" s="392"/>
      <c r="U126" s="392"/>
      <c r="V126" s="392"/>
      <c r="W126" s="392"/>
      <c r="X126" s="392"/>
      <c r="Y126" s="392"/>
    </row>
    <row r="127" spans="6:25" ht="16.5" customHeight="1">
      <c r="F127" s="392"/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92"/>
      <c r="R127" s="392"/>
      <c r="S127" s="392"/>
      <c r="T127" s="392"/>
      <c r="U127" s="392"/>
      <c r="V127" s="392"/>
      <c r="W127" s="392"/>
      <c r="X127" s="392"/>
      <c r="Y127" s="392"/>
    </row>
    <row r="128" spans="6:25" ht="16.5" customHeight="1">
      <c r="F128" s="392"/>
      <c r="G128" s="392"/>
      <c r="H128" s="392"/>
      <c r="I128" s="392"/>
      <c r="J128" s="392"/>
      <c r="K128" s="392"/>
      <c r="L128" s="392"/>
      <c r="M128" s="392"/>
      <c r="N128" s="392"/>
      <c r="O128" s="392"/>
      <c r="P128" s="392"/>
      <c r="Q128" s="392"/>
      <c r="R128" s="392"/>
      <c r="S128" s="392"/>
      <c r="T128" s="392"/>
      <c r="U128" s="392"/>
      <c r="V128" s="392"/>
      <c r="W128" s="392"/>
      <c r="X128" s="392"/>
      <c r="Y128" s="392"/>
    </row>
    <row r="129" spans="6:25" ht="16.5" customHeight="1"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</row>
    <row r="130" spans="6:25" ht="16.5" customHeight="1"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</row>
    <row r="131" spans="6:25" ht="16.5" customHeight="1">
      <c r="F131" s="392"/>
      <c r="G131" s="392"/>
      <c r="H131" s="392"/>
      <c r="I131" s="392"/>
      <c r="J131" s="392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392"/>
      <c r="Y131" s="392"/>
    </row>
    <row r="132" spans="6:25" ht="16.5" customHeight="1"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392"/>
      <c r="S132" s="392"/>
      <c r="T132" s="392"/>
      <c r="U132" s="392"/>
      <c r="V132" s="392"/>
      <c r="W132" s="392"/>
      <c r="X132" s="392"/>
      <c r="Y132" s="392"/>
    </row>
    <row r="133" spans="6:25" ht="16.5" customHeight="1">
      <c r="F133" s="392"/>
      <c r="G133" s="392"/>
      <c r="H133" s="392"/>
      <c r="I133" s="392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2"/>
      <c r="X133" s="392"/>
      <c r="Y133" s="392"/>
    </row>
    <row r="134" spans="6:25" ht="16.5" customHeight="1"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</row>
    <row r="135" spans="6:25" ht="16.5" customHeight="1"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</row>
    <row r="136" spans="6:25" ht="16.5" customHeight="1"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92"/>
      <c r="Q136" s="392"/>
      <c r="R136" s="392"/>
      <c r="S136" s="392"/>
      <c r="T136" s="392"/>
      <c r="U136" s="392"/>
      <c r="V136" s="392"/>
      <c r="W136" s="392"/>
      <c r="X136" s="392"/>
      <c r="Y136" s="392"/>
    </row>
    <row r="137" spans="6:25" ht="16.5" customHeight="1"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</row>
    <row r="138" spans="6:25" ht="16.5" customHeight="1"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</row>
    <row r="139" spans="6:25" ht="16.5" customHeight="1"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</row>
    <row r="140" spans="6:25" ht="16.5" customHeight="1">
      <c r="F140" s="392"/>
      <c r="G140" s="392"/>
      <c r="H140" s="392"/>
      <c r="I140" s="392"/>
      <c r="J140" s="392"/>
      <c r="K140" s="392"/>
      <c r="L140" s="392"/>
      <c r="M140" s="392"/>
      <c r="N140" s="392"/>
      <c r="O140" s="392"/>
      <c r="P140" s="392"/>
      <c r="Q140" s="392"/>
      <c r="R140" s="392"/>
      <c r="S140" s="392"/>
      <c r="T140" s="392"/>
      <c r="U140" s="392"/>
      <c r="V140" s="392"/>
      <c r="W140" s="392"/>
      <c r="X140" s="392"/>
      <c r="Y140" s="392"/>
    </row>
    <row r="141" spans="6:25" ht="16.5" customHeight="1"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  <c r="U141" s="392"/>
      <c r="V141" s="392"/>
      <c r="W141" s="392"/>
      <c r="X141" s="392"/>
      <c r="Y141" s="392"/>
    </row>
    <row r="142" spans="6:25" ht="16.5" customHeight="1">
      <c r="F142" s="392"/>
      <c r="G142" s="392"/>
      <c r="H142" s="392"/>
      <c r="I142" s="392"/>
      <c r="J142" s="392"/>
      <c r="K142" s="392"/>
      <c r="L142" s="392"/>
      <c r="M142" s="392"/>
      <c r="N142" s="392"/>
      <c r="O142" s="392"/>
      <c r="P142" s="392"/>
      <c r="Q142" s="392"/>
      <c r="R142" s="392"/>
      <c r="S142" s="392"/>
      <c r="T142" s="392"/>
      <c r="U142" s="392"/>
      <c r="V142" s="392"/>
      <c r="W142" s="392"/>
      <c r="X142" s="392"/>
      <c r="Y142" s="392"/>
    </row>
    <row r="143" spans="6:25" ht="16.5" customHeight="1"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392"/>
      <c r="R143" s="392"/>
      <c r="S143" s="392"/>
      <c r="T143" s="392"/>
      <c r="U143" s="392"/>
      <c r="V143" s="392"/>
      <c r="W143" s="392"/>
      <c r="X143" s="392"/>
      <c r="Y143" s="392"/>
    </row>
    <row r="144" spans="6:25" ht="16.5" customHeight="1"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</row>
    <row r="145" spans="6:25" ht="16.5" customHeight="1">
      <c r="F145" s="392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</row>
    <row r="146" spans="6:25" ht="16.5" customHeight="1"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</row>
    <row r="147" spans="6:25" ht="16.5" customHeight="1">
      <c r="F147" s="392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392"/>
      <c r="S147" s="392"/>
      <c r="T147" s="392"/>
      <c r="U147" s="392"/>
      <c r="V147" s="392"/>
      <c r="W147" s="392"/>
      <c r="X147" s="392"/>
      <c r="Y147" s="392"/>
    </row>
    <row r="148" spans="6:25" ht="16.5" customHeight="1"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2"/>
      <c r="T148" s="392"/>
      <c r="U148" s="392"/>
      <c r="V148" s="392"/>
      <c r="W148" s="392"/>
      <c r="X148" s="392"/>
      <c r="Y148" s="392"/>
    </row>
    <row r="149" spans="6:25" ht="16.5" customHeight="1"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</row>
    <row r="150" spans="6:25" ht="16.5" customHeight="1">
      <c r="F150" s="392"/>
      <c r="G150" s="392"/>
      <c r="H150" s="392"/>
      <c r="I150" s="392"/>
      <c r="J150" s="392"/>
      <c r="K150" s="392"/>
      <c r="L150" s="392"/>
      <c r="M150" s="392"/>
      <c r="N150" s="392"/>
      <c r="O150" s="392"/>
      <c r="P150" s="392"/>
      <c r="Q150" s="392"/>
      <c r="R150" s="392"/>
      <c r="S150" s="392"/>
      <c r="T150" s="392"/>
      <c r="U150" s="392"/>
      <c r="V150" s="392"/>
      <c r="W150" s="392"/>
      <c r="X150" s="392"/>
      <c r="Y150" s="392"/>
    </row>
    <row r="151" spans="6:25" ht="16.5" customHeight="1">
      <c r="F151" s="392"/>
      <c r="G151" s="392"/>
      <c r="H151" s="392"/>
      <c r="I151" s="392"/>
      <c r="J151" s="392"/>
      <c r="K151" s="392"/>
      <c r="L151" s="392"/>
      <c r="M151" s="392"/>
      <c r="N151" s="392"/>
      <c r="O151" s="392"/>
      <c r="P151" s="392"/>
      <c r="Q151" s="392"/>
      <c r="R151" s="392"/>
      <c r="S151" s="392"/>
      <c r="T151" s="392"/>
      <c r="U151" s="392"/>
      <c r="V151" s="392"/>
      <c r="W151" s="392"/>
      <c r="X151" s="392"/>
      <c r="Y151" s="392"/>
    </row>
    <row r="152" spans="6:25" ht="16.5" customHeight="1">
      <c r="F152" s="392"/>
      <c r="G152" s="392"/>
      <c r="H152" s="392"/>
      <c r="I152" s="392"/>
      <c r="J152" s="392"/>
      <c r="K152" s="392"/>
      <c r="L152" s="392"/>
      <c r="M152" s="392"/>
      <c r="N152" s="392"/>
      <c r="O152" s="392"/>
      <c r="P152" s="392"/>
      <c r="Q152" s="392"/>
      <c r="R152" s="392"/>
      <c r="S152" s="392"/>
      <c r="T152" s="392"/>
      <c r="U152" s="392"/>
      <c r="V152" s="392"/>
      <c r="W152" s="392"/>
      <c r="X152" s="392"/>
      <c r="Y152" s="392"/>
    </row>
    <row r="153" spans="6:25" ht="16.5" customHeight="1">
      <c r="F153" s="392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392"/>
      <c r="S153" s="392"/>
      <c r="T153" s="392"/>
      <c r="U153" s="392"/>
      <c r="V153" s="392"/>
      <c r="W153" s="392"/>
      <c r="X153" s="392"/>
      <c r="Y153" s="392"/>
    </row>
    <row r="154" spans="6:25" ht="16.5" customHeight="1"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</row>
    <row r="155" spans="6:25" ht="16.5" customHeight="1"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</row>
    <row r="156" spans="6:25" ht="16.5" customHeight="1"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</row>
    <row r="157" spans="6:25" ht="16.5" customHeight="1">
      <c r="F157" s="392"/>
      <c r="G157" s="392"/>
      <c r="H157" s="392"/>
      <c r="I157" s="392"/>
      <c r="J157" s="392"/>
      <c r="K157" s="392"/>
      <c r="L157" s="392"/>
      <c r="M157" s="392"/>
      <c r="N157" s="392"/>
      <c r="O157" s="392"/>
      <c r="P157" s="392"/>
      <c r="Q157" s="392"/>
      <c r="R157" s="392"/>
      <c r="S157" s="392"/>
      <c r="T157" s="392"/>
      <c r="U157" s="392"/>
      <c r="V157" s="392"/>
      <c r="W157" s="392"/>
      <c r="X157" s="392"/>
      <c r="Y157" s="392"/>
    </row>
    <row r="158" spans="6:25" ht="16.5" customHeight="1">
      <c r="F158" s="392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</row>
    <row r="159" spans="6:25" ht="16.5" customHeight="1">
      <c r="F159" s="392"/>
      <c r="G159" s="392"/>
      <c r="H159" s="392"/>
      <c r="I159" s="392"/>
      <c r="J159" s="392"/>
      <c r="K159" s="392"/>
      <c r="L159" s="392"/>
      <c r="M159" s="392"/>
      <c r="N159" s="392"/>
      <c r="O159" s="392"/>
      <c r="P159" s="392"/>
      <c r="Q159" s="392"/>
      <c r="R159" s="392"/>
      <c r="S159" s="392"/>
      <c r="T159" s="392"/>
      <c r="U159" s="392"/>
      <c r="V159" s="392"/>
      <c r="W159" s="392"/>
      <c r="X159" s="392"/>
      <c r="Y159" s="392"/>
    </row>
  </sheetData>
  <sheetProtection/>
  <printOptions horizontalCentered="1"/>
  <pageMargins left="0.24" right="0.4" top="0.7874015748031497" bottom="0.7874015748031497" header="0.5118110236220472" footer="0.5118110236220472"/>
  <pageSetup fitToHeight="1" fitToWidth="1" orientation="landscape" paperSize="9" scale="60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goyola</cp:lastModifiedBy>
  <cp:lastPrinted>2013-08-26T18:15:36Z</cp:lastPrinted>
  <dcterms:created xsi:type="dcterms:W3CDTF">2011-08-01T18:34:41Z</dcterms:created>
  <dcterms:modified xsi:type="dcterms:W3CDTF">2013-12-10T18:20:29Z</dcterms:modified>
  <cp:category/>
  <cp:version/>
  <cp:contentType/>
  <cp:contentStatus/>
</cp:coreProperties>
</file>