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314" sheetId="1" r:id="rId1"/>
    <sheet name="LI-03 (1)" sheetId="2" r:id="rId2"/>
    <sheet name="LI-LICCSA D-04 (1)" sheetId="3" r:id="rId3"/>
    <sheet name="T-03 (1)" sheetId="4" r:id="rId4"/>
    <sheet name="SA-03 (1)" sheetId="5" r:id="rId5"/>
    <sheet name="TASA FALLA" sheetId="6" r:id="rId6"/>
    <sheet name="DATO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5">'TASA FALLA'!$A$1:$T$44</definedName>
    <definedName name="DD" localSheetId="5">'TASA FALLA'!DD</definedName>
    <definedName name="DD">[0]!DD</definedName>
    <definedName name="DDD" localSheetId="5">'TASA FALLA'!DDD</definedName>
    <definedName name="DDD">[0]!DDD</definedName>
    <definedName name="DISTROCUYO" localSheetId="5">'TASA FALLA'!DISTROCUYO</definedName>
    <definedName name="DISTROCUYO">[0]!DISTROCUYO</definedName>
    <definedName name="INICIO" localSheetId="5">'TASA FALLA'!INICIO</definedName>
    <definedName name="INICIO">[0]!INICIO</definedName>
    <definedName name="INICIOTI" localSheetId="5">'TASA FALLA'!INICIOTI</definedName>
    <definedName name="INICIOTI">[0]!INICIOTI</definedName>
    <definedName name="LINEAS" localSheetId="5">'TASA FALLA'!LINEAS</definedName>
    <definedName name="LINEAS">[0]!LINEAS</definedName>
    <definedName name="LINEASTI" localSheetId="5">'TASA FALLA'!LINEASTI</definedName>
    <definedName name="LINEASTI">[0]!LINEASTI</definedName>
    <definedName name="NAME_L" localSheetId="5">'TASA FALLA'!NAME_L</definedName>
    <definedName name="NAME_L">[0]!NAME_L</definedName>
    <definedName name="NAME_L_TI" localSheetId="5">'TASA FALLA'!NAME_L_TI</definedName>
    <definedName name="NAME_L_TI">[0]!NAME_L_TI</definedName>
    <definedName name="TRAN" localSheetId="5">'TASA FALLA'!TRAN</definedName>
    <definedName name="TRAN">[0]!TRAN</definedName>
    <definedName name="TRANSNOA" localSheetId="5">'TASA FALLA'!TRANSNOA</definedName>
    <definedName name="TRANSNOA">[0]!TRANSNOA</definedName>
    <definedName name="TRANSPA" localSheetId="5">'TASA FALLA'!TRANSPA</definedName>
    <definedName name="TRANSPA">[0]!TRANSPA</definedName>
    <definedName name="x" localSheetId="5">'TASA FALLA'!x</definedName>
    <definedName name="x">[0]!x</definedName>
    <definedName name="XX" localSheetId="5">'TASA FALLA'!XX</definedName>
    <definedName name="XX">[0]!XX</definedName>
    <definedName name="Z_CED65634_EC76_48B7_BCDE_CE4F22E2E6C4_.wvu.PrintArea" localSheetId="5" hidden="1">'TASA FALLA'!$A$1:$T$44</definedName>
    <definedName name="Z_CED65634_EC76_48B7_BCDE_CE4F22E2E6C4_.wvu.Rows" localSheetId="5" hidden="1">'TASA FALLA'!$16:$16</definedName>
  </definedNames>
  <calcPr fullCalcOnLoad="1"/>
</workbook>
</file>

<file path=xl/sharedStrings.xml><?xml version="1.0" encoding="utf-8"?>
<sst xmlns="http://schemas.openxmlformats.org/spreadsheetml/2006/main" count="378" uniqueCount="196">
  <si>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</si>
  <si>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</si>
  <si>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</si>
  <si>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</si>
  <si>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</si>
  <si>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</si>
  <si>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</si>
  <si>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</si>
  <si>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</si>
  <si>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</si>
  <si>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</si>
  <si>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</si>
  <si>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</si>
  <si>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</si>
  <si>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</si>
  <si>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</si>
  <si>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</si>
  <si>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</si>
  <si>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</si>
  <si>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</si>
  <si>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</si>
  <si>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</si>
  <si>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</si>
  <si>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</si>
  <si>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</si>
  <si>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</si>
  <si>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</si>
  <si>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</si>
  <si>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</si>
  <si>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</si>
  <si>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</si>
  <si>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</si>
  <si>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</si>
  <si>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</si>
  <si>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</si>
  <si>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</si>
  <si>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</si>
  <si>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</si>
  <si>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</si>
  <si>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</si>
  <si>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</si>
  <si>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</si>
  <si>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</si>
  <si>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</si>
  <si>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</si>
  <si>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</si>
  <si>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</si>
  <si>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</si>
  <si>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</si>
  <si>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</si>
  <si>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</si>
  <si>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</si>
  <si>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</si>
  <si>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</si>
  <si>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</si>
  <si>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</si>
  <si>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</si>
  <si>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</si>
  <si>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</si>
  <si>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</si>
  <si>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</si>
  <si>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</si>
  <si>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</si>
  <si>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</si>
  <si>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</si>
  <si>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</si>
  <si>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</si>
  <si>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</si>
  <si>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</si>
  <si>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</si>
  <si>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</si>
  <si>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</si>
  <si>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</si>
  <si>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</si>
  <si>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</si>
  <si>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</si>
  <si>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</si>
  <si>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</si>
  <si>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</si>
  <si>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</si>
  <si>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</si>
  <si>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</si>
  <si>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</si>
  <si>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</si>
  <si>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</si>
  <si>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</si>
  <si>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</si>
  <si>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</si>
  <si>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</si>
  <si>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</si>
  <si>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</si>
  <si>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</si>
  <si>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</si>
  <si>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</si>
  <si>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</si>
  <si>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</si>
  <si>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</si>
  <si>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</si>
  <si>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</si>
  <si>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</si>
  <si>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</si>
  <si>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</si>
  <si>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</si>
  <si>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</si>
  <si>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</si>
  <si>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</si>
  <si>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</si>
  <si>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</si>
  <si>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</si>
  <si>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</si>
  <si>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</si>
  <si>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</si>
  <si>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</si>
  <si>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</si>
  <si>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</si>
  <si>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</si>
  <si>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</si>
  <si>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</si>
  <si>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</si>
  <si>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</si>
  <si>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</si>
  <si>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</si>
  <si>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</si>
  <si>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</si>
  <si>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</si>
  <si>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</si>
  <si>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</si>
  <si>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</si>
  <si>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</si>
  <si>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</si>
  <si>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marzo de 2014</t>
  </si>
  <si>
    <t>F</t>
  </si>
  <si>
    <t>0,000</t>
  </si>
  <si>
    <t>CRUZ DE PIEDRA - CAÑADA HONDA</t>
  </si>
  <si>
    <t>PEDRO VARGAS - SAN RAFAEL</t>
  </si>
  <si>
    <t>P</t>
  </si>
  <si>
    <t>LOS REYUNOS - GRAN MENDOZA</t>
  </si>
  <si>
    <t>CRUZ DE PIEDRA - LUJAN DE CUYO 1</t>
  </si>
  <si>
    <t>CRUZ DE PIEDRA - LUJAN DE CUYO 2</t>
  </si>
  <si>
    <t>SI</t>
  </si>
  <si>
    <t>CRUZ DE PIEDRA</t>
  </si>
  <si>
    <t>132/66/13,2</t>
  </si>
  <si>
    <t>SAN JUAN</t>
  </si>
  <si>
    <t>AUTOTRAFO 1</t>
  </si>
  <si>
    <t>AUTOTRAFO 2</t>
  </si>
  <si>
    <t>220/132/13,2</t>
  </si>
  <si>
    <t>LUJAN DE CUYO</t>
  </si>
  <si>
    <t>TRAFO 6</t>
  </si>
  <si>
    <t>132/33/13,2</t>
  </si>
  <si>
    <t>SAN RAFAEL</t>
  </si>
  <si>
    <t>AUTOTRAFO EMSE (2)</t>
  </si>
  <si>
    <t>AUTOTRAFO EMSE (1)</t>
  </si>
  <si>
    <t>ALIMENT. 2 DESTILERIA</t>
  </si>
  <si>
    <t>LINEA YPF POZOS 2</t>
  </si>
  <si>
    <t>ALIMENT. VILLA KRAUSE</t>
  </si>
  <si>
    <t>ALIMENT. SARMIENTO II</t>
  </si>
  <si>
    <t>ALIMENT. SARMIENTO III</t>
  </si>
  <si>
    <t>ALIMENT. POCITOS I</t>
  </si>
  <si>
    <t>ANCHORIS</t>
  </si>
  <si>
    <t>LINEA ARGENTINA II</t>
  </si>
  <si>
    <t>ALIMENT. RAWSON I</t>
  </si>
  <si>
    <t>ALIMENT. CENTRO I</t>
  </si>
  <si>
    <t>ALIMENT. SCOP</t>
  </si>
  <si>
    <t>ALIMENT. SARMIENTO I</t>
  </si>
  <si>
    <t>LINEA C.H. QUEBRADA DE ULLUM</t>
  </si>
  <si>
    <t xml:space="preserve">       DE LA ELECTRICIDAD</t>
  </si>
  <si>
    <t xml:space="preserve"> - </t>
  </si>
  <si>
    <t>FACTOR DE PENALIZACIÓN K =</t>
  </si>
  <si>
    <t xml:space="preserve">Hs.
Indisp. </t>
  </si>
  <si>
    <t>PENALIZACIÓN FORZADA
Por Salida    1ras. 3 hs.  hs. Restantes</t>
  </si>
  <si>
    <t>REDUCC. FORZADA
Por Salida    1ras. 3 hs.  hs. Restantes</t>
  </si>
  <si>
    <t>Informó
enTérm.</t>
  </si>
  <si>
    <t>RIO DIAMANTE - LOS REYUNOS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</si>
  <si>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</si>
  <si>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</t>
  </si>
  <si>
    <t>SAN JUAN - CAÑADA HONDA</t>
  </si>
  <si>
    <t>Res. SE 1/03</t>
  </si>
  <si>
    <t>TRAFO 2</t>
  </si>
  <si>
    <t>1.2.-</t>
  </si>
  <si>
    <t>Valores remuneratorios según el Convenio de Renovación. Nota ENRE Nº 111537</t>
  </si>
  <si>
    <t>P - PROGRAMADA  ; F- FORZADA</t>
  </si>
  <si>
    <t xml:space="preserve"> ENTE NACIONAL REGULADOR</t>
  </si>
  <si>
    <t>TOTAL DE PENALIZACIONES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</si>
  <si>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</si>
  <si>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</si>
  <si>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</si>
  <si>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</si>
  <si>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</si>
  <si>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</si>
  <si>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</si>
  <si>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</si>
  <si>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</si>
  <si>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>1.2.-Líneas L.I.C.C.S.A.  Operación y Mantenimiento Propio</t>
  </si>
  <si>
    <t xml:space="preserve">Tasa de falla Correspondiente al mes de Marzo de 2014 </t>
  </si>
  <si>
    <t>Líneas  L.I.C.C.S.A.  - OyM Propio</t>
  </si>
  <si>
    <t>ANEXO IV al Memorandum D.T.E.E. N° 798 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</si>
</sst>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6"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2"/>
    </font>
    <font>
      <sz val="11"/>
      <color indexed="8"/>
      <name val="MS Sans Serif"/>
      <family val="2"/>
    </font>
    <font>
      <sz val="11"/>
      <color indexed="34"/>
      <name val="MS Sans Serif"/>
      <family val="2"/>
    </font>
    <font>
      <b/>
      <sz val="10"/>
      <color indexed="8"/>
      <name val="Times New Roman"/>
      <family val="1"/>
    </font>
    <font>
      <b/>
      <sz val="10"/>
      <color indexed="34"/>
      <name val="Times New Roman"/>
      <family val="1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1" applyNumberFormat="0" applyAlignment="0" applyProtection="0"/>
    <xf numFmtId="0" fontId="103" fillId="21" borderId="2" applyNumberFormat="0" applyAlignment="0" applyProtection="0"/>
    <xf numFmtId="0" fontId="104" fillId="0" borderId="3" applyNumberFormat="0" applyFill="0" applyAlignment="0" applyProtection="0"/>
    <xf numFmtId="0" fontId="105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6" fillId="28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109" fillId="20" borderId="5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05" fillId="0" borderId="8" applyNumberFormat="0" applyFill="0" applyAlignment="0" applyProtection="0"/>
    <xf numFmtId="0" fontId="115" fillId="0" borderId="9" applyNumberFormat="0" applyFill="0" applyAlignment="0" applyProtection="0"/>
  </cellStyleXfs>
  <cellXfs count="676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4" xfId="55" applyFont="1" applyBorder="1" applyAlignment="1">
      <alignment horizontal="centerContinuous"/>
      <protection/>
    </xf>
    <xf numFmtId="0" fontId="13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3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18" xfId="55" applyNumberFormat="1" applyFont="1" applyBorder="1">
      <alignment/>
      <protection/>
    </xf>
    <xf numFmtId="0" fontId="17" fillId="0" borderId="18" xfId="55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4" fillId="0" borderId="0" xfId="55" applyFont="1" applyBorder="1" applyAlignment="1" applyProtection="1">
      <alignment horizontal="centerContinuous"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 applyAlignment="1" applyProtection="1">
      <alignment horizontal="centerContinuous"/>
      <protection/>
    </xf>
    <xf numFmtId="0" fontId="20" fillId="0" borderId="14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5" xfId="55" applyFont="1" applyBorder="1" applyAlignment="1" applyProtection="1">
      <alignment horizontal="center"/>
      <protection/>
    </xf>
    <xf numFmtId="176" fontId="1" fillId="0" borderId="15" xfId="55" applyNumberFormat="1" applyFont="1" applyBorder="1" applyAlignment="1">
      <alignment horizontal="centerContinuous"/>
      <protection/>
    </xf>
    <xf numFmtId="0" fontId="3" fillId="0" borderId="16" xfId="55" applyFont="1" applyBorder="1" applyAlignment="1" applyProtection="1">
      <alignment horizontal="centerContinuous"/>
      <protection/>
    </xf>
    <xf numFmtId="171" fontId="6" fillId="0" borderId="16" xfId="55" applyNumberFormat="1" applyFont="1" applyBorder="1" applyAlignment="1">
      <alignment horizontal="centerContinuous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 applyProtection="1">
      <alignment horizontal="left"/>
      <protection locked="0"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32" borderId="20" xfId="55" applyFont="1" applyFill="1" applyBorder="1" applyAlignment="1" applyProtection="1">
      <alignment horizontal="center" vertical="center"/>
      <protection/>
    </xf>
    <xf numFmtId="0" fontId="28" fillId="33" borderId="20" xfId="55" applyFont="1" applyFill="1" applyBorder="1" applyAlignment="1">
      <alignment horizontal="center" vertical="center" wrapText="1"/>
      <protection/>
    </xf>
    <xf numFmtId="0" fontId="29" fillId="34" borderId="20" xfId="55" applyFont="1" applyFill="1" applyBorder="1" applyAlignment="1">
      <alignment horizontal="center" vertical="center" wrapText="1"/>
      <protection/>
    </xf>
    <xf numFmtId="0" fontId="30" fillId="32" borderId="15" xfId="55" applyFont="1" applyFill="1" applyBorder="1" applyAlignment="1" applyProtection="1">
      <alignment horizontal="centerContinuous" vertical="center" wrapText="1"/>
      <protection/>
    </xf>
    <xf numFmtId="0" fontId="7" fillId="32" borderId="21" xfId="55" applyFont="1" applyFill="1" applyBorder="1" applyAlignment="1">
      <alignment horizontal="centerContinuous"/>
      <protection/>
    </xf>
    <xf numFmtId="0" fontId="30" fillId="32" borderId="16" xfId="55" applyFont="1" applyFill="1" applyBorder="1" applyAlignment="1">
      <alignment horizontal="centerContinuous" vertical="center"/>
      <protection/>
    </xf>
    <xf numFmtId="0" fontId="28" fillId="35" borderId="15" xfId="55" applyFont="1" applyFill="1" applyBorder="1" applyAlignment="1" applyProtection="1">
      <alignment horizontal="centerContinuous" vertical="center" wrapText="1"/>
      <protection/>
    </xf>
    <xf numFmtId="0" fontId="28" fillId="35" borderId="21" xfId="55" applyFont="1" applyFill="1" applyBorder="1" applyAlignment="1">
      <alignment horizontal="centerContinuous" vertical="center"/>
      <protection/>
    </xf>
    <xf numFmtId="0" fontId="28" fillId="35" borderId="16" xfId="55" applyFont="1" applyFill="1" applyBorder="1" applyAlignment="1">
      <alignment horizontal="centerContinuous" vertical="center"/>
      <protection/>
    </xf>
    <xf numFmtId="0" fontId="31" fillId="4" borderId="20" xfId="55" applyFont="1" applyFill="1" applyBorder="1" applyAlignment="1">
      <alignment horizontal="center" vertical="center" wrapText="1"/>
      <protection/>
    </xf>
    <xf numFmtId="0" fontId="32" fillId="36" borderId="20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22" xfId="55" applyFont="1" applyBorder="1" applyProtection="1">
      <alignment/>
      <protection locked="0"/>
    </xf>
    <xf numFmtId="0" fontId="6" fillId="0" borderId="22" xfId="55" applyFont="1" applyBorder="1" applyAlignment="1" applyProtection="1">
      <alignment horizontal="center"/>
      <protection locked="0"/>
    </xf>
    <xf numFmtId="0" fontId="33" fillId="32" borderId="22" xfId="55" applyFont="1" applyFill="1" applyBorder="1" applyProtection="1">
      <alignment/>
      <protection locked="0"/>
    </xf>
    <xf numFmtId="0" fontId="6" fillId="0" borderId="22" xfId="55" applyFont="1" applyBorder="1" applyAlignment="1">
      <alignment horizontal="center"/>
      <protection/>
    </xf>
    <xf numFmtId="0" fontId="34" fillId="33" borderId="22" xfId="55" applyFont="1" applyFill="1" applyBorder="1" applyProtection="1">
      <alignment/>
      <protection locked="0"/>
    </xf>
    <xf numFmtId="0" fontId="35" fillId="34" borderId="22" xfId="55" applyFont="1" applyFill="1" applyBorder="1" applyProtection="1">
      <alignment/>
      <protection locked="0"/>
    </xf>
    <xf numFmtId="0" fontId="36" fillId="32" borderId="22" xfId="55" applyFont="1" applyFill="1" applyBorder="1" applyAlignment="1" applyProtection="1">
      <alignment horizontal="center"/>
      <protection locked="0"/>
    </xf>
    <xf numFmtId="0" fontId="36" fillId="32" borderId="22" xfId="55" applyFont="1" applyFill="1" applyBorder="1" applyProtection="1">
      <alignment/>
      <protection locked="0"/>
    </xf>
    <xf numFmtId="0" fontId="34" fillId="35" borderId="22" xfId="55" applyFont="1" applyFill="1" applyBorder="1" applyProtection="1">
      <alignment/>
      <protection locked="0"/>
    </xf>
    <xf numFmtId="0" fontId="37" fillId="4" borderId="22" xfId="55" applyFont="1" applyFill="1" applyBorder="1" applyProtection="1">
      <alignment/>
      <protection locked="0"/>
    </xf>
    <xf numFmtId="0" fontId="38" fillId="36" borderId="22" xfId="55" applyFont="1" applyFill="1" applyBorder="1" applyProtection="1">
      <alignment/>
      <protection locked="0"/>
    </xf>
    <xf numFmtId="0" fontId="39" fillId="0" borderId="22" xfId="55" applyFont="1" applyBorder="1" applyAlignment="1">
      <alignment horizontal="center"/>
      <protection/>
    </xf>
    <xf numFmtId="0" fontId="6" fillId="0" borderId="23" xfId="55" applyFont="1" applyBorder="1" applyProtection="1">
      <alignment/>
      <protection locked="0"/>
    </xf>
    <xf numFmtId="0" fontId="6" fillId="0" borderId="24" xfId="55" applyFont="1" applyBorder="1" applyAlignment="1" applyProtection="1">
      <alignment horizontal="center"/>
      <protection locked="0"/>
    </xf>
    <xf numFmtId="0" fontId="33" fillId="32" borderId="23" xfId="55" applyFont="1" applyFill="1" applyBorder="1" applyProtection="1">
      <alignment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6" fillId="0" borderId="23" xfId="55" applyFont="1" applyBorder="1" applyAlignment="1">
      <alignment horizontal="center"/>
      <protection/>
    </xf>
    <xf numFmtId="0" fontId="34" fillId="33" borderId="23" xfId="55" applyFont="1" applyFill="1" applyBorder="1" applyProtection="1">
      <alignment/>
      <protection locked="0"/>
    </xf>
    <xf numFmtId="0" fontId="35" fillId="34" borderId="23" xfId="55" applyFont="1" applyFill="1" applyBorder="1" applyProtection="1">
      <alignment/>
      <protection locked="0"/>
    </xf>
    <xf numFmtId="0" fontId="36" fillId="32" borderId="23" xfId="55" applyFont="1" applyFill="1" applyBorder="1" applyAlignment="1" applyProtection="1">
      <alignment horizontal="center"/>
      <protection locked="0"/>
    </xf>
    <xf numFmtId="0" fontId="36" fillId="32" borderId="23" xfId="55" applyFont="1" applyFill="1" applyBorder="1" applyProtection="1">
      <alignment/>
      <protection locked="0"/>
    </xf>
    <xf numFmtId="0" fontId="34" fillId="35" borderId="23" xfId="55" applyFont="1" applyFill="1" applyBorder="1" applyProtection="1">
      <alignment/>
      <protection locked="0"/>
    </xf>
    <xf numFmtId="0" fontId="37" fillId="4" borderId="23" xfId="55" applyFont="1" applyFill="1" applyBorder="1" applyProtection="1">
      <alignment/>
      <protection locked="0"/>
    </xf>
    <xf numFmtId="0" fontId="38" fillId="36" borderId="23" xfId="55" applyFont="1" applyFill="1" applyBorder="1" applyProtection="1">
      <alignment/>
      <protection locked="0"/>
    </xf>
    <xf numFmtId="0" fontId="39" fillId="0" borderId="23" xfId="55" applyFont="1" applyBorder="1" applyAlignment="1">
      <alignment horizontal="center"/>
      <protection/>
    </xf>
    <xf numFmtId="2" fontId="6" fillId="0" borderId="24" xfId="55" applyNumberFormat="1" applyFont="1" applyBorder="1" applyAlignment="1" applyProtection="1">
      <alignment horizontal="center"/>
      <protection locked="0"/>
    </xf>
    <xf numFmtId="172" fontId="33" fillId="32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Border="1" applyAlignment="1" applyProtection="1">
      <alignment horizontal="center"/>
      <protection locked="0"/>
    </xf>
    <xf numFmtId="2" fontId="6" fillId="0" borderId="23" xfId="55" applyNumberFormat="1" applyFont="1" applyBorder="1" applyAlignment="1" applyProtection="1">
      <alignment horizontal="center"/>
      <protection/>
    </xf>
    <xf numFmtId="1" fontId="6" fillId="0" borderId="23" xfId="55" applyNumberFormat="1" applyFont="1" applyBorder="1" applyAlignment="1" applyProtection="1">
      <alignment horizontal="center"/>
      <protection/>
    </xf>
    <xf numFmtId="172" fontId="6" fillId="0" borderId="23" xfId="55" applyNumberFormat="1" applyFont="1" applyBorder="1" applyAlignment="1" applyProtection="1">
      <alignment horizontal="center"/>
      <protection locked="0"/>
    </xf>
    <xf numFmtId="172" fontId="6" fillId="0" borderId="23" xfId="55" applyNumberFormat="1" applyFont="1" applyBorder="1" applyAlignment="1" applyProtection="1" quotePrefix="1">
      <alignment horizontal="center"/>
      <protection locked="0"/>
    </xf>
    <xf numFmtId="2" fontId="34" fillId="33" borderId="23" xfId="55" applyNumberFormat="1" applyFont="1" applyFill="1" applyBorder="1" applyAlignment="1" applyProtection="1">
      <alignment horizontal="center"/>
      <protection locked="0"/>
    </xf>
    <xf numFmtId="2" fontId="35" fillId="34" borderId="23" xfId="55" applyNumberFormat="1" applyFont="1" applyFill="1" applyBorder="1" applyAlignment="1" applyProtection="1">
      <alignment horizontal="center"/>
      <protection locked="0"/>
    </xf>
    <xf numFmtId="172" fontId="36" fillId="32" borderId="23" xfId="55" applyNumberFormat="1" applyFont="1" applyFill="1" applyBorder="1" applyAlignment="1" applyProtection="1" quotePrefix="1">
      <alignment horizontal="center"/>
      <protection locked="0"/>
    </xf>
    <xf numFmtId="4" fontId="36" fillId="32" borderId="23" xfId="55" applyNumberFormat="1" applyFont="1" applyFill="1" applyBorder="1" applyAlignment="1" applyProtection="1">
      <alignment horizontal="center"/>
      <protection locked="0"/>
    </xf>
    <xf numFmtId="172" fontId="34" fillId="35" borderId="23" xfId="55" applyNumberFormat="1" applyFont="1" applyFill="1" applyBorder="1" applyAlignment="1" applyProtection="1" quotePrefix="1">
      <alignment horizontal="center"/>
      <protection locked="0"/>
    </xf>
    <xf numFmtId="4" fontId="34" fillId="35" borderId="23" xfId="55" applyNumberFormat="1" applyFont="1" applyFill="1" applyBorder="1" applyAlignment="1" applyProtection="1">
      <alignment horizontal="center"/>
      <protection locked="0"/>
    </xf>
    <xf numFmtId="4" fontId="37" fillId="4" borderId="23" xfId="55" applyNumberFormat="1" applyFont="1" applyFill="1" applyBorder="1" applyAlignment="1" applyProtection="1">
      <alignment horizontal="center"/>
      <protection locked="0"/>
    </xf>
    <xf numFmtId="4" fontId="38" fillId="36" borderId="23" xfId="55" applyNumberFormat="1" applyFont="1" applyFill="1" applyBorder="1" applyAlignment="1" applyProtection="1">
      <alignment horizontal="center"/>
      <protection locked="0"/>
    </xf>
    <xf numFmtId="4" fontId="6" fillId="0" borderId="23" xfId="55" applyNumberFormat="1" applyFont="1" applyBorder="1" applyAlignment="1" applyProtection="1">
      <alignment horizontal="center"/>
      <protection locked="0"/>
    </xf>
    <xf numFmtId="4" fontId="39" fillId="0" borderId="23" xfId="55" applyNumberFormat="1" applyFont="1" applyBorder="1" applyAlignment="1">
      <alignment horizontal="right"/>
      <protection/>
    </xf>
    <xf numFmtId="2" fontId="6" fillId="0" borderId="14" xfId="55" applyNumberFormat="1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25" xfId="55" applyFont="1" applyBorder="1" applyAlignment="1" applyProtection="1">
      <alignment horizontal="center"/>
      <protection locked="0"/>
    </xf>
    <xf numFmtId="0" fontId="6" fillId="0" borderId="26" xfId="55" applyFont="1" applyBorder="1" applyAlignment="1" applyProtection="1">
      <alignment horizontal="center"/>
      <protection/>
    </xf>
    <xf numFmtId="2" fontId="6" fillId="0" borderId="26" xfId="55" applyNumberFormat="1" applyFont="1" applyBorder="1" applyAlignment="1" applyProtection="1">
      <alignment horizontal="center"/>
      <protection/>
    </xf>
    <xf numFmtId="172" fontId="6" fillId="0" borderId="25" xfId="55" applyNumberFormat="1" applyFont="1" applyBorder="1" applyAlignment="1" applyProtection="1">
      <alignment horizontal="center"/>
      <protection/>
    </xf>
    <xf numFmtId="172" fontId="33" fillId="32" borderId="25" xfId="55" applyNumberFormat="1" applyFont="1" applyFill="1" applyBorder="1" applyAlignment="1" applyProtection="1">
      <alignment horizontal="center"/>
      <protection/>
    </xf>
    <xf numFmtId="22" fontId="6" fillId="0" borderId="25" xfId="55" applyNumberFormat="1" applyFont="1" applyBorder="1" applyAlignment="1">
      <alignment horizontal="center"/>
      <protection/>
    </xf>
    <xf numFmtId="172" fontId="34" fillId="33" borderId="25" xfId="55" applyNumberFormat="1" applyFont="1" applyFill="1" applyBorder="1" applyAlignment="1" applyProtection="1" quotePrefix="1">
      <alignment horizontal="center"/>
      <protection/>
    </xf>
    <xf numFmtId="172" fontId="35" fillId="34" borderId="25" xfId="55" applyNumberFormat="1" applyFont="1" applyFill="1" applyBorder="1" applyAlignment="1" applyProtection="1" quotePrefix="1">
      <alignment horizontal="center"/>
      <protection/>
    </xf>
    <xf numFmtId="172" fontId="36" fillId="32" borderId="25" xfId="55" applyNumberFormat="1" applyFont="1" applyFill="1" applyBorder="1" applyAlignment="1" applyProtection="1" quotePrefix="1">
      <alignment horizontal="center"/>
      <protection/>
    </xf>
    <xf numFmtId="4" fontId="36" fillId="32" borderId="25" xfId="55" applyNumberFormat="1" applyFont="1" applyFill="1" applyBorder="1" applyAlignment="1">
      <alignment horizontal="center"/>
      <protection/>
    </xf>
    <xf numFmtId="4" fontId="34" fillId="35" borderId="25" xfId="55" applyNumberFormat="1" applyFont="1" applyFill="1" applyBorder="1" applyAlignment="1">
      <alignment horizontal="center"/>
      <protection/>
    </xf>
    <xf numFmtId="4" fontId="37" fillId="4" borderId="25" xfId="55" applyNumberFormat="1" applyFont="1" applyFill="1" applyBorder="1" applyAlignment="1">
      <alignment horizontal="center"/>
      <protection/>
    </xf>
    <xf numFmtId="4" fontId="38" fillId="36" borderId="25" xfId="55" applyNumberFormat="1" applyFont="1" applyFill="1" applyBorder="1" applyAlignment="1">
      <alignment horizontal="center"/>
      <protection/>
    </xf>
    <xf numFmtId="4" fontId="6" fillId="0" borderId="25" xfId="55" applyNumberFormat="1" applyFont="1" applyBorder="1" applyAlignment="1">
      <alignment horizontal="center"/>
      <protection/>
    </xf>
    <xf numFmtId="7" fontId="39" fillId="0" borderId="27" xfId="55" applyNumberFormat="1" applyFont="1" applyBorder="1" applyAlignment="1">
      <alignment horizontal="center"/>
      <protection/>
    </xf>
    <xf numFmtId="0" fontId="41" fillId="0" borderId="28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/>
      <protection/>
    </xf>
    <xf numFmtId="172" fontId="6" fillId="0" borderId="0" xfId="55" applyNumberFormat="1" applyFont="1" applyBorder="1" applyAlignment="1" applyProtection="1">
      <alignment horizontal="center"/>
      <protection/>
    </xf>
    <xf numFmtId="172" fontId="6" fillId="0" borderId="0" xfId="55" applyNumberFormat="1" applyFont="1" applyBorder="1" applyAlignment="1" applyProtection="1" quotePrefix="1">
      <alignment horizontal="center"/>
      <protection/>
    </xf>
    <xf numFmtId="2" fontId="34" fillId="33" borderId="20" xfId="55" applyNumberFormat="1" applyFont="1" applyFill="1" applyBorder="1" applyAlignment="1">
      <alignment horizontal="center"/>
      <protection/>
    </xf>
    <xf numFmtId="2" fontId="35" fillId="34" borderId="20" xfId="55" applyNumberFormat="1" applyFont="1" applyFill="1" applyBorder="1" applyAlignment="1">
      <alignment horizontal="center"/>
      <protection/>
    </xf>
    <xf numFmtId="172" fontId="36" fillId="32" borderId="20" xfId="55" applyNumberFormat="1" applyFont="1" applyFill="1" applyBorder="1" applyAlignment="1" applyProtection="1" quotePrefix="1">
      <alignment horizontal="center"/>
      <protection/>
    </xf>
    <xf numFmtId="172" fontId="34" fillId="35" borderId="20" xfId="55" applyNumberFormat="1" applyFont="1" applyFill="1" applyBorder="1" applyAlignment="1" applyProtection="1" quotePrefix="1">
      <alignment horizontal="center"/>
      <protection/>
    </xf>
    <xf numFmtId="172" fontId="37" fillId="4" borderId="20" xfId="55" applyNumberFormat="1" applyFont="1" applyFill="1" applyBorder="1" applyAlignment="1" applyProtection="1" quotePrefix="1">
      <alignment horizontal="center"/>
      <protection/>
    </xf>
    <xf numFmtId="172" fontId="38" fillId="36" borderId="20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8" fontId="2" fillId="0" borderId="20" xfId="55" applyNumberFormat="1" applyFont="1" applyBorder="1" applyAlignment="1" applyProtection="1">
      <alignment horizontal="right"/>
      <protection locked="0"/>
    </xf>
    <xf numFmtId="2" fontId="6" fillId="0" borderId="14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13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 vertical="top"/>
      <protection/>
    </xf>
    <xf numFmtId="0" fontId="41" fillId="0" borderId="0" xfId="55" applyFont="1" applyBorder="1" applyAlignment="1" applyProtection="1">
      <alignment horizontal="center"/>
      <protection/>
    </xf>
    <xf numFmtId="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 quotePrefix="1">
      <alignment horizontal="center"/>
      <protection/>
    </xf>
    <xf numFmtId="2" fontId="43" fillId="0" borderId="0" xfId="55" applyNumberFormat="1" applyFont="1" applyBorder="1" applyAlignment="1">
      <alignment horizontal="center"/>
      <protection/>
    </xf>
    <xf numFmtId="172" fontId="44" fillId="0" borderId="0" xfId="55" applyNumberFormat="1" applyFont="1" applyBorder="1" applyAlignment="1" applyProtection="1" quotePrefix="1">
      <alignment horizontal="center"/>
      <protection/>
    </xf>
    <xf numFmtId="4" fontId="44" fillId="0" borderId="0" xfId="55" applyNumberFormat="1" applyFont="1" applyBorder="1" applyAlignment="1">
      <alignment horizontal="center"/>
      <protection/>
    </xf>
    <xf numFmtId="8" fontId="45" fillId="0" borderId="0" xfId="55" applyNumberFormat="1" applyFont="1" applyBorder="1" applyAlignment="1" applyProtection="1">
      <alignment horizontal="right"/>
      <protection locked="0"/>
    </xf>
    <xf numFmtId="2" fontId="41" fillId="0" borderId="14" xfId="55" applyNumberFormat="1" applyFont="1" applyBorder="1" applyAlignment="1">
      <alignment horizontal="center"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" fillId="0" borderId="0" xfId="55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10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4" xfId="55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4" fillId="0" borderId="0" xfId="55" applyFont="1" applyFill="1">
      <alignment/>
      <protection/>
    </xf>
    <xf numFmtId="0" fontId="23" fillId="0" borderId="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20" fillId="0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20" fillId="0" borderId="14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left"/>
      <protection/>
    </xf>
    <xf numFmtId="0" fontId="1" fillId="0" borderId="15" xfId="55" applyFont="1" applyFill="1" applyBorder="1" applyAlignment="1" applyProtection="1">
      <alignment horizontal="left"/>
      <protection/>
    </xf>
    <xf numFmtId="0" fontId="1" fillId="0" borderId="28" xfId="55" applyFont="1" applyFill="1" applyBorder="1" applyAlignment="1" applyProtection="1">
      <alignment horizontal="center"/>
      <protection/>
    </xf>
    <xf numFmtId="0" fontId="1" fillId="0" borderId="28" xfId="55" applyFont="1" applyFill="1" applyBorder="1">
      <alignment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5" xfId="55" applyFont="1" applyFill="1" applyBorder="1" applyAlignment="1" applyProtection="1" quotePrefix="1">
      <alignment horizontal="left"/>
      <protection/>
    </xf>
    <xf numFmtId="0" fontId="1" fillId="0" borderId="21" xfId="55" applyFont="1" applyFill="1" applyBorder="1" applyAlignment="1" applyProtection="1">
      <alignment horizontal="center"/>
      <protection/>
    </xf>
    <xf numFmtId="168" fontId="1" fillId="0" borderId="20" xfId="55" applyNumberFormat="1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22" fontId="6" fillId="0" borderId="0" xfId="55" applyNumberFormat="1" applyFont="1" applyFill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0" fontId="25" fillId="0" borderId="20" xfId="55" applyFont="1" applyFill="1" applyBorder="1" applyAlignment="1" applyProtection="1">
      <alignment horizontal="center" vertical="center" wrapText="1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 quotePrefix="1">
      <alignment horizontal="center" vertical="center" wrapText="1"/>
      <protection/>
    </xf>
    <xf numFmtId="0" fontId="25" fillId="0" borderId="20" xfId="55" applyFont="1" applyFill="1" applyBorder="1" applyAlignment="1">
      <alignment horizontal="center" vertical="center" wrapText="1"/>
      <protection/>
    </xf>
    <xf numFmtId="0" fontId="26" fillId="32" borderId="20" xfId="55" applyFont="1" applyFill="1" applyBorder="1" applyAlignment="1" applyProtection="1">
      <alignment horizontal="center" vertical="center"/>
      <protection/>
    </xf>
    <xf numFmtId="0" fontId="32" fillId="36" borderId="20" xfId="55" applyFont="1" applyFill="1" applyBorder="1" applyAlignment="1" applyProtection="1">
      <alignment horizontal="center" vertical="center"/>
      <protection/>
    </xf>
    <xf numFmtId="0" fontId="28" fillId="35" borderId="20" xfId="55" applyFont="1" applyFill="1" applyBorder="1" applyAlignment="1">
      <alignment horizontal="center" vertical="center" wrapText="1"/>
      <protection/>
    </xf>
    <xf numFmtId="0" fontId="46" fillId="37" borderId="20" xfId="55" applyFont="1" applyFill="1" applyBorder="1" applyAlignment="1">
      <alignment horizontal="center" vertical="center" wrapText="1"/>
      <protection/>
    </xf>
    <xf numFmtId="0" fontId="46" fillId="38" borderId="15" xfId="55" applyFont="1" applyFill="1" applyBorder="1" applyAlignment="1" applyProtection="1">
      <alignment horizontal="centerContinuous" vertical="center" wrapText="1"/>
      <protection/>
    </xf>
    <xf numFmtId="0" fontId="46" fillId="38" borderId="16" xfId="55" applyFont="1" applyFill="1" applyBorder="1" applyAlignment="1">
      <alignment horizontal="centerContinuous" vertical="center"/>
      <protection/>
    </xf>
    <xf numFmtId="0" fontId="47" fillId="39" borderId="15" xfId="55" applyFont="1" applyFill="1" applyBorder="1" applyAlignment="1" applyProtection="1">
      <alignment horizontal="centerContinuous" vertical="center" wrapText="1"/>
      <protection/>
    </xf>
    <xf numFmtId="0" fontId="47" fillId="39" borderId="16" xfId="55" applyFont="1" applyFill="1" applyBorder="1" applyAlignment="1">
      <alignment horizontal="centerContinuous" vertical="center"/>
      <protection/>
    </xf>
    <xf numFmtId="0" fontId="31" fillId="40" borderId="20" xfId="55" applyFont="1" applyFill="1" applyBorder="1" applyAlignment="1">
      <alignment horizontal="center" vertical="center" wrapText="1"/>
      <protection/>
    </xf>
    <xf numFmtId="0" fontId="46" fillId="3" borderId="2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29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Protection="1">
      <alignment/>
      <protection locked="0"/>
    </xf>
    <xf numFmtId="0" fontId="48" fillId="32" borderId="22" xfId="55" applyFont="1" applyFill="1" applyBorder="1" applyProtection="1">
      <alignment/>
      <protection locked="0"/>
    </xf>
    <xf numFmtId="0" fontId="6" fillId="0" borderId="22" xfId="55" applyFont="1" applyFill="1" applyBorder="1" applyAlignment="1">
      <alignment horizontal="center"/>
      <protection/>
    </xf>
    <xf numFmtId="0" fontId="49" fillId="37" borderId="22" xfId="55" applyFont="1" applyFill="1" applyBorder="1" applyProtection="1">
      <alignment/>
      <protection locked="0"/>
    </xf>
    <xf numFmtId="0" fontId="49" fillId="38" borderId="30" xfId="55" applyFont="1" applyFill="1" applyBorder="1" applyAlignment="1" applyProtection="1">
      <alignment horizontal="center"/>
      <protection locked="0"/>
    </xf>
    <xf numFmtId="0" fontId="49" fillId="38" borderId="31" xfId="55" applyFont="1" applyFill="1" applyBorder="1" applyProtection="1">
      <alignment/>
      <protection locked="0"/>
    </xf>
    <xf numFmtId="0" fontId="50" fillId="39" borderId="30" xfId="55" applyFont="1" applyFill="1" applyBorder="1" applyAlignment="1" applyProtection="1">
      <alignment horizontal="center"/>
      <protection locked="0"/>
    </xf>
    <xf numFmtId="0" fontId="50" fillId="39" borderId="31" xfId="55" applyFont="1" applyFill="1" applyBorder="1" applyProtection="1">
      <alignment/>
      <protection locked="0"/>
    </xf>
    <xf numFmtId="0" fontId="37" fillId="40" borderId="22" xfId="55" applyFont="1" applyFill="1" applyBorder="1" applyProtection="1">
      <alignment/>
      <protection locked="0"/>
    </xf>
    <xf numFmtId="0" fontId="49" fillId="3" borderId="22" xfId="55" applyFont="1" applyFill="1" applyBorder="1" applyProtection="1">
      <alignment/>
      <protection locked="0"/>
    </xf>
    <xf numFmtId="0" fontId="39" fillId="0" borderId="22" xfId="55" applyFont="1" applyFill="1" applyBorder="1" applyAlignment="1">
      <alignment horizontal="right"/>
      <protection/>
    </xf>
    <xf numFmtId="0" fontId="6" fillId="0" borderId="32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48" fillId="32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>
      <alignment horizontal="center"/>
      <protection/>
    </xf>
    <xf numFmtId="0" fontId="49" fillId="37" borderId="23" xfId="55" applyFont="1" applyFill="1" applyBorder="1" applyProtection="1">
      <alignment/>
      <protection locked="0"/>
    </xf>
    <xf numFmtId="0" fontId="49" fillId="38" borderId="33" xfId="55" applyFont="1" applyFill="1" applyBorder="1" applyAlignment="1" applyProtection="1">
      <alignment horizontal="center"/>
      <protection locked="0"/>
    </xf>
    <xf numFmtId="0" fontId="49" fillId="38" borderId="34" xfId="55" applyFont="1" applyFill="1" applyBorder="1" applyProtection="1">
      <alignment/>
      <protection locked="0"/>
    </xf>
    <xf numFmtId="0" fontId="50" fillId="39" borderId="33" xfId="55" applyFont="1" applyFill="1" applyBorder="1" applyAlignment="1" applyProtection="1">
      <alignment horizontal="center"/>
      <protection locked="0"/>
    </xf>
    <xf numFmtId="0" fontId="50" fillId="39" borderId="34" xfId="55" applyFont="1" applyFill="1" applyBorder="1" applyProtection="1">
      <alignment/>
      <protection locked="0"/>
    </xf>
    <xf numFmtId="0" fontId="37" fillId="40" borderId="23" xfId="55" applyFont="1" applyFill="1" applyBorder="1" applyProtection="1">
      <alignment/>
      <protection locked="0"/>
    </xf>
    <xf numFmtId="0" fontId="49" fillId="3" borderId="23" xfId="55" applyFont="1" applyFill="1" applyBorder="1" applyProtection="1">
      <alignment/>
      <protection locked="0"/>
    </xf>
    <xf numFmtId="0" fontId="39" fillId="0" borderId="34" xfId="55" applyFont="1" applyFill="1" applyBorder="1" applyAlignment="1">
      <alignment horizontal="right"/>
      <protection/>
    </xf>
    <xf numFmtId="169" fontId="6" fillId="0" borderId="24" xfId="55" applyNumberFormat="1" applyFont="1" applyBorder="1" applyAlignment="1" applyProtection="1" quotePrefix="1">
      <alignment horizontal="center"/>
      <protection locked="0"/>
    </xf>
    <xf numFmtId="2" fontId="6" fillId="0" borderId="24" xfId="55" applyNumberFormat="1" applyFont="1" applyBorder="1" applyAlignment="1" applyProtection="1" quotePrefix="1">
      <alignment horizontal="center"/>
      <protection locked="0"/>
    </xf>
    <xf numFmtId="172" fontId="48" fillId="32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Fill="1" applyBorder="1" applyAlignment="1" applyProtection="1">
      <alignment horizontal="center"/>
      <protection locked="0"/>
    </xf>
    <xf numFmtId="2" fontId="6" fillId="0" borderId="23" xfId="55" applyNumberFormat="1" applyFont="1" applyFill="1" applyBorder="1" applyAlignment="1" applyProtection="1">
      <alignment horizontal="center"/>
      <protection/>
    </xf>
    <xf numFmtId="3" fontId="6" fillId="0" borderId="23" xfId="55" applyNumberFormat="1" applyFont="1" applyFill="1" applyBorder="1" applyAlignment="1" applyProtection="1">
      <alignment horizontal="center"/>
      <protection/>
    </xf>
    <xf numFmtId="172" fontId="6" fillId="0" borderId="23" xfId="55" applyNumberFormat="1" applyFont="1" applyFill="1" applyBorder="1" applyAlignment="1" applyProtection="1">
      <alignment horizontal="center"/>
      <protection locked="0"/>
    </xf>
    <xf numFmtId="172" fontId="6" fillId="0" borderId="23" xfId="55" applyNumberFormat="1" applyFont="1" applyFill="1" applyBorder="1" applyAlignment="1" applyProtection="1" quotePrefix="1">
      <alignment horizontal="center"/>
      <protection locked="0"/>
    </xf>
    <xf numFmtId="2" fontId="34" fillId="35" borderId="23" xfId="55" applyNumberFormat="1" applyFont="1" applyFill="1" applyBorder="1" applyAlignment="1" applyProtection="1">
      <alignment horizontal="center"/>
      <protection locked="0"/>
    </xf>
    <xf numFmtId="2" fontId="49" fillId="37" borderId="23" xfId="55" applyNumberFormat="1" applyFont="1" applyFill="1" applyBorder="1" applyAlignment="1" applyProtection="1">
      <alignment horizontal="center"/>
      <protection locked="0"/>
    </xf>
    <xf numFmtId="172" fontId="49" fillId="38" borderId="33" xfId="55" applyNumberFormat="1" applyFont="1" applyFill="1" applyBorder="1" applyAlignment="1" applyProtection="1" quotePrefix="1">
      <alignment horizontal="center"/>
      <protection locked="0"/>
    </xf>
    <xf numFmtId="172" fontId="49" fillId="38" borderId="35" xfId="55" applyNumberFormat="1" applyFont="1" applyFill="1" applyBorder="1" applyAlignment="1" applyProtection="1" quotePrefix="1">
      <alignment horizontal="center"/>
      <protection locked="0"/>
    </xf>
    <xf numFmtId="172" fontId="50" fillId="39" borderId="33" xfId="55" applyNumberFormat="1" applyFont="1" applyFill="1" applyBorder="1" applyAlignment="1" applyProtection="1" quotePrefix="1">
      <alignment horizontal="center"/>
      <protection locked="0"/>
    </xf>
    <xf numFmtId="172" fontId="50" fillId="39" borderId="35" xfId="55" applyNumberFormat="1" applyFont="1" applyFill="1" applyBorder="1" applyAlignment="1" applyProtection="1" quotePrefix="1">
      <alignment horizontal="center"/>
      <protection locked="0"/>
    </xf>
    <xf numFmtId="172" fontId="37" fillId="40" borderId="23" xfId="55" applyNumberFormat="1" applyFont="1" applyFill="1" applyBorder="1" applyAlignment="1" applyProtection="1" quotePrefix="1">
      <alignment horizontal="center"/>
      <protection locked="0"/>
    </xf>
    <xf numFmtId="172" fontId="49" fillId="3" borderId="24" xfId="55" applyNumberFormat="1" applyFont="1" applyFill="1" applyBorder="1" applyAlignment="1" applyProtection="1" quotePrefix="1">
      <alignment horizontal="center"/>
      <protection locked="0"/>
    </xf>
    <xf numFmtId="172" fontId="39" fillId="0" borderId="34" xfId="55" applyNumberFormat="1" applyFont="1" applyFill="1" applyBorder="1" applyAlignment="1">
      <alignment horizontal="right"/>
      <protection/>
    </xf>
    <xf numFmtId="2" fontId="6" fillId="0" borderId="14" xfId="55" applyNumberFormat="1" applyFont="1" applyFill="1" applyBorder="1">
      <alignment/>
      <protection/>
    </xf>
    <xf numFmtId="0" fontId="6" fillId="0" borderId="25" xfId="55" applyFont="1" applyFill="1" applyBorder="1">
      <alignment/>
      <protection/>
    </xf>
    <xf numFmtId="0" fontId="48" fillId="32" borderId="25" xfId="55" applyFont="1" applyFill="1" applyBorder="1">
      <alignment/>
      <protection/>
    </xf>
    <xf numFmtId="0" fontId="38" fillId="36" borderId="25" xfId="55" applyFont="1" applyFill="1" applyBorder="1">
      <alignment/>
      <protection/>
    </xf>
    <xf numFmtId="0" fontId="34" fillId="35" borderId="25" xfId="55" applyFont="1" applyFill="1" applyBorder="1">
      <alignment/>
      <protection/>
    </xf>
    <xf numFmtId="0" fontId="49" fillId="37" borderId="25" xfId="55" applyFont="1" applyFill="1" applyBorder="1">
      <alignment/>
      <protection/>
    </xf>
    <xf numFmtId="0" fontId="49" fillId="38" borderId="36" xfId="55" applyFont="1" applyFill="1" applyBorder="1">
      <alignment/>
      <protection/>
    </xf>
    <xf numFmtId="0" fontId="49" fillId="38" borderId="37" xfId="55" applyFont="1" applyFill="1" applyBorder="1">
      <alignment/>
      <protection/>
    </xf>
    <xf numFmtId="0" fontId="50" fillId="39" borderId="36" xfId="55" applyFont="1" applyFill="1" applyBorder="1">
      <alignment/>
      <protection/>
    </xf>
    <xf numFmtId="0" fontId="50" fillId="39" borderId="37" xfId="55" applyFont="1" applyFill="1" applyBorder="1">
      <alignment/>
      <protection/>
    </xf>
    <xf numFmtId="0" fontId="37" fillId="40" borderId="25" xfId="55" applyFont="1" applyFill="1" applyBorder="1">
      <alignment/>
      <protection/>
    </xf>
    <xf numFmtId="0" fontId="49" fillId="3" borderId="25" xfId="55" applyFont="1" applyFill="1" applyBorder="1">
      <alignment/>
      <protection/>
    </xf>
    <xf numFmtId="0" fontId="39" fillId="0" borderId="27" xfId="55" applyFont="1" applyFill="1" applyBorder="1" applyAlignment="1">
      <alignment horizontal="right"/>
      <protection/>
    </xf>
    <xf numFmtId="7" fontId="34" fillId="35" borderId="20" xfId="55" applyNumberFormat="1" applyFont="1" applyFill="1" applyBorder="1" applyAlignment="1">
      <alignment horizontal="center"/>
      <protection/>
    </xf>
    <xf numFmtId="7" fontId="49" fillId="37" borderId="20" xfId="55" applyNumberFormat="1" applyFont="1" applyFill="1" applyBorder="1" applyAlignment="1">
      <alignment horizontal="center"/>
      <protection/>
    </xf>
    <xf numFmtId="7" fontId="49" fillId="38" borderId="20" xfId="55" applyNumberFormat="1" applyFont="1" applyFill="1" applyBorder="1" applyAlignment="1">
      <alignment horizontal="center"/>
      <protection/>
    </xf>
    <xf numFmtId="7" fontId="49" fillId="38" borderId="38" xfId="55" applyNumberFormat="1" applyFont="1" applyFill="1" applyBorder="1" applyAlignment="1">
      <alignment horizontal="center"/>
      <protection/>
    </xf>
    <xf numFmtId="7" fontId="50" fillId="39" borderId="20" xfId="55" applyNumberFormat="1" applyFont="1" applyFill="1" applyBorder="1" applyAlignment="1">
      <alignment horizontal="center"/>
      <protection/>
    </xf>
    <xf numFmtId="7" fontId="37" fillId="40" borderId="20" xfId="55" applyNumberFormat="1" applyFont="1" applyFill="1" applyBorder="1" applyAlignment="1">
      <alignment horizontal="center"/>
      <protection/>
    </xf>
    <xf numFmtId="7" fontId="49" fillId="3" borderId="20" xfId="55" applyNumberFormat="1" applyFont="1" applyFill="1" applyBorder="1" applyAlignment="1">
      <alignment horizontal="center"/>
      <protection/>
    </xf>
    <xf numFmtId="0" fontId="6" fillId="0" borderId="39" xfId="55" applyFont="1" applyFill="1" applyBorder="1">
      <alignment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0" fontId="41" fillId="0" borderId="13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7" fontId="41" fillId="0" borderId="0" xfId="55" applyNumberFormat="1" applyFont="1" applyFill="1" applyBorder="1" applyAlignment="1">
      <alignment horizontal="center"/>
      <protection/>
    </xf>
    <xf numFmtId="7" fontId="41" fillId="0" borderId="0" xfId="55" applyNumberFormat="1" applyFont="1" applyFill="1" applyBorder="1" applyAlignment="1" applyProtection="1">
      <alignment horizontal="right"/>
      <protection locked="0"/>
    </xf>
    <xf numFmtId="0" fontId="41" fillId="0" borderId="14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51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5" xfId="55" applyFont="1" applyBorder="1" applyAlignment="1" applyProtection="1">
      <alignment horizontal="left"/>
      <protection/>
    </xf>
    <xf numFmtId="174" fontId="1" fillId="0" borderId="38" xfId="55" applyNumberFormat="1" applyFont="1" applyBorder="1" applyAlignment="1" applyProtection="1">
      <alignment horizontal="center"/>
      <protection/>
    </xf>
    <xf numFmtId="0" fontId="1" fillId="0" borderId="20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5" xfId="55" applyFont="1" applyBorder="1">
      <alignment/>
      <protection/>
    </xf>
    <xf numFmtId="174" fontId="52" fillId="0" borderId="38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5" xfId="55" applyFont="1" applyBorder="1" applyAlignment="1">
      <alignment horizontal="left"/>
      <protection/>
    </xf>
    <xf numFmtId="1" fontId="1" fillId="0" borderId="25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3" xfId="55" applyFont="1" applyBorder="1">
      <alignment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46" fillId="3" borderId="20" xfId="55" applyFont="1" applyFill="1" applyBorder="1" applyAlignment="1" applyProtection="1">
      <alignment horizontal="center" vertical="center"/>
      <protection/>
    </xf>
    <xf numFmtId="0" fontId="53" fillId="40" borderId="20" xfId="55" applyFont="1" applyFill="1" applyBorder="1" applyAlignment="1">
      <alignment horizontal="center" vertical="center" wrapText="1"/>
      <protection/>
    </xf>
    <xf numFmtId="0" fontId="46" fillId="39" borderId="15" xfId="55" applyFont="1" applyFill="1" applyBorder="1" applyAlignment="1" applyProtection="1">
      <alignment horizontal="centerContinuous" vertical="center" wrapText="1"/>
      <protection/>
    </xf>
    <xf numFmtId="0" fontId="46" fillId="39" borderId="16" xfId="55" applyFont="1" applyFill="1" applyBorder="1" applyAlignment="1">
      <alignment horizontal="centerContinuous" vertical="center"/>
      <protection/>
    </xf>
    <xf numFmtId="0" fontId="28" fillId="41" borderId="2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>
      <alignment/>
      <protection/>
    </xf>
    <xf numFmtId="168" fontId="6" fillId="0" borderId="23" xfId="55" applyNumberFormat="1" applyFont="1" applyFill="1" applyBorder="1" applyAlignment="1" applyProtection="1">
      <alignment horizontal="center"/>
      <protection locked="0"/>
    </xf>
    <xf numFmtId="0" fontId="33" fillId="32" borderId="22" xfId="55" applyFont="1" applyFill="1" applyBorder="1" applyAlignment="1" applyProtection="1">
      <alignment horizontal="center"/>
      <protection locked="0"/>
    </xf>
    <xf numFmtId="0" fontId="6" fillId="0" borderId="34" xfId="55" applyFont="1" applyFill="1" applyBorder="1" applyAlignment="1" applyProtection="1">
      <alignment horizontal="center"/>
      <protection locked="0"/>
    </xf>
    <xf numFmtId="0" fontId="54" fillId="3" borderId="22" xfId="55" applyFont="1" applyFill="1" applyBorder="1" applyAlignment="1" applyProtection="1">
      <alignment horizontal="center"/>
      <protection locked="0"/>
    </xf>
    <xf numFmtId="0" fontId="55" fillId="40" borderId="22" xfId="55" applyFont="1" applyFill="1" applyBorder="1" applyAlignment="1" applyProtection="1">
      <alignment horizontal="center"/>
      <protection locked="0"/>
    </xf>
    <xf numFmtId="172" fontId="49" fillId="39" borderId="30" xfId="55" applyNumberFormat="1" applyFont="1" applyFill="1" applyBorder="1" applyAlignment="1" applyProtection="1" quotePrefix="1">
      <alignment horizontal="center"/>
      <protection locked="0"/>
    </xf>
    <xf numFmtId="172" fontId="49" fillId="39" borderId="40" xfId="55" applyNumberFormat="1" applyFont="1" applyFill="1" applyBorder="1" applyAlignment="1" applyProtection="1" quotePrefix="1">
      <alignment horizontal="center"/>
      <protection locked="0"/>
    </xf>
    <xf numFmtId="172" fontId="34" fillId="41" borderId="22" xfId="55" applyNumberFormat="1" applyFont="1" applyFill="1" applyBorder="1" applyAlignment="1" applyProtection="1" quotePrefix="1">
      <alignment horizontal="center"/>
      <protection locked="0"/>
    </xf>
    <xf numFmtId="0" fontId="6" fillId="0" borderId="32" xfId="55" applyFont="1" applyFill="1" applyBorder="1" applyAlignment="1" applyProtection="1">
      <alignment horizontal="left"/>
      <protection locked="0"/>
    </xf>
    <xf numFmtId="0" fontId="39" fillId="0" borderId="23" xfId="55" applyFont="1" applyFill="1" applyBorder="1" applyAlignment="1">
      <alignment horizontal="center"/>
      <protection/>
    </xf>
    <xf numFmtId="0" fontId="56" fillId="0" borderId="32" xfId="55" applyFont="1" applyFill="1" applyBorder="1" applyAlignment="1" applyProtection="1">
      <alignment horizontal="center"/>
      <protection locked="0"/>
    </xf>
    <xf numFmtId="175" fontId="5" fillId="0" borderId="23" xfId="55" applyNumberFormat="1" applyFont="1" applyFill="1" applyBorder="1" applyAlignment="1" applyProtection="1">
      <alignment horizontal="center"/>
      <protection locked="0"/>
    </xf>
    <xf numFmtId="174" fontId="33" fillId="32" borderId="23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Fill="1" applyBorder="1" applyAlignment="1" applyProtection="1">
      <alignment horizontal="center"/>
      <protection locked="0"/>
    </xf>
    <xf numFmtId="22" fontId="6" fillId="0" borderId="35" xfId="55" applyNumberFormat="1" applyFont="1" applyFill="1" applyBorder="1" applyAlignment="1" applyProtection="1">
      <alignment horizontal="center"/>
      <protection locked="0"/>
    </xf>
    <xf numFmtId="168" fontId="6" fillId="0" borderId="23" xfId="55" applyNumberFormat="1" applyFont="1" applyFill="1" applyBorder="1" applyAlignment="1" applyProtection="1" quotePrefix="1">
      <alignment horizontal="center"/>
      <protection/>
    </xf>
    <xf numFmtId="168" fontId="54" fillId="3" borderId="23" xfId="55" applyNumberFormat="1" applyFont="1" applyFill="1" applyBorder="1" applyAlignment="1" applyProtection="1">
      <alignment horizontal="center"/>
      <protection locked="0"/>
    </xf>
    <xf numFmtId="2" fontId="55" fillId="40" borderId="23" xfId="55" applyNumberFormat="1" applyFont="1" applyFill="1" applyBorder="1" applyAlignment="1" applyProtection="1">
      <alignment horizontal="center"/>
      <protection locked="0"/>
    </xf>
    <xf numFmtId="172" fontId="49" fillId="39" borderId="33" xfId="55" applyNumberFormat="1" applyFont="1" applyFill="1" applyBorder="1" applyAlignment="1" applyProtection="1" quotePrefix="1">
      <alignment horizontal="center"/>
      <protection locked="0"/>
    </xf>
    <xf numFmtId="172" fontId="49" fillId="39" borderId="35" xfId="55" applyNumberFormat="1" applyFont="1" applyFill="1" applyBorder="1" applyAlignment="1" applyProtection="1" quotePrefix="1">
      <alignment horizontal="center"/>
      <protection locked="0"/>
    </xf>
    <xf numFmtId="172" fontId="34" fillId="41" borderId="23" xfId="55" applyNumberFormat="1" applyFont="1" applyFill="1" applyBorder="1" applyAlignment="1" applyProtection="1" quotePrefix="1">
      <alignment horizontal="center"/>
      <protection locked="0"/>
    </xf>
    <xf numFmtId="172" fontId="6" fillId="0" borderId="32" xfId="55" applyNumberFormat="1" applyFont="1" applyFill="1" applyBorder="1" applyAlignment="1" applyProtection="1">
      <alignment horizontal="center"/>
      <protection locked="0"/>
    </xf>
    <xf numFmtId="172" fontId="39" fillId="0" borderId="23" xfId="55" applyNumberFormat="1" applyFont="1" applyFill="1" applyBorder="1" applyAlignment="1">
      <alignment horizontal="center"/>
      <protection/>
    </xf>
    <xf numFmtId="175" fontId="5" fillId="0" borderId="23" xfId="55" applyNumberFormat="1" applyFont="1" applyFill="1" applyBorder="1" applyAlignment="1" applyProtection="1" quotePrefix="1">
      <alignment horizontal="center"/>
      <protection locked="0"/>
    </xf>
    <xf numFmtId="172" fontId="39" fillId="0" borderId="23" xfId="55" applyNumberFormat="1" applyFont="1" applyFill="1" applyBorder="1" applyAlignment="1">
      <alignment horizontal="right"/>
      <protection/>
    </xf>
    <xf numFmtId="0" fontId="33" fillId="32" borderId="25" xfId="55" applyFont="1" applyFill="1" applyBorder="1">
      <alignment/>
      <protection/>
    </xf>
    <xf numFmtId="0" fontId="54" fillId="3" borderId="25" xfId="55" applyFont="1" applyFill="1" applyBorder="1">
      <alignment/>
      <protection/>
    </xf>
    <xf numFmtId="0" fontId="55" fillId="40" borderId="25" xfId="55" applyFont="1" applyFill="1" applyBorder="1">
      <alignment/>
      <protection/>
    </xf>
    <xf numFmtId="0" fontId="49" fillId="39" borderId="36" xfId="55" applyFont="1" applyFill="1" applyBorder="1">
      <alignment/>
      <protection/>
    </xf>
    <xf numFmtId="0" fontId="49" fillId="39" borderId="37" xfId="55" applyFont="1" applyFill="1" applyBorder="1">
      <alignment/>
      <protection/>
    </xf>
    <xf numFmtId="0" fontId="34" fillId="41" borderId="25" xfId="55" applyFont="1" applyFill="1" applyBorder="1">
      <alignment/>
      <protection/>
    </xf>
    <xf numFmtId="0" fontId="39" fillId="0" borderId="27" xfId="55" applyFont="1" applyFill="1" applyBorder="1">
      <alignment/>
      <protection/>
    </xf>
    <xf numFmtId="2" fontId="55" fillId="40" borderId="20" xfId="55" applyNumberFormat="1" applyFont="1" applyFill="1" applyBorder="1" applyAlignment="1">
      <alignment horizontal="center"/>
      <protection/>
    </xf>
    <xf numFmtId="2" fontId="49" fillId="39" borderId="20" xfId="55" applyNumberFormat="1" applyFont="1" applyFill="1" applyBorder="1" applyAlignment="1">
      <alignment horizontal="center"/>
      <protection/>
    </xf>
    <xf numFmtId="2" fontId="34" fillId="41" borderId="20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7" fontId="45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7" fillId="0" borderId="0" xfId="55" applyFont="1" applyAlignment="1">
      <alignment horizontal="right" vertical="top"/>
      <protection/>
    </xf>
    <xf numFmtId="0" fontId="57" fillId="0" borderId="0" xfId="55" applyFont="1" applyFill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8" fillId="0" borderId="0" xfId="55" applyNumberFormat="1" applyFont="1" applyBorder="1" applyAlignment="1">
      <alignment horizontal="left"/>
      <protection/>
    </xf>
    <xf numFmtId="0" fontId="6" fillId="0" borderId="32" xfId="55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2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2" borderId="41" xfId="0" applyFont="1" applyFill="1" applyBorder="1" applyAlignment="1">
      <alignment horizontal="center"/>
    </xf>
    <xf numFmtId="0" fontId="1" fillId="42" borderId="0" xfId="0" applyFont="1" applyFill="1" applyAlignment="1">
      <alignment/>
    </xf>
    <xf numFmtId="0" fontId="1" fillId="42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2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5" applyNumberFormat="1" applyFont="1" applyBorder="1" applyAlignment="1">
      <alignment horizontal="center"/>
      <protection/>
    </xf>
    <xf numFmtId="0" fontId="54" fillId="0" borderId="0" xfId="55" applyFont="1" applyBorder="1">
      <alignment/>
      <protection/>
    </xf>
    <xf numFmtId="0" fontId="54" fillId="0" borderId="0" xfId="55" applyFont="1" applyFill="1" applyBorder="1">
      <alignment/>
      <protection/>
    </xf>
    <xf numFmtId="0" fontId="8" fillId="0" borderId="0" xfId="56" applyFont="1">
      <alignment/>
      <protection/>
    </xf>
    <xf numFmtId="0" fontId="57" fillId="0" borderId="0" xfId="56" applyFont="1" applyAlignment="1">
      <alignment horizontal="right" vertical="top"/>
      <protection/>
    </xf>
    <xf numFmtId="0" fontId="9" fillId="0" borderId="0" xfId="56" applyFont="1" applyAlignment="1" applyProtection="1">
      <alignment horizontal="centerContinuous"/>
      <protection/>
    </xf>
    <xf numFmtId="0" fontId="8" fillId="0" borderId="0" xfId="56" applyFont="1" applyAlignment="1">
      <alignment horizontal="centerContinuous"/>
      <protection/>
    </xf>
    <xf numFmtId="0" fontId="9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4" fillId="0" borderId="0" xfId="56" applyFont="1" applyBorder="1" applyAlignment="1" applyProtection="1">
      <alignment horizontal="left"/>
      <protection/>
    </xf>
    <xf numFmtId="0" fontId="4" fillId="0" borderId="0" xfId="56" applyFont="1" applyBorder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10" xfId="56" applyFont="1" applyBorder="1">
      <alignment/>
      <protection/>
    </xf>
    <xf numFmtId="0" fontId="6" fillId="0" borderId="11" xfId="56" applyFont="1" applyBorder="1">
      <alignment/>
      <protection/>
    </xf>
    <xf numFmtId="0" fontId="6" fillId="0" borderId="12" xfId="56" applyFont="1" applyBorder="1">
      <alignment/>
      <protection/>
    </xf>
    <xf numFmtId="0" fontId="23" fillId="0" borderId="0" xfId="56" applyFont="1" applyBorder="1">
      <alignment/>
      <protection/>
    </xf>
    <xf numFmtId="0" fontId="23" fillId="0" borderId="13" xfId="56" applyFont="1" applyBorder="1">
      <alignment/>
      <protection/>
    </xf>
    <xf numFmtId="0" fontId="23" fillId="0" borderId="0" xfId="56" applyFont="1">
      <alignment/>
      <protection/>
    </xf>
    <xf numFmtId="0" fontId="24" fillId="0" borderId="0" xfId="56" applyFont="1" applyBorder="1" applyProtection="1">
      <alignment/>
      <protection locked="0"/>
    </xf>
    <xf numFmtId="0" fontId="23" fillId="0" borderId="14" xfId="56" applyFont="1" applyBorder="1">
      <alignment/>
      <protection/>
    </xf>
    <xf numFmtId="0" fontId="6" fillId="0" borderId="13" xfId="56" applyFont="1" applyBorder="1">
      <alignment/>
      <protection/>
    </xf>
    <xf numFmtId="0" fontId="3" fillId="0" borderId="0" xfId="56" applyFont="1" applyBorder="1">
      <alignment/>
      <protection/>
    </xf>
    <xf numFmtId="0" fontId="6" fillId="0" borderId="14" xfId="56" applyFont="1" applyBorder="1">
      <alignment/>
      <protection/>
    </xf>
    <xf numFmtId="0" fontId="13" fillId="0" borderId="0" xfId="56" applyFont="1" applyBorder="1">
      <alignment/>
      <protection/>
    </xf>
    <xf numFmtId="0" fontId="20" fillId="0" borderId="13" xfId="56" applyFont="1" applyBorder="1" applyAlignment="1" applyProtection="1">
      <alignment horizontal="centerContinuous"/>
      <protection locked="0"/>
    </xf>
    <xf numFmtId="0" fontId="13" fillId="0" borderId="0" xfId="56" applyFont="1" applyBorder="1" applyAlignment="1">
      <alignment horizontal="centerContinuous"/>
      <protection/>
    </xf>
    <xf numFmtId="0" fontId="14" fillId="0" borderId="0" xfId="56" applyFont="1" applyBorder="1" applyAlignment="1">
      <alignment horizontal="centerContinuous"/>
      <protection/>
    </xf>
    <xf numFmtId="0" fontId="13" fillId="0" borderId="0" xfId="56" applyFont="1" applyAlignment="1">
      <alignment horizontal="centerContinuous"/>
      <protection/>
    </xf>
    <xf numFmtId="0" fontId="13" fillId="0" borderId="0" xfId="56" applyFont="1" applyBorder="1" applyAlignment="1" applyProtection="1">
      <alignment horizontal="centerContinuous"/>
      <protection/>
    </xf>
    <xf numFmtId="0" fontId="20" fillId="0" borderId="0" xfId="56" applyFont="1" applyFill="1" applyBorder="1" applyAlignment="1" applyProtection="1" quotePrefix="1">
      <alignment horizontal="centerContinuous"/>
      <protection locked="0"/>
    </xf>
    <xf numFmtId="0" fontId="13" fillId="0" borderId="14" xfId="56" applyFont="1" applyBorder="1" applyAlignment="1">
      <alignment horizontal="centerContinuous"/>
      <protection/>
    </xf>
    <xf numFmtId="0" fontId="13" fillId="0" borderId="0" xfId="56" applyFont="1">
      <alignment/>
      <protection/>
    </xf>
    <xf numFmtId="0" fontId="16" fillId="0" borderId="0" xfId="56" applyFont="1" applyBorder="1">
      <alignment/>
      <protection/>
    </xf>
    <xf numFmtId="0" fontId="3" fillId="0" borderId="0" xfId="56" applyFont="1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1" fillId="0" borderId="15" xfId="56" applyFont="1" applyBorder="1" applyAlignment="1" applyProtection="1">
      <alignment horizontal="center"/>
      <protection/>
    </xf>
    <xf numFmtId="176" fontId="39" fillId="0" borderId="16" xfId="53" applyNumberFormat="1" applyFont="1" applyBorder="1" applyAlignment="1" applyProtection="1">
      <alignment horizontal="centerContinuous"/>
      <protection locked="0"/>
    </xf>
    <xf numFmtId="171" fontId="6" fillId="0" borderId="16" xfId="56" applyNumberFormat="1" applyFont="1" applyBorder="1" applyAlignment="1">
      <alignment horizontal="centerContinuous"/>
      <protection/>
    </xf>
    <xf numFmtId="0" fontId="1" fillId="0" borderId="0" xfId="56" applyFont="1">
      <alignment/>
      <protection/>
    </xf>
    <xf numFmtId="0" fontId="1" fillId="0" borderId="0" xfId="56" applyFont="1" applyBorder="1" applyAlignment="1">
      <alignment horizontal="right"/>
      <protection/>
    </xf>
    <xf numFmtId="0" fontId="1" fillId="0" borderId="0" xfId="56" applyFont="1" applyBorder="1" applyAlignment="1">
      <alignment horizontal="left"/>
      <protection/>
    </xf>
    <xf numFmtId="0" fontId="1" fillId="0" borderId="0" xfId="56" applyFont="1" applyAlignment="1" applyProtection="1">
      <alignment/>
      <protection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 applyAlignment="1">
      <alignment horizontal="left"/>
      <protection/>
    </xf>
    <xf numFmtId="0" fontId="1" fillId="0" borderId="0" xfId="56" applyFont="1" applyBorder="1" applyAlignment="1" applyProtection="1">
      <alignment horizontal="center"/>
      <protection/>
    </xf>
    <xf numFmtId="176" fontId="1" fillId="0" borderId="0" xfId="56" applyNumberFormat="1" applyFont="1" applyBorder="1" applyAlignment="1" applyProtection="1">
      <alignment horizontal="centerContinuous"/>
      <protection locked="0"/>
    </xf>
    <xf numFmtId="171" fontId="6" fillId="0" borderId="0" xfId="56" applyNumberFormat="1" applyFont="1" applyBorder="1" applyAlignment="1">
      <alignment horizontal="centerContinuous"/>
      <protection/>
    </xf>
    <xf numFmtId="0" fontId="54" fillId="0" borderId="0" xfId="56" applyFont="1" applyBorder="1">
      <alignment/>
      <protection/>
    </xf>
    <xf numFmtId="0" fontId="25" fillId="0" borderId="20" xfId="56" applyFont="1" applyBorder="1" applyAlignment="1">
      <alignment horizontal="center" vertical="center"/>
      <protection/>
    </xf>
    <xf numFmtId="0" fontId="25" fillId="0" borderId="20" xfId="56" applyFont="1" applyBorder="1" applyAlignment="1" applyProtection="1">
      <alignment horizontal="center" vertical="center"/>
      <protection/>
    </xf>
    <xf numFmtId="0" fontId="25" fillId="0" borderId="20" xfId="56" applyFont="1" applyBorder="1" applyAlignment="1" applyProtection="1">
      <alignment horizontal="center" vertical="center" wrapText="1"/>
      <protection/>
    </xf>
    <xf numFmtId="0" fontId="26" fillId="32" borderId="20" xfId="56" applyFont="1" applyFill="1" applyBorder="1" applyAlignment="1" applyProtection="1">
      <alignment horizontal="center" vertical="center"/>
      <protection/>
    </xf>
    <xf numFmtId="0" fontId="32" fillId="43" borderId="20" xfId="56" applyFont="1" applyFill="1" applyBorder="1" applyAlignment="1">
      <alignment horizontal="center" vertical="center" wrapText="1"/>
      <protection/>
    </xf>
    <xf numFmtId="0" fontId="63" fillId="40" borderId="20" xfId="56" applyFont="1" applyFill="1" applyBorder="1" applyAlignment="1">
      <alignment horizontal="center" vertical="center" wrapText="1"/>
      <protection/>
    </xf>
    <xf numFmtId="0" fontId="30" fillId="32" borderId="15" xfId="56" applyFont="1" applyFill="1" applyBorder="1" applyAlignment="1" applyProtection="1">
      <alignment horizontal="centerContinuous" vertical="center" wrapText="1"/>
      <protection/>
    </xf>
    <xf numFmtId="0" fontId="7" fillId="32" borderId="21" xfId="56" applyFont="1" applyFill="1" applyBorder="1" applyAlignment="1">
      <alignment horizontal="centerContinuous"/>
      <protection/>
    </xf>
    <xf numFmtId="0" fontId="30" fillId="32" borderId="16" xfId="56" applyFont="1" applyFill="1" applyBorder="1" applyAlignment="1">
      <alignment horizontal="centerContinuous" vertical="center"/>
      <protection/>
    </xf>
    <xf numFmtId="0" fontId="46" fillId="44" borderId="15" xfId="56" applyFont="1" applyFill="1" applyBorder="1" applyAlignment="1" applyProtection="1">
      <alignment horizontal="centerContinuous" vertical="center" wrapText="1"/>
      <protection/>
    </xf>
    <xf numFmtId="0" fontId="46" fillId="44" borderId="21" xfId="56" applyFont="1" applyFill="1" applyBorder="1" applyAlignment="1">
      <alignment horizontal="centerContinuous" vertical="center"/>
      <protection/>
    </xf>
    <xf numFmtId="0" fontId="46" fillId="44" borderId="16" xfId="56" applyFont="1" applyFill="1" applyBorder="1" applyAlignment="1">
      <alignment horizontal="centerContinuous" vertical="center"/>
      <protection/>
    </xf>
    <xf numFmtId="0" fontId="64" fillId="45" borderId="20" xfId="56" applyFont="1" applyFill="1" applyBorder="1" applyAlignment="1">
      <alignment horizontal="center" vertical="center" wrapText="1"/>
      <protection/>
    </xf>
    <xf numFmtId="0" fontId="46" fillId="46" borderId="20" xfId="56" applyFont="1" applyFill="1" applyBorder="1" applyAlignment="1">
      <alignment horizontal="center" vertical="center" wrapText="1"/>
      <protection/>
    </xf>
    <xf numFmtId="0" fontId="25" fillId="0" borderId="20" xfId="56" applyFont="1" applyBorder="1" applyAlignment="1">
      <alignment horizontal="center" vertical="center" wrapText="1"/>
      <protection/>
    </xf>
    <xf numFmtId="16" fontId="25" fillId="0" borderId="20" xfId="56" applyNumberFormat="1" applyFont="1" applyBorder="1" applyAlignment="1" quotePrefix="1">
      <alignment horizontal="center" vertical="center" wrapText="1"/>
      <protection/>
    </xf>
    <xf numFmtId="0" fontId="6" fillId="0" borderId="23" xfId="56" applyFont="1" applyBorder="1">
      <alignment/>
      <protection/>
    </xf>
    <xf numFmtId="0" fontId="6" fillId="0" borderId="22" xfId="56" applyFont="1" applyBorder="1" applyAlignment="1">
      <alignment horizontal="center"/>
      <protection/>
    </xf>
    <xf numFmtId="0" fontId="6" fillId="0" borderId="22" xfId="56" applyFont="1" applyBorder="1">
      <alignment/>
      <protection/>
    </xf>
    <xf numFmtId="0" fontId="48" fillId="32" borderId="22" xfId="56" applyFont="1" applyFill="1" applyBorder="1">
      <alignment/>
      <protection/>
    </xf>
    <xf numFmtId="0" fontId="38" fillId="43" borderId="20" xfId="56" applyFont="1" applyFill="1" applyBorder="1">
      <alignment/>
      <protection/>
    </xf>
    <xf numFmtId="0" fontId="65" fillId="40" borderId="22" xfId="56" applyFont="1" applyFill="1" applyBorder="1">
      <alignment/>
      <protection/>
    </xf>
    <xf numFmtId="0" fontId="36" fillId="32" borderId="30" xfId="56" applyFont="1" applyFill="1" applyBorder="1" applyAlignment="1">
      <alignment horizontal="center"/>
      <protection/>
    </xf>
    <xf numFmtId="0" fontId="36" fillId="32" borderId="43" xfId="56" applyFont="1" applyFill="1" applyBorder="1">
      <alignment/>
      <protection/>
    </xf>
    <xf numFmtId="0" fontId="36" fillId="32" borderId="31" xfId="56" applyFont="1" applyFill="1" applyBorder="1">
      <alignment/>
      <protection/>
    </xf>
    <xf numFmtId="0" fontId="49" fillId="44" borderId="30" xfId="56" applyFont="1" applyFill="1" applyBorder="1">
      <alignment/>
      <protection/>
    </xf>
    <xf numFmtId="0" fontId="49" fillId="44" borderId="44" xfId="56" applyFont="1" applyFill="1" applyBorder="1">
      <alignment/>
      <protection/>
    </xf>
    <xf numFmtId="0" fontId="49" fillId="44" borderId="40" xfId="56" applyFont="1" applyFill="1" applyBorder="1">
      <alignment/>
      <protection/>
    </xf>
    <xf numFmtId="0" fontId="66" fillId="45" borderId="22" xfId="56" applyFont="1" applyFill="1" applyBorder="1">
      <alignment/>
      <protection/>
    </xf>
    <xf numFmtId="0" fontId="49" fillId="46" borderId="22" xfId="56" applyFont="1" applyFill="1" applyBorder="1">
      <alignment/>
      <protection/>
    </xf>
    <xf numFmtId="0" fontId="6" fillId="0" borderId="31" xfId="56" applyFont="1" applyBorder="1">
      <alignment/>
      <protection/>
    </xf>
    <xf numFmtId="7" fontId="39" fillId="0" borderId="22" xfId="56" applyNumberFormat="1" applyFont="1" applyBorder="1" applyAlignment="1">
      <alignment/>
      <protection/>
    </xf>
    <xf numFmtId="0" fontId="48" fillId="32" borderId="23" xfId="56" applyFont="1" applyFill="1" applyBorder="1">
      <alignment/>
      <protection/>
    </xf>
    <xf numFmtId="0" fontId="6" fillId="0" borderId="23" xfId="56" applyFont="1" applyBorder="1" applyAlignment="1">
      <alignment horizontal="center"/>
      <protection/>
    </xf>
    <xf numFmtId="0" fontId="65" fillId="40" borderId="24" xfId="56" applyFont="1" applyFill="1" applyBorder="1">
      <alignment/>
      <protection/>
    </xf>
    <xf numFmtId="0" fontId="36" fillId="32" borderId="33" xfId="56" applyFont="1" applyFill="1" applyBorder="1" applyAlignment="1">
      <alignment horizontal="center"/>
      <protection/>
    </xf>
    <xf numFmtId="0" fontId="36" fillId="32" borderId="45" xfId="56" applyFont="1" applyFill="1" applyBorder="1">
      <alignment/>
      <protection/>
    </xf>
    <xf numFmtId="0" fontId="36" fillId="32" borderId="34" xfId="56" applyFont="1" applyFill="1" applyBorder="1">
      <alignment/>
      <protection/>
    </xf>
    <xf numFmtId="0" fontId="49" fillId="44" borderId="33" xfId="56" applyFont="1" applyFill="1" applyBorder="1">
      <alignment/>
      <protection/>
    </xf>
    <xf numFmtId="0" fontId="49" fillId="44" borderId="42" xfId="56" applyFont="1" applyFill="1" applyBorder="1">
      <alignment/>
      <protection/>
    </xf>
    <xf numFmtId="0" fontId="49" fillId="44" borderId="35" xfId="56" applyFont="1" applyFill="1" applyBorder="1">
      <alignment/>
      <protection/>
    </xf>
    <xf numFmtId="0" fontId="66" fillId="45" borderId="23" xfId="56" applyFont="1" applyFill="1" applyBorder="1">
      <alignment/>
      <protection/>
    </xf>
    <xf numFmtId="0" fontId="49" fillId="46" borderId="23" xfId="56" applyFont="1" applyFill="1" applyBorder="1">
      <alignment/>
      <protection/>
    </xf>
    <xf numFmtId="0" fontId="6" fillId="0" borderId="34" xfId="56" applyFont="1" applyBorder="1">
      <alignment/>
      <protection/>
    </xf>
    <xf numFmtId="0" fontId="39" fillId="0" borderId="23" xfId="56" applyFont="1" applyBorder="1" applyAlignment="1">
      <alignment horizontal="right"/>
      <protection/>
    </xf>
    <xf numFmtId="0" fontId="6" fillId="0" borderId="23" xfId="56" applyFont="1" applyBorder="1" applyAlignment="1" applyProtection="1">
      <alignment horizontal="center"/>
      <protection locked="0"/>
    </xf>
    <xf numFmtId="0" fontId="6" fillId="0" borderId="24" xfId="56" applyFont="1" applyBorder="1" applyAlignment="1" applyProtection="1">
      <alignment horizontal="center"/>
      <protection locked="0"/>
    </xf>
    <xf numFmtId="2" fontId="6" fillId="0" borderId="24" xfId="56" applyNumberFormat="1" applyFont="1" applyBorder="1" applyAlignment="1" applyProtection="1">
      <alignment horizontal="center"/>
      <protection locked="0"/>
    </xf>
    <xf numFmtId="172" fontId="48" fillId="32" borderId="23" xfId="56" applyNumberFormat="1" applyFont="1" applyFill="1" applyBorder="1" applyAlignment="1" applyProtection="1">
      <alignment horizontal="center"/>
      <protection/>
    </xf>
    <xf numFmtId="22" fontId="6" fillId="0" borderId="23" xfId="56" applyNumberFormat="1" applyFont="1" applyBorder="1" applyAlignment="1" applyProtection="1">
      <alignment horizontal="center"/>
      <protection locked="0"/>
    </xf>
    <xf numFmtId="2" fontId="6" fillId="0" borderId="23" xfId="56" applyNumberFormat="1" applyFont="1" applyBorder="1" applyAlignment="1" applyProtection="1">
      <alignment horizontal="center"/>
      <protection/>
    </xf>
    <xf numFmtId="1" fontId="6" fillId="0" borderId="23" xfId="56" applyNumberFormat="1" applyFont="1" applyBorder="1" applyAlignment="1" applyProtection="1">
      <alignment horizontal="center"/>
      <protection/>
    </xf>
    <xf numFmtId="172" fontId="6" fillId="0" borderId="23" xfId="56" applyNumberFormat="1" applyFont="1" applyBorder="1" applyAlignment="1" applyProtection="1">
      <alignment horizontal="center"/>
      <protection locked="0"/>
    </xf>
    <xf numFmtId="172" fontId="6" fillId="0" borderId="23" xfId="56" applyNumberFormat="1" applyFont="1" applyBorder="1" applyAlignment="1" applyProtection="1" quotePrefix="1">
      <alignment horizontal="center"/>
      <protection locked="0"/>
    </xf>
    <xf numFmtId="2" fontId="38" fillId="43" borderId="20" xfId="56" applyNumberFormat="1" applyFont="1" applyFill="1" applyBorder="1" applyAlignment="1">
      <alignment horizontal="center"/>
      <protection/>
    </xf>
    <xf numFmtId="2" fontId="65" fillId="40" borderId="24" xfId="56" applyNumberFormat="1" applyFont="1" applyFill="1" applyBorder="1" applyAlignment="1">
      <alignment horizontal="center"/>
      <protection/>
    </xf>
    <xf numFmtId="172" fontId="36" fillId="32" borderId="33" xfId="56" applyNumberFormat="1" applyFont="1" applyFill="1" applyBorder="1" applyAlignment="1" applyProtection="1" quotePrefix="1">
      <alignment horizontal="center"/>
      <protection/>
    </xf>
    <xf numFmtId="172" fontId="36" fillId="32" borderId="45" xfId="56" applyNumberFormat="1" applyFont="1" applyFill="1" applyBorder="1" applyAlignment="1" applyProtection="1" quotePrefix="1">
      <alignment horizontal="center"/>
      <protection/>
    </xf>
    <xf numFmtId="4" fontId="36" fillId="32" borderId="34" xfId="56" applyNumberFormat="1" applyFont="1" applyFill="1" applyBorder="1" applyAlignment="1">
      <alignment horizontal="center"/>
      <protection/>
    </xf>
    <xf numFmtId="172" fontId="49" fillId="44" borderId="33" xfId="56" applyNumberFormat="1" applyFont="1" applyFill="1" applyBorder="1" applyAlignment="1" applyProtection="1" quotePrefix="1">
      <alignment horizontal="center"/>
      <protection/>
    </xf>
    <xf numFmtId="172" fontId="49" fillId="44" borderId="45" xfId="56" applyNumberFormat="1" applyFont="1" applyFill="1" applyBorder="1" applyAlignment="1" applyProtection="1" quotePrefix="1">
      <alignment horizontal="center"/>
      <protection/>
    </xf>
    <xf numFmtId="4" fontId="49" fillId="44" borderId="34" xfId="56" applyNumberFormat="1" applyFont="1" applyFill="1" applyBorder="1" applyAlignment="1">
      <alignment horizontal="center"/>
      <protection/>
    </xf>
    <xf numFmtId="4" fontId="66" fillId="45" borderId="23" xfId="56" applyNumberFormat="1" applyFont="1" applyFill="1" applyBorder="1" applyAlignment="1">
      <alignment horizontal="center"/>
      <protection/>
    </xf>
    <xf numFmtId="4" fontId="49" fillId="46" borderId="23" xfId="56" applyNumberFormat="1" applyFont="1" applyFill="1" applyBorder="1" applyAlignment="1">
      <alignment horizontal="center"/>
      <protection/>
    </xf>
    <xf numFmtId="4" fontId="6" fillId="0" borderId="34" xfId="56" applyNumberFormat="1" applyFont="1" applyBorder="1" applyAlignment="1" applyProtection="1">
      <alignment horizontal="center"/>
      <protection locked="0"/>
    </xf>
    <xf numFmtId="4" fontId="39" fillId="0" borderId="23" xfId="56" applyNumberFormat="1" applyFont="1" applyBorder="1" applyAlignment="1">
      <alignment horizontal="right"/>
      <protection/>
    </xf>
    <xf numFmtId="0" fontId="6" fillId="0" borderId="13" xfId="56" applyFont="1" applyBorder="1" applyAlignment="1">
      <alignment horizontal="right"/>
      <protection/>
    </xf>
    <xf numFmtId="0" fontId="6" fillId="0" borderId="13" xfId="56" applyFont="1" applyBorder="1" applyAlignment="1">
      <alignment horizontal="center"/>
      <protection/>
    </xf>
    <xf numFmtId="0" fontId="6" fillId="0" borderId="25" xfId="56" applyFont="1" applyBorder="1" applyProtection="1">
      <alignment/>
      <protection locked="0"/>
    </xf>
    <xf numFmtId="0" fontId="6" fillId="0" borderId="26" xfId="56" applyFont="1" applyBorder="1" applyAlignment="1" applyProtection="1">
      <alignment horizontal="center"/>
      <protection locked="0"/>
    </xf>
    <xf numFmtId="2" fontId="6" fillId="0" borderId="26" xfId="56" applyNumberFormat="1" applyFont="1" applyBorder="1" applyAlignment="1" applyProtection="1">
      <alignment horizontal="center"/>
      <protection locked="0"/>
    </xf>
    <xf numFmtId="172" fontId="6" fillId="0" borderId="25" xfId="56" applyNumberFormat="1" applyFont="1" applyBorder="1" applyAlignment="1" applyProtection="1">
      <alignment horizontal="center"/>
      <protection locked="0"/>
    </xf>
    <xf numFmtId="172" fontId="48" fillId="32" borderId="25" xfId="56" applyNumberFormat="1" applyFont="1" applyFill="1" applyBorder="1" applyAlignment="1" applyProtection="1">
      <alignment horizontal="center"/>
      <protection/>
    </xf>
    <xf numFmtId="172" fontId="6" fillId="0" borderId="25" xfId="56" applyNumberFormat="1" applyFont="1" applyBorder="1" applyAlignment="1" applyProtection="1">
      <alignment horizontal="center"/>
      <protection/>
    </xf>
    <xf numFmtId="22" fontId="6" fillId="0" borderId="25" xfId="56" applyNumberFormat="1" applyFont="1" applyBorder="1" applyAlignment="1" applyProtection="1">
      <alignment horizontal="center"/>
      <protection locked="0"/>
    </xf>
    <xf numFmtId="172" fontId="38" fillId="43" borderId="20" xfId="56" applyNumberFormat="1" applyFont="1" applyFill="1" applyBorder="1" applyAlignment="1" applyProtection="1" quotePrefix="1">
      <alignment horizontal="center"/>
      <protection/>
    </xf>
    <xf numFmtId="172" fontId="65" fillId="40" borderId="26" xfId="56" applyNumberFormat="1" applyFont="1" applyFill="1" applyBorder="1" applyAlignment="1" applyProtection="1" quotePrefix="1">
      <alignment horizontal="center"/>
      <protection/>
    </xf>
    <xf numFmtId="172" fontId="36" fillId="32" borderId="36" xfId="56" applyNumberFormat="1" applyFont="1" applyFill="1" applyBorder="1" applyAlignment="1" applyProtection="1" quotePrefix="1">
      <alignment horizontal="center"/>
      <protection/>
    </xf>
    <xf numFmtId="4" fontId="36" fillId="32" borderId="46" xfId="56" applyNumberFormat="1" applyFont="1" applyFill="1" applyBorder="1" applyAlignment="1">
      <alignment horizontal="center"/>
      <protection/>
    </xf>
    <xf numFmtId="4" fontId="36" fillId="32" borderId="47" xfId="56" applyNumberFormat="1" applyFont="1" applyFill="1" applyBorder="1" applyAlignment="1">
      <alignment horizontal="center"/>
      <protection/>
    </xf>
    <xf numFmtId="4" fontId="49" fillId="44" borderId="36" xfId="56" applyNumberFormat="1" applyFont="1" applyFill="1" applyBorder="1" applyAlignment="1">
      <alignment horizontal="center"/>
      <protection/>
    </xf>
    <xf numFmtId="4" fontId="49" fillId="44" borderId="48" xfId="56" applyNumberFormat="1" applyFont="1" applyFill="1" applyBorder="1" applyAlignment="1">
      <alignment horizontal="center"/>
      <protection/>
    </xf>
    <xf numFmtId="4" fontId="49" fillId="44" borderId="37" xfId="56" applyNumberFormat="1" applyFont="1" applyFill="1" applyBorder="1" applyAlignment="1">
      <alignment horizontal="center"/>
      <protection/>
    </xf>
    <xf numFmtId="4" fontId="66" fillId="45" borderId="25" xfId="56" applyNumberFormat="1" applyFont="1" applyFill="1" applyBorder="1" applyAlignment="1">
      <alignment horizontal="center"/>
      <protection/>
    </xf>
    <xf numFmtId="4" fontId="49" fillId="46" borderId="25" xfId="56" applyNumberFormat="1" applyFont="1" applyFill="1" applyBorder="1" applyAlignment="1">
      <alignment horizontal="center"/>
      <protection/>
    </xf>
    <xf numFmtId="4" fontId="6" fillId="0" borderId="25" xfId="56" applyNumberFormat="1" applyFont="1" applyBorder="1" applyAlignment="1" applyProtection="1">
      <alignment horizontal="center"/>
      <protection locked="0"/>
    </xf>
    <xf numFmtId="7" fontId="39" fillId="0" borderId="49" xfId="56" applyNumberFormat="1" applyFont="1" applyBorder="1" applyAlignment="1">
      <alignment horizontal="right"/>
      <protection/>
    </xf>
    <xf numFmtId="0" fontId="67" fillId="0" borderId="28" xfId="56" applyFont="1" applyBorder="1" applyAlignment="1">
      <alignment horizontal="center"/>
      <protection/>
    </xf>
    <xf numFmtId="0" fontId="67" fillId="0" borderId="0" xfId="56" applyFont="1" applyBorder="1" applyAlignment="1">
      <alignment horizontal="left"/>
      <protection/>
    </xf>
    <xf numFmtId="0" fontId="41" fillId="0" borderId="0" xfId="56" applyFont="1" applyBorder="1" applyAlignment="1">
      <alignment horizontal="center"/>
      <protection/>
    </xf>
    <xf numFmtId="0" fontId="42" fillId="0" borderId="0" xfId="56" applyFont="1" applyBorder="1" applyAlignment="1" applyProtection="1">
      <alignment horizontal="left"/>
      <protection/>
    </xf>
    <xf numFmtId="0" fontId="6" fillId="0" borderId="0" xfId="56" applyFont="1" applyBorder="1" applyAlignment="1" applyProtection="1">
      <alignment horizontal="center"/>
      <protection/>
    </xf>
    <xf numFmtId="2" fontId="6" fillId="0" borderId="0" xfId="56" applyNumberFormat="1" applyFont="1" applyBorder="1" applyAlignment="1" applyProtection="1">
      <alignment horizontal="center"/>
      <protection/>
    </xf>
    <xf numFmtId="172" fontId="6" fillId="0" borderId="0" xfId="56" applyNumberFormat="1" applyFont="1" applyBorder="1" applyAlignment="1" applyProtection="1">
      <alignment horizontal="center"/>
      <protection/>
    </xf>
    <xf numFmtId="172" fontId="6" fillId="0" borderId="0" xfId="56" applyNumberFormat="1" applyFont="1" applyBorder="1" applyAlignment="1" applyProtection="1" quotePrefix="1">
      <alignment horizontal="center"/>
      <protection/>
    </xf>
    <xf numFmtId="172" fontId="65" fillId="40" borderId="20" xfId="56" applyNumberFormat="1" applyFont="1" applyFill="1" applyBorder="1" applyAlignment="1" applyProtection="1" quotePrefix="1">
      <alignment horizontal="center"/>
      <protection/>
    </xf>
    <xf numFmtId="172" fontId="36" fillId="32" borderId="20" xfId="56" applyNumberFormat="1" applyFont="1" applyFill="1" applyBorder="1" applyAlignment="1" applyProtection="1" quotePrefix="1">
      <alignment horizontal="center"/>
      <protection/>
    </xf>
    <xf numFmtId="172" fontId="49" fillId="44" borderId="20" xfId="56" applyNumberFormat="1" applyFont="1" applyFill="1" applyBorder="1" applyAlignment="1" applyProtection="1" quotePrefix="1">
      <alignment horizontal="center"/>
      <protection/>
    </xf>
    <xf numFmtId="172" fontId="66" fillId="45" borderId="20" xfId="56" applyNumberFormat="1" applyFont="1" applyFill="1" applyBorder="1" applyAlignment="1" applyProtection="1" quotePrefix="1">
      <alignment horizontal="center"/>
      <protection/>
    </xf>
    <xf numFmtId="172" fontId="49" fillId="46" borderId="20" xfId="56" applyNumberFormat="1" applyFont="1" applyFill="1" applyBorder="1" applyAlignment="1" applyProtection="1" quotePrefix="1">
      <alignment horizontal="center"/>
      <protection/>
    </xf>
    <xf numFmtId="4" fontId="5" fillId="0" borderId="0" xfId="56" applyNumberFormat="1" applyFont="1" applyBorder="1" applyAlignment="1">
      <alignment horizontal="center"/>
      <protection/>
    </xf>
    <xf numFmtId="7" fontId="2" fillId="0" borderId="20" xfId="56" applyNumberFormat="1" applyFont="1" applyBorder="1" applyAlignment="1">
      <alignment horizontal="right"/>
      <protection/>
    </xf>
    <xf numFmtId="2" fontId="6" fillId="0" borderId="14" xfId="56" applyNumberFormat="1" applyFont="1" applyBorder="1" applyAlignment="1">
      <alignment horizontal="center"/>
      <protection/>
    </xf>
    <xf numFmtId="0" fontId="41" fillId="0" borderId="0" xfId="56" applyFont="1" applyBorder="1">
      <alignment/>
      <protection/>
    </xf>
    <xf numFmtId="0" fontId="41" fillId="0" borderId="13" xfId="56" applyFont="1" applyBorder="1">
      <alignment/>
      <protection/>
    </xf>
    <xf numFmtId="0" fontId="42" fillId="0" borderId="0" xfId="56" applyFont="1" applyBorder="1" applyAlignment="1" applyProtection="1">
      <alignment horizontal="left" vertical="top"/>
      <protection/>
    </xf>
    <xf numFmtId="0" fontId="41" fillId="0" borderId="0" xfId="56" applyFont="1" applyBorder="1" applyAlignment="1" applyProtection="1">
      <alignment horizontal="center"/>
      <protection/>
    </xf>
    <xf numFmtId="2" fontId="41" fillId="0" borderId="0" xfId="56" applyNumberFormat="1" applyFont="1" applyBorder="1" applyAlignment="1" applyProtection="1">
      <alignment horizontal="center"/>
      <protection/>
    </xf>
    <xf numFmtId="172" fontId="41" fillId="0" borderId="0" xfId="56" applyNumberFormat="1" applyFont="1" applyBorder="1" applyAlignment="1" applyProtection="1">
      <alignment horizontal="center"/>
      <protection/>
    </xf>
    <xf numFmtId="172" fontId="41" fillId="0" borderId="0" xfId="56" applyNumberFormat="1" applyFont="1" applyBorder="1" applyAlignment="1" applyProtection="1" quotePrefix="1">
      <alignment horizontal="center"/>
      <protection/>
    </xf>
    <xf numFmtId="2" fontId="43" fillId="0" borderId="0" xfId="56" applyNumberFormat="1" applyFont="1" applyBorder="1" applyAlignment="1">
      <alignment horizontal="center"/>
      <protection/>
    </xf>
    <xf numFmtId="172" fontId="44" fillId="0" borderId="0" xfId="56" applyNumberFormat="1" applyFont="1" applyBorder="1" applyAlignment="1" applyProtection="1" quotePrefix="1">
      <alignment horizontal="center"/>
      <protection/>
    </xf>
    <xf numFmtId="4" fontId="44" fillId="0" borderId="0" xfId="56" applyNumberFormat="1" applyFont="1" applyBorder="1" applyAlignment="1">
      <alignment horizontal="center"/>
      <protection/>
    </xf>
    <xf numFmtId="7" fontId="45" fillId="0" borderId="0" xfId="56" applyNumberFormat="1" applyFont="1" applyBorder="1" applyAlignment="1">
      <alignment horizontal="right"/>
      <protection/>
    </xf>
    <xf numFmtId="2" fontId="41" fillId="0" borderId="14" xfId="56" applyNumberFormat="1" applyFont="1" applyBorder="1" applyAlignment="1">
      <alignment horizontal="center"/>
      <protection/>
    </xf>
    <xf numFmtId="0" fontId="41" fillId="0" borderId="0" xfId="56" applyFont="1">
      <alignment/>
      <protection/>
    </xf>
    <xf numFmtId="0" fontId="6" fillId="0" borderId="17" xfId="56" applyFont="1" applyBorder="1">
      <alignment/>
      <protection/>
    </xf>
    <xf numFmtId="0" fontId="6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0" fontId="1" fillId="0" borderId="0" xfId="56" applyBorder="1">
      <alignment/>
      <protection/>
    </xf>
    <xf numFmtId="0" fontId="1" fillId="0" borderId="0" xfId="56">
      <alignment/>
      <protection/>
    </xf>
    <xf numFmtId="224" fontId="1" fillId="0" borderId="15" xfId="55" applyNumberFormat="1" applyFont="1" applyBorder="1" applyAlignment="1">
      <alignment horizontal="centerContinuous"/>
      <protection/>
    </xf>
    <xf numFmtId="0" fontId="6" fillId="0" borderId="24" xfId="55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67" fillId="0" borderId="0" xfId="55" applyFont="1" applyBorder="1" applyAlignment="1">
      <alignment horizontal="left"/>
      <protection/>
    </xf>
    <xf numFmtId="0" fontId="1" fillId="0" borderId="0" xfId="57">
      <alignment/>
      <protection/>
    </xf>
    <xf numFmtId="0" fontId="57" fillId="0" borderId="0" xfId="57" applyFont="1" applyAlignment="1">
      <alignment horizontal="right" vertical="top"/>
      <protection/>
    </xf>
    <xf numFmtId="0" fontId="69" fillId="0" borderId="0" xfId="57" applyFont="1">
      <alignment/>
      <protection/>
    </xf>
    <xf numFmtId="0" fontId="70" fillId="0" borderId="0" xfId="57" applyFont="1" applyAlignment="1">
      <alignment horizontal="centerContinuous"/>
      <protection/>
    </xf>
    <xf numFmtId="0" fontId="4" fillId="0" borderId="0" xfId="57" applyFont="1" applyBorder="1" applyAlignment="1" applyProtection="1">
      <alignment horizontal="centerContinuous" vertical="center"/>
      <protection/>
    </xf>
    <xf numFmtId="0" fontId="60" fillId="0" borderId="0" xfId="57" applyFont="1" applyAlignment="1">
      <alignment horizontal="centerContinuous" vertical="center"/>
      <protection/>
    </xf>
    <xf numFmtId="0" fontId="60" fillId="0" borderId="0" xfId="57" applyFont="1">
      <alignment/>
      <protection/>
    </xf>
    <xf numFmtId="0" fontId="71" fillId="0" borderId="0" xfId="57" applyFont="1" applyBorder="1" applyAlignment="1">
      <alignment horizontal="centerContinuous"/>
      <protection/>
    </xf>
    <xf numFmtId="0" fontId="72" fillId="0" borderId="0" xfId="57" applyFont="1" applyBorder="1" applyAlignment="1" applyProtection="1">
      <alignment horizontal="left"/>
      <protection/>
    </xf>
    <xf numFmtId="0" fontId="73" fillId="0" borderId="0" xfId="57" applyFont="1" applyBorder="1" applyAlignment="1">
      <alignment horizontal="centerContinuous"/>
      <protection/>
    </xf>
    <xf numFmtId="0" fontId="74" fillId="0" borderId="0" xfId="57" applyFont="1" applyBorder="1" applyAlignment="1" applyProtection="1">
      <alignment horizontal="centerContinuous"/>
      <protection/>
    </xf>
    <xf numFmtId="0" fontId="1" fillId="0" borderId="0" xfId="57" applyAlignment="1">
      <alignment horizontal="centerContinuous"/>
      <protection/>
    </xf>
    <xf numFmtId="0" fontId="74" fillId="0" borderId="0" xfId="57" applyFont="1" applyAlignment="1">
      <alignment horizontal="centerContinuous"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75" fillId="0" borderId="11" xfId="57" applyFont="1" applyBorder="1">
      <alignment/>
      <protection/>
    </xf>
    <xf numFmtId="0" fontId="1" fillId="0" borderId="12" xfId="57" applyBorder="1">
      <alignment/>
      <protection/>
    </xf>
    <xf numFmtId="0" fontId="20" fillId="0" borderId="13" xfId="57" applyFont="1" applyBorder="1" applyAlignment="1">
      <alignment horizontal="centerContinuous"/>
      <protection/>
    </xf>
    <xf numFmtId="0" fontId="75" fillId="0" borderId="0" xfId="57" applyFont="1" applyBorder="1" applyAlignment="1">
      <alignment horizontal="centerContinuous"/>
      <protection/>
    </xf>
    <xf numFmtId="0" fontId="1" fillId="0" borderId="0" xfId="57" applyBorder="1" applyAlignment="1">
      <alignment horizontal="centerContinuous"/>
      <protection/>
    </xf>
    <xf numFmtId="0" fontId="1" fillId="0" borderId="14" xfId="57" applyBorder="1" applyAlignment="1">
      <alignment horizontal="centerContinuous"/>
      <protection/>
    </xf>
    <xf numFmtId="0" fontId="1" fillId="0" borderId="13" xfId="57" applyBorder="1">
      <alignment/>
      <protection/>
    </xf>
    <xf numFmtId="0" fontId="1" fillId="0" borderId="50" xfId="57" applyBorder="1">
      <alignment/>
      <protection/>
    </xf>
    <xf numFmtId="0" fontId="75" fillId="0" borderId="0" xfId="57" applyFont="1" applyBorder="1" applyAlignment="1" applyProtection="1">
      <alignment horizontal="center"/>
      <protection/>
    </xf>
    <xf numFmtId="0" fontId="75" fillId="0" borderId="0" xfId="57" applyFont="1" applyBorder="1">
      <alignment/>
      <protection/>
    </xf>
    <xf numFmtId="0" fontId="1" fillId="0" borderId="0" xfId="57" applyBorder="1">
      <alignment/>
      <protection/>
    </xf>
    <xf numFmtId="0" fontId="1" fillId="0" borderId="14" xfId="57" applyBorder="1">
      <alignment/>
      <protection/>
    </xf>
    <xf numFmtId="0" fontId="76" fillId="0" borderId="0" xfId="57" applyFont="1" applyAlignment="1">
      <alignment horizontal="centerContinuous" vertical="center"/>
      <protection/>
    </xf>
    <xf numFmtId="0" fontId="76" fillId="0" borderId="13" xfId="57" applyFont="1" applyBorder="1" applyAlignment="1">
      <alignment horizontal="centerContinuous" vertical="center"/>
      <protection/>
    </xf>
    <xf numFmtId="0" fontId="76" fillId="47" borderId="51" xfId="57" applyFont="1" applyFill="1" applyBorder="1" applyAlignment="1" applyProtection="1">
      <alignment horizontal="centerContinuous" vertical="center"/>
      <protection/>
    </xf>
    <xf numFmtId="0" fontId="76" fillId="47" borderId="51" xfId="57" applyFont="1" applyFill="1" applyBorder="1" applyAlignment="1" applyProtection="1">
      <alignment horizontal="centerContinuous" vertical="center" wrapText="1"/>
      <protection/>
    </xf>
    <xf numFmtId="172" fontId="76" fillId="47" borderId="20" xfId="57" applyNumberFormat="1" applyFont="1" applyFill="1" applyBorder="1" applyAlignment="1" applyProtection="1">
      <alignment horizontal="centerContinuous" vertical="center" wrapText="1"/>
      <protection/>
    </xf>
    <xf numFmtId="17" fontId="76" fillId="47" borderId="16" xfId="57" applyNumberFormat="1" applyFont="1" applyFill="1" applyBorder="1" applyAlignment="1">
      <alignment horizontal="center" vertical="center"/>
      <protection/>
    </xf>
    <xf numFmtId="0" fontId="76" fillId="0" borderId="14" xfId="57" applyFont="1" applyBorder="1" applyAlignment="1">
      <alignment vertical="center"/>
      <protection/>
    </xf>
    <xf numFmtId="0" fontId="76" fillId="0" borderId="0" xfId="57" applyFont="1" applyAlignment="1">
      <alignment vertical="center"/>
      <protection/>
    </xf>
    <xf numFmtId="0" fontId="76" fillId="0" borderId="13" xfId="57" applyFont="1" applyBorder="1" applyAlignment="1">
      <alignment vertical="center"/>
      <protection/>
    </xf>
    <xf numFmtId="0" fontId="76" fillId="0" borderId="32" xfId="57" applyFont="1" applyBorder="1" applyAlignment="1">
      <alignment vertical="center"/>
      <protection/>
    </xf>
    <xf numFmtId="0" fontId="76" fillId="0" borderId="52" xfId="57" applyFont="1" applyBorder="1" applyAlignment="1">
      <alignment vertical="center"/>
      <protection/>
    </xf>
    <xf numFmtId="0" fontId="76" fillId="0" borderId="27" xfId="57" applyFont="1" applyBorder="1" applyAlignment="1">
      <alignment vertical="center"/>
      <protection/>
    </xf>
    <xf numFmtId="0" fontId="76" fillId="0" borderId="53" xfId="57" applyFont="1" applyBorder="1" applyAlignment="1">
      <alignment vertical="center"/>
      <protection/>
    </xf>
    <xf numFmtId="0" fontId="76" fillId="48" borderId="32" xfId="57" applyFont="1" applyFill="1" applyBorder="1" applyAlignment="1">
      <alignment horizontal="center" vertical="center"/>
      <protection/>
    </xf>
    <xf numFmtId="0" fontId="76" fillId="48" borderId="54" xfId="57" applyFont="1" applyFill="1" applyBorder="1" applyAlignment="1" applyProtection="1">
      <alignment horizontal="center" vertical="center"/>
      <protection/>
    </xf>
    <xf numFmtId="2" fontId="76" fillId="48" borderId="24" xfId="57" applyNumberFormat="1" applyFont="1" applyFill="1" applyBorder="1" applyAlignment="1" applyProtection="1">
      <alignment horizontal="center" vertical="center"/>
      <protection/>
    </xf>
    <xf numFmtId="0" fontId="76" fillId="49" borderId="32" xfId="57" applyFont="1" applyFill="1" applyBorder="1" applyAlignment="1">
      <alignment horizontal="center" vertical="center"/>
      <protection/>
    </xf>
    <xf numFmtId="0" fontId="76" fillId="49" borderId="54" xfId="57" applyFont="1" applyFill="1" applyBorder="1" applyAlignment="1" applyProtection="1">
      <alignment horizontal="center" vertical="center"/>
      <protection/>
    </xf>
    <xf numFmtId="2" fontId="76" fillId="49" borderId="24" xfId="57" applyNumberFormat="1" applyFont="1" applyFill="1" applyBorder="1" applyAlignment="1" applyProtection="1">
      <alignment horizontal="center" vertical="center"/>
      <protection/>
    </xf>
    <xf numFmtId="0" fontId="76" fillId="49" borderId="24" xfId="57" applyFont="1" applyFill="1" applyBorder="1" applyAlignment="1">
      <alignment horizontal="center" vertical="center"/>
      <protection/>
    </xf>
    <xf numFmtId="0" fontId="76" fillId="49" borderId="55" xfId="57" applyFont="1" applyFill="1" applyBorder="1" applyAlignment="1" applyProtection="1">
      <alignment horizontal="center" vertical="center"/>
      <protection/>
    </xf>
    <xf numFmtId="2" fontId="76" fillId="49" borderId="56" xfId="57" applyNumberFormat="1" applyFont="1" applyFill="1" applyBorder="1" applyAlignment="1" applyProtection="1">
      <alignment horizontal="center" vertical="center"/>
      <protection/>
    </xf>
    <xf numFmtId="0" fontId="76" fillId="0" borderId="57" xfId="57" applyFont="1" applyBorder="1" applyAlignment="1">
      <alignment horizontal="center" vertical="center"/>
      <protection/>
    </xf>
    <xf numFmtId="0" fontId="76" fillId="0" borderId="58" xfId="57" applyFont="1" applyBorder="1" applyAlignment="1" applyProtection="1">
      <alignment horizontal="left" vertical="center"/>
      <protection/>
    </xf>
    <xf numFmtId="0" fontId="76" fillId="0" borderId="58" xfId="57" applyFont="1" applyBorder="1" applyAlignment="1" applyProtection="1">
      <alignment horizontal="center" vertical="center"/>
      <protection/>
    </xf>
    <xf numFmtId="2" fontId="76" fillId="0" borderId="26" xfId="57" applyNumberFormat="1" applyFont="1" applyBorder="1" applyAlignment="1" applyProtection="1">
      <alignment horizontal="center" vertical="center"/>
      <protection/>
    </xf>
    <xf numFmtId="0" fontId="76" fillId="0" borderId="0" xfId="57" applyFont="1" applyBorder="1" applyAlignment="1">
      <alignment horizontal="center" vertical="center"/>
      <protection/>
    </xf>
    <xf numFmtId="0" fontId="76" fillId="0" borderId="0" xfId="57" applyFont="1" applyBorder="1" applyAlignment="1" applyProtection="1">
      <alignment horizontal="left" vertical="center"/>
      <protection/>
    </xf>
    <xf numFmtId="0" fontId="77" fillId="0" borderId="28" xfId="57" applyFont="1" applyBorder="1" applyAlignment="1" applyProtection="1">
      <alignment horizontal="right" vertical="center"/>
      <protection/>
    </xf>
    <xf numFmtId="172" fontId="77" fillId="0" borderId="26" xfId="57" applyNumberFormat="1" applyFont="1" applyBorder="1" applyAlignment="1" applyProtection="1">
      <alignment horizontal="center" vertical="center"/>
      <protection/>
    </xf>
    <xf numFmtId="1" fontId="76" fillId="0" borderId="20" xfId="57" applyNumberFormat="1" applyFont="1" applyFill="1" applyBorder="1" applyAlignment="1">
      <alignment horizontal="center" vertical="center"/>
      <protection/>
    </xf>
    <xf numFmtId="1" fontId="76" fillId="0" borderId="20" xfId="57" applyNumberFormat="1" applyFont="1" applyBorder="1" applyAlignment="1">
      <alignment horizontal="center" vertical="center"/>
      <protection/>
    </xf>
    <xf numFmtId="0" fontId="76" fillId="0" borderId="0" xfId="57" applyFont="1" applyBorder="1" applyAlignment="1">
      <alignment vertical="center"/>
      <protection/>
    </xf>
    <xf numFmtId="0" fontId="76" fillId="0" borderId="0" xfId="57" applyFont="1" applyBorder="1" applyAlignment="1" applyProtection="1">
      <alignment horizontal="center" vertical="center"/>
      <protection/>
    </xf>
    <xf numFmtId="0" fontId="77" fillId="0" borderId="0" xfId="57" applyFont="1" applyAlignment="1">
      <alignment horizontal="right" vertical="center"/>
      <protection/>
    </xf>
    <xf numFmtId="1" fontId="76" fillId="0" borderId="20" xfId="57" applyNumberFormat="1" applyFont="1" applyBorder="1" applyAlignment="1" applyProtection="1">
      <alignment horizontal="center" vertical="center"/>
      <protection/>
    </xf>
    <xf numFmtId="17" fontId="77" fillId="0" borderId="0" xfId="57" applyNumberFormat="1" applyFont="1" applyBorder="1" applyAlignment="1">
      <alignment horizontal="right" vertical="center"/>
      <protection/>
    </xf>
    <xf numFmtId="2" fontId="77" fillId="50" borderId="26" xfId="58" applyNumberFormat="1" applyFont="1" applyFill="1" applyBorder="1" applyAlignment="1">
      <alignment horizontal="center" vertical="center"/>
      <protection/>
    </xf>
    <xf numFmtId="2" fontId="77" fillId="51" borderId="59" xfId="58" applyNumberFormat="1" applyFont="1" applyFill="1" applyBorder="1" applyAlignment="1">
      <alignment horizontal="center" vertical="center"/>
      <protection/>
    </xf>
    <xf numFmtId="0" fontId="6" fillId="0" borderId="0" xfId="57" applyFont="1" applyBorder="1">
      <alignment/>
      <protection/>
    </xf>
    <xf numFmtId="0" fontId="3" fillId="0" borderId="0" xfId="57" applyFont="1" applyBorder="1" applyAlignment="1" applyProtection="1">
      <alignment horizontal="center"/>
      <protection/>
    </xf>
    <xf numFmtId="172" fontId="3" fillId="0" borderId="0" xfId="57" applyNumberFormat="1" applyFont="1" applyBorder="1" applyAlignment="1" applyProtection="1">
      <alignment horizontal="right"/>
      <protection/>
    </xf>
    <xf numFmtId="2" fontId="1" fillId="0" borderId="0" xfId="57" applyNumberFormat="1" applyBorder="1" applyAlignment="1">
      <alignment horizontal="center"/>
      <protection/>
    </xf>
    <xf numFmtId="2" fontId="1" fillId="0" borderId="14" xfId="57" applyNumberFormat="1" applyBorder="1" applyAlignment="1">
      <alignment horizontal="center"/>
      <protection/>
    </xf>
    <xf numFmtId="0" fontId="78" fillId="0" borderId="13" xfId="57" applyFont="1" applyBorder="1">
      <alignment/>
      <protection/>
    </xf>
    <xf numFmtId="0" fontId="1" fillId="0" borderId="15" xfId="57" applyFont="1" applyBorder="1">
      <alignment/>
      <protection/>
    </xf>
    <xf numFmtId="0" fontId="79" fillId="0" borderId="21" xfId="57" applyFont="1" applyBorder="1" applyAlignment="1">
      <alignment horizontal="center"/>
      <protection/>
    </xf>
    <xf numFmtId="2" fontId="80" fillId="0" borderId="21" xfId="57" applyNumberFormat="1" applyFont="1" applyBorder="1" applyAlignment="1">
      <alignment horizontal="center"/>
      <protection/>
    </xf>
    <xf numFmtId="0" fontId="81" fillId="0" borderId="21" xfId="57" applyFont="1" applyBorder="1">
      <alignment/>
      <protection/>
    </xf>
    <xf numFmtId="0" fontId="1" fillId="0" borderId="21" xfId="57" applyBorder="1">
      <alignment/>
      <protection/>
    </xf>
    <xf numFmtId="0" fontId="1" fillId="0" borderId="16" xfId="57" applyBorder="1">
      <alignment/>
      <protection/>
    </xf>
    <xf numFmtId="1" fontId="1" fillId="0" borderId="0" xfId="57" applyNumberFormat="1" applyBorder="1" applyAlignment="1">
      <alignment horizontal="center"/>
      <protection/>
    </xf>
    <xf numFmtId="0" fontId="78" fillId="0" borderId="17" xfId="57" applyFont="1" applyBorder="1">
      <alignment/>
      <protection/>
    </xf>
    <xf numFmtId="0" fontId="3" fillId="0" borderId="18" xfId="57" applyFont="1" applyBorder="1" applyAlignment="1" applyProtection="1">
      <alignment horizontal="left"/>
      <protection/>
    </xf>
    <xf numFmtId="0" fontId="6" fillId="0" borderId="18" xfId="57" applyFont="1" applyBorder="1">
      <alignment/>
      <protection/>
    </xf>
    <xf numFmtId="0" fontId="3" fillId="0" borderId="18" xfId="57" applyFont="1" applyBorder="1" applyAlignment="1">
      <alignment horizontal="center"/>
      <protection/>
    </xf>
    <xf numFmtId="0" fontId="1" fillId="0" borderId="18" xfId="57" applyBorder="1">
      <alignment/>
      <protection/>
    </xf>
    <xf numFmtId="0" fontId="1" fillId="0" borderId="19" xfId="57" applyBorder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0101 ANEXO I NEA" xfId="53"/>
    <cellStyle name="Normal_Comahue" xfId="54"/>
    <cellStyle name="Normal_Cuyo" xfId="55"/>
    <cellStyle name="Normal_F0413NEA" xfId="56"/>
    <cellStyle name="Normal_T0002CUY" xfId="57"/>
    <cellStyle name="Normal_T9904CUY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981075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3</xdr:col>
      <xdr:colOff>180975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0</xdr:col>
      <xdr:colOff>971550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0</xdr:col>
      <xdr:colOff>942975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EA\2013\F0413N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2013\A0413CUY%20Anexo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413"/>
      <sheetName val="LI-04 (1)"/>
      <sheetName val="T-04 (1)"/>
      <sheetName val="SA-04 (1)"/>
      <sheetName val="LI-ELECT-04 (1)"/>
      <sheetName val="SA-ELECT-04 (1)"/>
      <sheetName val="CAUSAS-VST-04 (1)"/>
      <sheetName val="CAUSAS-VST-04 (2)"/>
      <sheetName val="CAUSAS-VST-04 (3)"/>
      <sheetName val="CAUSAS-VST-04 (4)"/>
      <sheetName val="SUP-ELECTROING"/>
      <sheetName val="DATO"/>
      <sheetName val="LI-DPEC-04 (1)"/>
      <sheetName val="LI-ENECOR-04 (1)"/>
      <sheetName val="T-ELECT-04 (1)"/>
      <sheetName val="SUP-ENECOR"/>
      <sheetName val="SUP-DPEC"/>
      <sheetName val="CONDICIONES CLIMATICAS 313-01"/>
      <sheetName val="ATENTADO 313-01 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13"/>
      <sheetName val="LI-04 (1)"/>
      <sheetName val="LI-LICCSA D-04 (1)"/>
      <sheetName val="T-04 (1)"/>
      <sheetName val="SA-04 (1)"/>
      <sheetName val="SUP-LICCSA D"/>
      <sheetName val="TASA FALLA"/>
    </sheetNames>
    <sheetDataSet>
      <sheetData sheetId="0">
        <row r="13">
          <cell r="B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K15">
            <v>41334</v>
          </cell>
          <cell r="HL15">
            <v>41365</v>
          </cell>
          <cell r="HM15">
            <v>41395</v>
          </cell>
          <cell r="HN15">
            <v>41426</v>
          </cell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M20">
            <v>1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K32" t="str">
            <v>XXXX</v>
          </cell>
          <cell r="HL32" t="str">
            <v>XXXX</v>
          </cell>
          <cell r="HM32" t="str">
            <v>XXXX</v>
          </cell>
          <cell r="HN32" t="str">
            <v>XXXX</v>
          </cell>
          <cell r="HO32" t="str">
            <v>XXXX</v>
          </cell>
          <cell r="HP32" t="str">
            <v>XXXX</v>
          </cell>
          <cell r="HQ32" t="str">
            <v>XXXX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M37">
            <v>1</v>
          </cell>
          <cell r="HN37">
            <v>1</v>
          </cell>
        </row>
        <row r="42">
          <cell r="HK42">
            <v>0.96</v>
          </cell>
          <cell r="HL42">
            <v>0.88</v>
          </cell>
          <cell r="HM42">
            <v>0.88</v>
          </cell>
          <cell r="HN42">
            <v>0.88</v>
          </cell>
          <cell r="HO42">
            <v>0.88</v>
          </cell>
          <cell r="HP42">
            <v>0.8</v>
          </cell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4"/>
    </row>
    <row r="2" spans="2:10" s="6" customFormat="1" ht="26.25">
      <c r="B2" s="7" t="s">
        <v>195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675" t="s">
        <v>3</v>
      </c>
      <c r="B4" s="67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675" t="s">
        <v>4</v>
      </c>
      <c r="B5" s="67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182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'LI-03 (1)'!AA42</f>
        <v>40234.74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s="17" customFormat="1" ht="19.5">
      <c r="B19" s="36"/>
      <c r="C19" s="41"/>
      <c r="D19" s="37" t="s">
        <v>178</v>
      </c>
      <c r="E19" s="51" t="s">
        <v>194</v>
      </c>
      <c r="F19" s="38"/>
      <c r="G19" s="38"/>
      <c r="H19" s="38"/>
      <c r="I19" s="43">
        <f>'LI-LICCSA D-04 (1)'!AA44</f>
        <v>295.09</v>
      </c>
      <c r="J19" s="39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3.5">
      <c r="B20" s="44"/>
      <c r="C20" s="45"/>
      <c r="D20" s="46"/>
      <c r="E20" s="12"/>
      <c r="F20" s="47"/>
      <c r="G20" s="47"/>
      <c r="H20" s="47"/>
      <c r="I20" s="48"/>
      <c r="J20" s="49"/>
      <c r="K20" s="12"/>
      <c r="L20" s="12"/>
      <c r="M20" s="12"/>
      <c r="N20" s="12"/>
      <c r="O20" s="12"/>
      <c r="P20" s="12"/>
      <c r="Q20" s="12"/>
      <c r="R20" s="12"/>
      <c r="S20" s="12"/>
    </row>
    <row r="21" spans="2:19" s="17" customFormat="1" ht="19.5">
      <c r="B21" s="36"/>
      <c r="C21" s="41" t="s">
        <v>7</v>
      </c>
      <c r="D21" s="42" t="s">
        <v>8</v>
      </c>
      <c r="E21" s="22"/>
      <c r="F21" s="38"/>
      <c r="G21" s="38"/>
      <c r="H21" s="38"/>
      <c r="I21" s="43"/>
      <c r="J21" s="39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3.5">
      <c r="B22" s="44"/>
      <c r="C22" s="45"/>
      <c r="D22" s="45"/>
      <c r="E22" s="12"/>
      <c r="F22" s="47"/>
      <c r="G22" s="47"/>
      <c r="H22" s="47"/>
      <c r="I22" s="50"/>
      <c r="J22" s="49"/>
      <c r="K22" s="12"/>
      <c r="L22" s="12"/>
      <c r="M22" s="12"/>
      <c r="N22" s="12"/>
      <c r="O22" s="12"/>
      <c r="P22" s="12"/>
      <c r="Q22" s="12"/>
      <c r="R22" s="12"/>
      <c r="S22" s="12"/>
    </row>
    <row r="23" spans="2:19" s="17" customFormat="1" ht="19.5">
      <c r="B23" s="36"/>
      <c r="C23" s="41"/>
      <c r="D23" s="41" t="s">
        <v>9</v>
      </c>
      <c r="E23" s="51" t="s">
        <v>10</v>
      </c>
      <c r="F23" s="38"/>
      <c r="G23" s="38"/>
      <c r="H23" s="38"/>
      <c r="I23" s="43">
        <f>'T-03 (1)'!AC42</f>
        <v>22324.54</v>
      </c>
      <c r="J23" s="39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3.5">
      <c r="B24" s="44"/>
      <c r="C24" s="45"/>
      <c r="D24" s="45"/>
      <c r="E24" s="12"/>
      <c r="F24" s="47"/>
      <c r="G24" s="47"/>
      <c r="H24" s="47"/>
      <c r="I24" s="50"/>
      <c r="J24" s="49"/>
      <c r="K24" s="12"/>
      <c r="L24" s="12"/>
      <c r="M24" s="12"/>
      <c r="N24" s="12"/>
      <c r="O24" s="12"/>
      <c r="P24" s="12"/>
      <c r="Q24" s="12"/>
      <c r="R24" s="12"/>
      <c r="S24" s="12"/>
    </row>
    <row r="25" spans="2:19" s="17" customFormat="1" ht="19.5">
      <c r="B25" s="36"/>
      <c r="C25" s="41"/>
      <c r="D25" s="41" t="s">
        <v>11</v>
      </c>
      <c r="E25" s="51" t="s">
        <v>12</v>
      </c>
      <c r="F25" s="38"/>
      <c r="G25" s="38"/>
      <c r="H25" s="38"/>
      <c r="I25" s="43">
        <f>'SA-03 (1)'!V43</f>
        <v>8355.54</v>
      </c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587"/>
      <c r="D26" s="587"/>
      <c r="E26" s="588"/>
      <c r="F26" s="38"/>
      <c r="G26" s="38"/>
      <c r="H26" s="38"/>
      <c r="I26" s="43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2" t="s">
        <v>13</v>
      </c>
      <c r="G28" s="53">
        <f>SUM(I18:I26)</f>
        <v>71209.91</v>
      </c>
      <c r="H28" s="54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6"/>
      <c r="G29" s="54"/>
      <c r="H29" s="54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7" t="s">
        <v>179</v>
      </c>
      <c r="D30" s="41"/>
      <c r="F30" s="396"/>
      <c r="G30" s="54"/>
      <c r="H30" s="54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5"/>
      <c r="C31" s="56"/>
      <c r="D31" s="56"/>
      <c r="E31" s="57"/>
      <c r="F31" s="57"/>
      <c r="G31" s="57"/>
      <c r="H31" s="57"/>
      <c r="I31" s="57"/>
      <c r="J31" s="58"/>
      <c r="K31" s="26"/>
      <c r="L31" s="26"/>
      <c r="M31" s="59"/>
      <c r="N31" s="60"/>
      <c r="O31" s="60"/>
      <c r="P31" s="61"/>
      <c r="Q31" s="62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3"/>
      <c r="N32" s="64"/>
      <c r="O32" s="64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5"/>
      <c r="O33" s="65"/>
      <c r="P33" s="66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5"/>
      <c r="O34" s="65"/>
      <c r="P34" s="66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0" zoomScaleNormal="70" zoomScalePageLayoutView="0" workbookViewId="0" topLeftCell="A1">
      <selection activeCell="C21" sqref="C21:C28"/>
    </sheetView>
  </sheetViews>
  <sheetFormatPr defaultColWidth="11.421875" defaultRowHeight="12.75"/>
  <cols>
    <col min="1" max="1" width="19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7" t="str">
        <f>+'TOT-0314'!B2</f>
        <v>ANEXO IV al Memorandum D.T.E.E. N° 798 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69" t="s">
        <v>3</v>
      </c>
      <c r="B4" s="69"/>
    </row>
    <row r="5" spans="1:2" s="13" customFormat="1" ht="11.25">
      <c r="A5" s="69" t="s">
        <v>4</v>
      </c>
      <c r="B5" s="69"/>
    </row>
    <row r="6" s="10" customFormat="1" ht="16.5" customHeight="1" thickBot="1"/>
    <row r="7" spans="2:28" s="10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F8" s="75" t="s">
        <v>14</v>
      </c>
      <c r="G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0" customFormat="1" ht="16.5" customHeight="1">
      <c r="B9" s="44"/>
      <c r="F9" s="78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3" customFormat="1" ht="20.25">
      <c r="B10" s="74"/>
      <c r="F10" s="75" t="s">
        <v>15</v>
      </c>
      <c r="G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0" customFormat="1" ht="16.5" customHeight="1">
      <c r="B11" s="44"/>
      <c r="C11" s="78"/>
      <c r="D11" s="78"/>
      <c r="E11" s="78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+'TOT-0314'!B14</f>
        <v>Desde el 01 al 31 de marzo de 2014</v>
      </c>
      <c r="C12" s="79"/>
      <c r="D12" s="79"/>
      <c r="E12" s="79"/>
      <c r="F12" s="34"/>
      <c r="G12" s="34"/>
      <c r="H12" s="80"/>
      <c r="I12" s="81"/>
      <c r="J12" s="80"/>
      <c r="K12" s="81"/>
      <c r="L12" s="81"/>
      <c r="M12" s="81"/>
      <c r="N12" s="81"/>
      <c r="O12" s="8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2"/>
    </row>
    <row r="13" spans="2:28" s="10" customFormat="1" ht="16.5" customHeight="1" thickBot="1">
      <c r="B13" s="44"/>
      <c r="C13" s="12"/>
      <c r="D13" s="12"/>
      <c r="E13" s="12"/>
      <c r="F13" s="12"/>
      <c r="G13" s="83"/>
      <c r="H13" s="84"/>
      <c r="I13" s="85"/>
      <c r="J13" s="85"/>
      <c r="K13" s="85"/>
      <c r="L13" s="85"/>
      <c r="M13" s="85"/>
      <c r="N13" s="85"/>
      <c r="O13" s="8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6" t="s">
        <v>16</v>
      </c>
      <c r="G14" s="87">
        <v>413.185</v>
      </c>
      <c r="H14" s="88"/>
      <c r="I14" s="85"/>
      <c r="J14" s="85"/>
      <c r="K14" s="85"/>
      <c r="L14" s="85"/>
      <c r="M14" s="85"/>
      <c r="N14" s="85"/>
      <c r="O14" s="8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6" t="s">
        <v>17</v>
      </c>
      <c r="G15" s="87">
        <v>394.823</v>
      </c>
      <c r="H15" s="89"/>
      <c r="I15" s="12"/>
      <c r="J15" s="90"/>
      <c r="K15" s="91" t="s">
        <v>18</v>
      </c>
      <c r="L15" s="92">
        <f>30*'TOT-0314'!B13</f>
        <v>30</v>
      </c>
      <c r="M15" s="93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6" t="s">
        <v>19</v>
      </c>
      <c r="G16" s="87" t="s">
        <v>166</v>
      </c>
      <c r="H16" s="89"/>
      <c r="I16" s="12"/>
      <c r="J16" s="12"/>
      <c r="K16" s="12"/>
      <c r="L16" s="50"/>
      <c r="M16" s="94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9"/>
    </row>
    <row r="18" spans="2:28" s="95" customFormat="1" ht="34.5" customHeight="1" thickBot="1" thickTop="1">
      <c r="B18" s="96"/>
      <c r="C18" s="399" t="s">
        <v>20</v>
      </c>
      <c r="D18" s="399" t="s">
        <v>74</v>
      </c>
      <c r="E18" s="399" t="s">
        <v>75</v>
      </c>
      <c r="F18" s="97" t="s">
        <v>2</v>
      </c>
      <c r="G18" s="98" t="s">
        <v>21</v>
      </c>
      <c r="H18" s="98" t="s">
        <v>22</v>
      </c>
      <c r="I18" s="99" t="s">
        <v>23</v>
      </c>
      <c r="J18" s="97" t="s">
        <v>24</v>
      </c>
      <c r="K18" s="97" t="s">
        <v>25</v>
      </c>
      <c r="L18" s="98" t="s">
        <v>26</v>
      </c>
      <c r="M18" s="98" t="s">
        <v>27</v>
      </c>
      <c r="N18" s="98" t="s">
        <v>72</v>
      </c>
      <c r="O18" s="98" t="s">
        <v>28</v>
      </c>
      <c r="P18" s="100" t="s">
        <v>29</v>
      </c>
      <c r="Q18" s="101" t="s">
        <v>30</v>
      </c>
      <c r="R18" s="102" t="s">
        <v>31</v>
      </c>
      <c r="S18" s="103"/>
      <c r="T18" s="104"/>
      <c r="U18" s="105" t="s">
        <v>32</v>
      </c>
      <c r="V18" s="106"/>
      <c r="W18" s="107"/>
      <c r="X18" s="108" t="s">
        <v>33</v>
      </c>
      <c r="Y18" s="109" t="s">
        <v>34</v>
      </c>
      <c r="Z18" s="110" t="s">
        <v>35</v>
      </c>
      <c r="AA18" s="110" t="s">
        <v>36</v>
      </c>
      <c r="AB18" s="111"/>
    </row>
    <row r="19" spans="2:28" s="10" customFormat="1" ht="16.5" customHeight="1" thickTop="1">
      <c r="B19" s="44"/>
      <c r="C19" s="112"/>
      <c r="D19" s="112"/>
      <c r="E19" s="112"/>
      <c r="F19" s="113"/>
      <c r="G19" s="112"/>
      <c r="H19" s="112"/>
      <c r="I19" s="114"/>
      <c r="J19" s="112"/>
      <c r="K19" s="113"/>
      <c r="L19" s="115"/>
      <c r="M19" s="115"/>
      <c r="N19" s="112"/>
      <c r="O19" s="112"/>
      <c r="P19" s="116"/>
      <c r="Q19" s="117"/>
      <c r="R19" s="118"/>
      <c r="S19" s="119"/>
      <c r="T19" s="119"/>
      <c r="U19" s="120"/>
      <c r="V19" s="120"/>
      <c r="W19" s="120"/>
      <c r="X19" s="121"/>
      <c r="Y19" s="122"/>
      <c r="Z19" s="112"/>
      <c r="AA19" s="123"/>
      <c r="AB19" s="49"/>
    </row>
    <row r="20" spans="2:28" s="10" customFormat="1" ht="16.5" customHeight="1">
      <c r="B20" s="44"/>
      <c r="C20" s="124"/>
      <c r="D20" s="124"/>
      <c r="E20" s="124"/>
      <c r="F20" s="125"/>
      <c r="G20" s="125"/>
      <c r="H20" s="124"/>
      <c r="I20" s="126"/>
      <c r="J20" s="124"/>
      <c r="K20" s="127"/>
      <c r="L20" s="128"/>
      <c r="M20" s="128"/>
      <c r="N20" s="124"/>
      <c r="O20" s="124"/>
      <c r="P20" s="129"/>
      <c r="Q20" s="130"/>
      <c r="R20" s="131"/>
      <c r="S20" s="132"/>
      <c r="T20" s="132"/>
      <c r="U20" s="133"/>
      <c r="V20" s="133"/>
      <c r="W20" s="133"/>
      <c r="X20" s="134"/>
      <c r="Y20" s="135"/>
      <c r="Z20" s="124"/>
      <c r="AA20" s="136"/>
      <c r="AB20" s="49"/>
    </row>
    <row r="21" spans="2:28" s="10" customFormat="1" ht="16.5" customHeight="1">
      <c r="B21" s="44"/>
      <c r="C21" s="127">
        <v>1</v>
      </c>
      <c r="D21" s="127">
        <v>272755</v>
      </c>
      <c r="E21" s="127">
        <v>4662</v>
      </c>
      <c r="F21" s="125" t="s">
        <v>175</v>
      </c>
      <c r="G21" s="125">
        <v>132</v>
      </c>
      <c r="H21" s="137">
        <v>54.4</v>
      </c>
      <c r="I21" s="138">
        <f aca="true" t="shared" si="0" ref="I21:I40">IF(G21=220,$G$14*IF(H21&gt;25,H21,25),IF(G21=132,$G$15*IF(H21&gt;25,+H21,25),$G$16*IF(H21&gt;25,H21,25)))/100</f>
        <v>214.78371199999998</v>
      </c>
      <c r="J21" s="139">
        <v>41706.76527777778</v>
      </c>
      <c r="K21" s="139">
        <v>41706.84027777778</v>
      </c>
      <c r="L21" s="140">
        <f aca="true" t="shared" si="1" ref="L21:L40">IF(F21="","",(K21-J21)*24)</f>
        <v>1.8000000001047738</v>
      </c>
      <c r="M21" s="141">
        <f aca="true" t="shared" si="2" ref="M21:M40">IF(F21="","",ROUND((K21-J21)*24*60,0))</f>
        <v>108</v>
      </c>
      <c r="N21" s="142" t="s">
        <v>131</v>
      </c>
      <c r="O21" s="142" t="s">
        <v>132</v>
      </c>
      <c r="P21" s="144" t="str">
        <f aca="true" t="shared" si="3" ref="P21:P40">IF(N21="P",ROUND(M21/60,2)*I21*$L$15*0.01,"--")</f>
        <v>--</v>
      </c>
      <c r="Q21" s="145" t="str">
        <f aca="true" t="shared" si="4" ref="Q21:Q40">IF(N21="RP",ROUND(M21/60,2)*I21*$L$15*0.01*O21/100,"--")</f>
        <v>--</v>
      </c>
      <c r="R21" s="146">
        <f aca="true" t="shared" si="5" ref="R21:R40">IF(N21="F",I21*$L$15,"--")</f>
        <v>6443.5113599999995</v>
      </c>
      <c r="S21" s="146">
        <f aca="true" t="shared" si="6" ref="S21:S40">IF(AND(M21&gt;10,N21="F"),$L$15*I21*IF(M21&gt;180,3,ROUND((M21)/60,2)),"--")</f>
        <v>11598.320447999999</v>
      </c>
      <c r="T21" s="147" t="str">
        <f aca="true" t="shared" si="7" ref="T21:T40">IF(AND(N21="F",M21&gt;180),(ROUND(M21/60,2)-3)*I21*$L$15*0.1,"--")</f>
        <v>--</v>
      </c>
      <c r="U21" s="148" t="str">
        <f aca="true" t="shared" si="8" ref="U21:U40">IF(N21="R",I21*$L$15*O21/100,"--")</f>
        <v>--</v>
      </c>
      <c r="V21" s="148" t="str">
        <f aca="true" t="shared" si="9" ref="V21:V40">IF(AND(M21&gt;10,N21="R"),$L$15*I21*O21/100*IF(M21&gt;180,3,ROUND((M21)/60,2)),"--")</f>
        <v>--</v>
      </c>
      <c r="W21" s="149" t="str">
        <f aca="true" t="shared" si="10" ref="W21:W40">IF(AND(N21="R",M21&gt;180),(ROUND(M21/60,2)-3)*I21*$L$15*0.1*O21/100,"--")</f>
        <v>--</v>
      </c>
      <c r="X21" s="150" t="str">
        <f aca="true" t="shared" si="11" ref="X21:X40">IF(N21="RF",ROUND(M21/60,2)*I21*$L$15*0.1,"--")</f>
        <v>--</v>
      </c>
      <c r="Y21" s="151" t="str">
        <f aca="true" t="shared" si="12" ref="Y21:Y40">IF(N21="RR",ROUND(M21/60,2)*I21*$L$15*0.1*O21/100,"--")</f>
        <v>--</v>
      </c>
      <c r="Z21" s="152" t="str">
        <f aca="true" t="shared" si="13" ref="Z21:Z40">IF(F21="","","SI")</f>
        <v>SI</v>
      </c>
      <c r="AA21" s="153">
        <f aca="true" t="shared" si="14" ref="AA21:AA40">IF(F21="","",SUM(P21:Y21)*IF(Z21="SI",1,2))</f>
        <v>18041.831808</v>
      </c>
      <c r="AB21" s="154"/>
    </row>
    <row r="22" spans="2:28" s="10" customFormat="1" ht="16.5" customHeight="1">
      <c r="B22" s="44"/>
      <c r="C22" s="127">
        <v>2</v>
      </c>
      <c r="D22" s="127">
        <v>272756</v>
      </c>
      <c r="E22" s="127">
        <v>4661</v>
      </c>
      <c r="F22" s="125" t="s">
        <v>133</v>
      </c>
      <c r="G22" s="125">
        <v>132</v>
      </c>
      <c r="H22" s="137">
        <v>130.1999969482422</v>
      </c>
      <c r="I22" s="138">
        <f t="shared" si="0"/>
        <v>514.0595339509582</v>
      </c>
      <c r="J22" s="139">
        <v>41706.76527777778</v>
      </c>
      <c r="K22" s="139">
        <v>41706.774305555555</v>
      </c>
      <c r="L22" s="140">
        <f t="shared" si="1"/>
        <v>0.2166666666744277</v>
      </c>
      <c r="M22" s="141">
        <f t="shared" si="2"/>
        <v>13</v>
      </c>
      <c r="N22" s="142" t="s">
        <v>131</v>
      </c>
      <c r="O22" s="142" t="s">
        <v>132</v>
      </c>
      <c r="P22" s="144" t="str">
        <f t="shared" si="3"/>
        <v>--</v>
      </c>
      <c r="Q22" s="145" t="str">
        <f t="shared" si="4"/>
        <v>--</v>
      </c>
      <c r="R22" s="146">
        <f t="shared" si="5"/>
        <v>15421.786018528746</v>
      </c>
      <c r="S22" s="146">
        <f t="shared" si="6"/>
        <v>3392.792924076324</v>
      </c>
      <c r="T22" s="147" t="str">
        <f t="shared" si="7"/>
        <v>--</v>
      </c>
      <c r="U22" s="148" t="str">
        <f t="shared" si="8"/>
        <v>--</v>
      </c>
      <c r="V22" s="148" t="str">
        <f t="shared" si="9"/>
        <v>--</v>
      </c>
      <c r="W22" s="149" t="str">
        <f t="shared" si="10"/>
        <v>--</v>
      </c>
      <c r="X22" s="150" t="str">
        <f t="shared" si="11"/>
        <v>--</v>
      </c>
      <c r="Y22" s="151" t="str">
        <f t="shared" si="12"/>
        <v>--</v>
      </c>
      <c r="Z22" s="152" t="str">
        <f t="shared" si="13"/>
        <v>SI</v>
      </c>
      <c r="AA22" s="153">
        <f t="shared" si="14"/>
        <v>18814.57894260507</v>
      </c>
      <c r="AB22" s="154"/>
    </row>
    <row r="23" spans="2:28" s="10" customFormat="1" ht="16.5" customHeight="1">
      <c r="B23" s="44"/>
      <c r="C23" s="127">
        <v>3</v>
      </c>
      <c r="D23" s="127">
        <v>272757</v>
      </c>
      <c r="E23" s="127">
        <v>715</v>
      </c>
      <c r="F23" s="125" t="s">
        <v>134</v>
      </c>
      <c r="G23" s="125">
        <v>132</v>
      </c>
      <c r="H23" s="137">
        <v>15.59000015258789</v>
      </c>
      <c r="I23" s="138">
        <f t="shared" si="0"/>
        <v>98.70575</v>
      </c>
      <c r="J23" s="139">
        <v>41707.25347222222</v>
      </c>
      <c r="K23" s="139">
        <v>41707.333333333336</v>
      </c>
      <c r="L23" s="140">
        <f t="shared" si="1"/>
        <v>1.9166666668024845</v>
      </c>
      <c r="M23" s="141">
        <f t="shared" si="2"/>
        <v>115</v>
      </c>
      <c r="N23" s="142" t="s">
        <v>135</v>
      </c>
      <c r="O23" s="142" t="s">
        <v>132</v>
      </c>
      <c r="P23" s="144">
        <f t="shared" si="3"/>
        <v>56.854512</v>
      </c>
      <c r="Q23" s="145" t="str">
        <f t="shared" si="4"/>
        <v>--</v>
      </c>
      <c r="R23" s="146" t="str">
        <f t="shared" si="5"/>
        <v>--</v>
      </c>
      <c r="S23" s="146" t="str">
        <f t="shared" si="6"/>
        <v>--</v>
      </c>
      <c r="T23" s="147" t="str">
        <f t="shared" si="7"/>
        <v>--</v>
      </c>
      <c r="U23" s="148" t="str">
        <f t="shared" si="8"/>
        <v>--</v>
      </c>
      <c r="V23" s="148" t="str">
        <f t="shared" si="9"/>
        <v>--</v>
      </c>
      <c r="W23" s="149" t="str">
        <f t="shared" si="10"/>
        <v>--</v>
      </c>
      <c r="X23" s="150" t="str">
        <f t="shared" si="11"/>
        <v>--</v>
      </c>
      <c r="Y23" s="151" t="str">
        <f t="shared" si="12"/>
        <v>--</v>
      </c>
      <c r="Z23" s="152" t="str">
        <f t="shared" si="13"/>
        <v>SI</v>
      </c>
      <c r="AA23" s="153">
        <f t="shared" si="14"/>
        <v>56.854512</v>
      </c>
      <c r="AB23" s="154"/>
    </row>
    <row r="24" spans="2:28" s="10" customFormat="1" ht="16.5" customHeight="1">
      <c r="B24" s="44"/>
      <c r="C24" s="127">
        <v>4</v>
      </c>
      <c r="D24" s="127">
        <v>273068</v>
      </c>
      <c r="E24" s="127">
        <v>710</v>
      </c>
      <c r="F24" s="125" t="s">
        <v>136</v>
      </c>
      <c r="G24" s="125">
        <v>220</v>
      </c>
      <c r="H24" s="137">
        <v>188.32000732421875</v>
      </c>
      <c r="I24" s="138">
        <f t="shared" si="0"/>
        <v>778.1100222625732</v>
      </c>
      <c r="J24" s="139">
        <v>41712.356944444444</v>
      </c>
      <c r="K24" s="139">
        <v>41712.75902777778</v>
      </c>
      <c r="L24" s="140">
        <f t="shared" si="1"/>
        <v>9.650000000023283</v>
      </c>
      <c r="M24" s="141">
        <f t="shared" si="2"/>
        <v>579</v>
      </c>
      <c r="N24" s="142" t="s">
        <v>135</v>
      </c>
      <c r="O24" s="142" t="s">
        <v>132</v>
      </c>
      <c r="P24" s="144">
        <f t="shared" si="3"/>
        <v>2252.62851445015</v>
      </c>
      <c r="Q24" s="145" t="str">
        <f t="shared" si="4"/>
        <v>--</v>
      </c>
      <c r="R24" s="146" t="str">
        <f t="shared" si="5"/>
        <v>--</v>
      </c>
      <c r="S24" s="146" t="str">
        <f t="shared" si="6"/>
        <v>--</v>
      </c>
      <c r="T24" s="147" t="str">
        <f t="shared" si="7"/>
        <v>--</v>
      </c>
      <c r="U24" s="148" t="str">
        <f t="shared" si="8"/>
        <v>--</v>
      </c>
      <c r="V24" s="148" t="str">
        <f t="shared" si="9"/>
        <v>--</v>
      </c>
      <c r="W24" s="149" t="str">
        <f t="shared" si="10"/>
        <v>--</v>
      </c>
      <c r="X24" s="150" t="str">
        <f t="shared" si="11"/>
        <v>--</v>
      </c>
      <c r="Y24" s="151" t="str">
        <f t="shared" si="12"/>
        <v>--</v>
      </c>
      <c r="Z24" s="152" t="str">
        <f t="shared" si="13"/>
        <v>SI</v>
      </c>
      <c r="AA24" s="153">
        <f t="shared" si="14"/>
        <v>2252.62851445015</v>
      </c>
      <c r="AB24" s="154"/>
    </row>
    <row r="25" spans="2:28" s="10" customFormat="1" ht="16.5" customHeight="1">
      <c r="B25" s="44"/>
      <c r="C25" s="127">
        <v>5</v>
      </c>
      <c r="D25" s="127">
        <v>273498</v>
      </c>
      <c r="E25" s="127">
        <v>704</v>
      </c>
      <c r="F25" s="125" t="s">
        <v>137</v>
      </c>
      <c r="G25" s="125">
        <v>132</v>
      </c>
      <c r="H25" s="137">
        <v>18.079999923706055</v>
      </c>
      <c r="I25" s="138">
        <f t="shared" si="0"/>
        <v>98.70575</v>
      </c>
      <c r="J25" s="139">
        <v>41724.396527777775</v>
      </c>
      <c r="K25" s="139">
        <v>41724.62777777778</v>
      </c>
      <c r="L25" s="140">
        <f t="shared" si="1"/>
        <v>5.550000000104774</v>
      </c>
      <c r="M25" s="141">
        <f t="shared" si="2"/>
        <v>333</v>
      </c>
      <c r="N25" s="142" t="s">
        <v>135</v>
      </c>
      <c r="O25" s="142" t="s">
        <v>132</v>
      </c>
      <c r="P25" s="144">
        <f t="shared" si="3"/>
        <v>164.34507374999998</v>
      </c>
      <c r="Q25" s="145" t="str">
        <f t="shared" si="4"/>
        <v>--</v>
      </c>
      <c r="R25" s="146" t="str">
        <f t="shared" si="5"/>
        <v>--</v>
      </c>
      <c r="S25" s="146" t="str">
        <f t="shared" si="6"/>
        <v>--</v>
      </c>
      <c r="T25" s="147" t="str">
        <f t="shared" si="7"/>
        <v>--</v>
      </c>
      <c r="U25" s="148" t="str">
        <f t="shared" si="8"/>
        <v>--</v>
      </c>
      <c r="V25" s="148" t="str">
        <f t="shared" si="9"/>
        <v>--</v>
      </c>
      <c r="W25" s="149" t="str">
        <f t="shared" si="10"/>
        <v>--</v>
      </c>
      <c r="X25" s="150" t="str">
        <f t="shared" si="11"/>
        <v>--</v>
      </c>
      <c r="Y25" s="151" t="str">
        <f t="shared" si="12"/>
        <v>--</v>
      </c>
      <c r="Z25" s="152" t="str">
        <f t="shared" si="13"/>
        <v>SI</v>
      </c>
      <c r="AA25" s="153">
        <f t="shared" si="14"/>
        <v>164.34507374999998</v>
      </c>
      <c r="AB25" s="154"/>
    </row>
    <row r="26" spans="2:28" s="10" customFormat="1" ht="16.5" customHeight="1">
      <c r="B26" s="44"/>
      <c r="C26" s="127">
        <v>6</v>
      </c>
      <c r="D26" s="127">
        <v>273499</v>
      </c>
      <c r="E26" s="127">
        <v>705</v>
      </c>
      <c r="F26" s="125" t="s">
        <v>138</v>
      </c>
      <c r="G26" s="125">
        <v>132</v>
      </c>
      <c r="H26" s="137">
        <v>18.079999923706055</v>
      </c>
      <c r="I26" s="138">
        <f t="shared" si="0"/>
        <v>98.70575</v>
      </c>
      <c r="J26" s="139">
        <v>41725.38333333333</v>
      </c>
      <c r="K26" s="139">
        <v>41725.572916666664</v>
      </c>
      <c r="L26" s="140">
        <f t="shared" si="1"/>
        <v>4.5499999999883585</v>
      </c>
      <c r="M26" s="141">
        <f t="shared" si="2"/>
        <v>273</v>
      </c>
      <c r="N26" s="139" t="s">
        <v>135</v>
      </c>
      <c r="O26" s="142" t="s">
        <v>132</v>
      </c>
      <c r="P26" s="144">
        <f t="shared" si="3"/>
        <v>134.73334874999998</v>
      </c>
      <c r="Q26" s="145" t="str">
        <f t="shared" si="4"/>
        <v>--</v>
      </c>
      <c r="R26" s="146" t="str">
        <f t="shared" si="5"/>
        <v>--</v>
      </c>
      <c r="S26" s="146" t="str">
        <f t="shared" si="6"/>
        <v>--</v>
      </c>
      <c r="T26" s="147" t="str">
        <f t="shared" si="7"/>
        <v>--</v>
      </c>
      <c r="U26" s="148" t="str">
        <f t="shared" si="8"/>
        <v>--</v>
      </c>
      <c r="V26" s="148" t="str">
        <f t="shared" si="9"/>
        <v>--</v>
      </c>
      <c r="W26" s="149" t="str">
        <f t="shared" si="10"/>
        <v>--</v>
      </c>
      <c r="X26" s="150" t="str">
        <f t="shared" si="11"/>
        <v>--</v>
      </c>
      <c r="Y26" s="151" t="str">
        <f t="shared" si="12"/>
        <v>--</v>
      </c>
      <c r="Z26" s="152" t="str">
        <f t="shared" si="13"/>
        <v>SI</v>
      </c>
      <c r="AA26" s="153">
        <f t="shared" si="14"/>
        <v>134.73334874999998</v>
      </c>
      <c r="AB26" s="154"/>
    </row>
    <row r="27" spans="2:28" s="10" customFormat="1" ht="16.5" customHeight="1">
      <c r="B27" s="44"/>
      <c r="C27" s="127">
        <v>7</v>
      </c>
      <c r="D27" s="127">
        <v>273500</v>
      </c>
      <c r="E27" s="127">
        <v>4661</v>
      </c>
      <c r="F27" s="125" t="s">
        <v>133</v>
      </c>
      <c r="G27" s="125">
        <v>132</v>
      </c>
      <c r="H27" s="137">
        <v>130.1999969482422</v>
      </c>
      <c r="I27" s="138">
        <f t="shared" si="0"/>
        <v>514.0595339509582</v>
      </c>
      <c r="J27" s="139">
        <v>41726.42222222222</v>
      </c>
      <c r="K27" s="139">
        <v>41726.58541666667</v>
      </c>
      <c r="L27" s="140">
        <f t="shared" si="1"/>
        <v>3.916666666686069</v>
      </c>
      <c r="M27" s="141">
        <f t="shared" si="2"/>
        <v>235</v>
      </c>
      <c r="N27" s="139" t="s">
        <v>135</v>
      </c>
      <c r="O27" s="142" t="s">
        <v>132</v>
      </c>
      <c r="P27" s="144">
        <f t="shared" si="3"/>
        <v>604.5340119263269</v>
      </c>
      <c r="Q27" s="145" t="str">
        <f t="shared" si="4"/>
        <v>--</v>
      </c>
      <c r="R27" s="146" t="str">
        <f t="shared" si="5"/>
        <v>--</v>
      </c>
      <c r="S27" s="146" t="str">
        <f t="shared" si="6"/>
        <v>--</v>
      </c>
      <c r="T27" s="147" t="str">
        <f t="shared" si="7"/>
        <v>--</v>
      </c>
      <c r="U27" s="148" t="str">
        <f t="shared" si="8"/>
        <v>--</v>
      </c>
      <c r="V27" s="148" t="str">
        <f t="shared" si="9"/>
        <v>--</v>
      </c>
      <c r="W27" s="149" t="str">
        <f t="shared" si="10"/>
        <v>--</v>
      </c>
      <c r="X27" s="150" t="str">
        <f t="shared" si="11"/>
        <v>--</v>
      </c>
      <c r="Y27" s="151" t="str">
        <f t="shared" si="12"/>
        <v>--</v>
      </c>
      <c r="Z27" s="152" t="str">
        <f t="shared" si="13"/>
        <v>SI</v>
      </c>
      <c r="AA27" s="153">
        <f t="shared" si="14"/>
        <v>604.5340119263269</v>
      </c>
      <c r="AB27" s="154"/>
    </row>
    <row r="28" spans="2:28" s="10" customFormat="1" ht="16.5" customHeight="1">
      <c r="B28" s="44"/>
      <c r="C28" s="127">
        <v>8</v>
      </c>
      <c r="D28" s="127">
        <v>273501</v>
      </c>
      <c r="E28" s="127">
        <v>705</v>
      </c>
      <c r="F28" s="125" t="s">
        <v>138</v>
      </c>
      <c r="G28" s="125">
        <v>132</v>
      </c>
      <c r="H28" s="137">
        <v>18.079999923706055</v>
      </c>
      <c r="I28" s="138">
        <f t="shared" si="0"/>
        <v>98.70575</v>
      </c>
      <c r="J28" s="139">
        <v>41729.407638888886</v>
      </c>
      <c r="K28" s="139">
        <v>41729.64027777778</v>
      </c>
      <c r="L28" s="140">
        <f t="shared" si="1"/>
        <v>5.583333333372138</v>
      </c>
      <c r="M28" s="141">
        <f t="shared" si="2"/>
        <v>335</v>
      </c>
      <c r="N28" s="139" t="s">
        <v>135</v>
      </c>
      <c r="O28" s="142" t="s">
        <v>132</v>
      </c>
      <c r="P28" s="144">
        <f t="shared" si="3"/>
        <v>165.2334255</v>
      </c>
      <c r="Q28" s="145" t="str">
        <f t="shared" si="4"/>
        <v>--</v>
      </c>
      <c r="R28" s="146" t="str">
        <f t="shared" si="5"/>
        <v>--</v>
      </c>
      <c r="S28" s="146" t="str">
        <f t="shared" si="6"/>
        <v>--</v>
      </c>
      <c r="T28" s="147" t="str">
        <f t="shared" si="7"/>
        <v>--</v>
      </c>
      <c r="U28" s="148" t="str">
        <f t="shared" si="8"/>
        <v>--</v>
      </c>
      <c r="V28" s="148" t="str">
        <f t="shared" si="9"/>
        <v>--</v>
      </c>
      <c r="W28" s="149" t="str">
        <f t="shared" si="10"/>
        <v>--</v>
      </c>
      <c r="X28" s="150" t="str">
        <f t="shared" si="11"/>
        <v>--</v>
      </c>
      <c r="Y28" s="151" t="str">
        <f t="shared" si="12"/>
        <v>--</v>
      </c>
      <c r="Z28" s="152" t="str">
        <f t="shared" si="13"/>
        <v>SI</v>
      </c>
      <c r="AA28" s="153">
        <f t="shared" si="14"/>
        <v>165.2334255</v>
      </c>
      <c r="AB28" s="154"/>
    </row>
    <row r="29" spans="2:28" s="10" customFormat="1" ht="16.5" customHeight="1">
      <c r="B29" s="44"/>
      <c r="C29" s="127"/>
      <c r="D29" s="127"/>
      <c r="E29" s="127"/>
      <c r="F29" s="125"/>
      <c r="G29" s="125"/>
      <c r="H29" s="137"/>
      <c r="I29" s="138" t="e">
        <f t="shared" si="0"/>
        <v>#VALUE!</v>
      </c>
      <c r="J29" s="139"/>
      <c r="K29" s="139"/>
      <c r="L29" s="140">
        <f t="shared" si="1"/>
      </c>
      <c r="M29" s="141">
        <f t="shared" si="2"/>
      </c>
      <c r="N29" s="139"/>
      <c r="O29" s="143">
        <f aca="true" t="shared" si="15" ref="O29:O40">IF(F29="","","--")</f>
      </c>
      <c r="P29" s="144" t="str">
        <f t="shared" si="3"/>
        <v>--</v>
      </c>
      <c r="Q29" s="145" t="str">
        <f t="shared" si="4"/>
        <v>--</v>
      </c>
      <c r="R29" s="146" t="str">
        <f t="shared" si="5"/>
        <v>--</v>
      </c>
      <c r="S29" s="146" t="str">
        <f t="shared" si="6"/>
        <v>--</v>
      </c>
      <c r="T29" s="147" t="str">
        <f t="shared" si="7"/>
        <v>--</v>
      </c>
      <c r="U29" s="148" t="str">
        <f t="shared" si="8"/>
        <v>--</v>
      </c>
      <c r="V29" s="148" t="str">
        <f t="shared" si="9"/>
        <v>--</v>
      </c>
      <c r="W29" s="149" t="str">
        <f t="shared" si="10"/>
        <v>--</v>
      </c>
      <c r="X29" s="150" t="str">
        <f t="shared" si="11"/>
        <v>--</v>
      </c>
      <c r="Y29" s="151" t="str">
        <f t="shared" si="12"/>
        <v>--</v>
      </c>
      <c r="Z29" s="152">
        <f t="shared" si="13"/>
      </c>
      <c r="AA29" s="153">
        <f t="shared" si="14"/>
      </c>
      <c r="AB29" s="154"/>
    </row>
    <row r="30" spans="2:28" s="10" customFormat="1" ht="16.5" customHeight="1">
      <c r="B30" s="44"/>
      <c r="C30" s="127"/>
      <c r="D30" s="127"/>
      <c r="E30" s="127"/>
      <c r="F30" s="125"/>
      <c r="G30" s="125"/>
      <c r="H30" s="137"/>
      <c r="I30" s="138" t="e">
        <f t="shared" si="0"/>
        <v>#VALUE!</v>
      </c>
      <c r="J30" s="139"/>
      <c r="K30" s="139"/>
      <c r="L30" s="140">
        <f t="shared" si="1"/>
      </c>
      <c r="M30" s="141">
        <f t="shared" si="2"/>
      </c>
      <c r="N30" s="139"/>
      <c r="O30" s="143">
        <f t="shared" si="15"/>
      </c>
      <c r="P30" s="144" t="str">
        <f t="shared" si="3"/>
        <v>--</v>
      </c>
      <c r="Q30" s="145" t="str">
        <f t="shared" si="4"/>
        <v>--</v>
      </c>
      <c r="R30" s="146" t="str">
        <f t="shared" si="5"/>
        <v>--</v>
      </c>
      <c r="S30" s="146" t="str">
        <f t="shared" si="6"/>
        <v>--</v>
      </c>
      <c r="T30" s="147" t="str">
        <f t="shared" si="7"/>
        <v>--</v>
      </c>
      <c r="U30" s="148" t="str">
        <f t="shared" si="8"/>
        <v>--</v>
      </c>
      <c r="V30" s="148" t="str">
        <f t="shared" si="9"/>
        <v>--</v>
      </c>
      <c r="W30" s="149" t="str">
        <f t="shared" si="10"/>
        <v>--</v>
      </c>
      <c r="X30" s="150" t="str">
        <f t="shared" si="11"/>
        <v>--</v>
      </c>
      <c r="Y30" s="151" t="str">
        <f t="shared" si="12"/>
        <v>--</v>
      </c>
      <c r="Z30" s="152">
        <f t="shared" si="13"/>
      </c>
      <c r="AA30" s="153">
        <f t="shared" si="14"/>
      </c>
      <c r="AB30" s="154"/>
    </row>
    <row r="31" spans="2:28" s="10" customFormat="1" ht="16.5" customHeight="1">
      <c r="B31" s="44"/>
      <c r="C31" s="127"/>
      <c r="D31" s="127"/>
      <c r="E31" s="127"/>
      <c r="F31" s="125"/>
      <c r="G31" s="125"/>
      <c r="H31" s="137"/>
      <c r="I31" s="138" t="e">
        <f t="shared" si="0"/>
        <v>#VALUE!</v>
      </c>
      <c r="J31" s="139"/>
      <c r="K31" s="139"/>
      <c r="L31" s="140">
        <f t="shared" si="1"/>
      </c>
      <c r="M31" s="141">
        <f t="shared" si="2"/>
      </c>
      <c r="N31" s="139"/>
      <c r="O31" s="143">
        <f t="shared" si="15"/>
      </c>
      <c r="P31" s="144" t="str">
        <f t="shared" si="3"/>
        <v>--</v>
      </c>
      <c r="Q31" s="145" t="str">
        <f t="shared" si="4"/>
        <v>--</v>
      </c>
      <c r="R31" s="146" t="str">
        <f t="shared" si="5"/>
        <v>--</v>
      </c>
      <c r="S31" s="146" t="str">
        <f t="shared" si="6"/>
        <v>--</v>
      </c>
      <c r="T31" s="147" t="str">
        <f t="shared" si="7"/>
        <v>--</v>
      </c>
      <c r="U31" s="148" t="str">
        <f t="shared" si="8"/>
        <v>--</v>
      </c>
      <c r="V31" s="148" t="str">
        <f t="shared" si="9"/>
        <v>--</v>
      </c>
      <c r="W31" s="149" t="str">
        <f t="shared" si="10"/>
        <v>--</v>
      </c>
      <c r="X31" s="150" t="str">
        <f t="shared" si="11"/>
        <v>--</v>
      </c>
      <c r="Y31" s="151" t="str">
        <f t="shared" si="12"/>
        <v>--</v>
      </c>
      <c r="Z31" s="152">
        <f t="shared" si="13"/>
      </c>
      <c r="AA31" s="153">
        <f t="shared" si="14"/>
      </c>
      <c r="AB31" s="154"/>
    </row>
    <row r="32" spans="2:28" s="10" customFormat="1" ht="16.5" customHeight="1">
      <c r="B32" s="44"/>
      <c r="C32" s="127"/>
      <c r="D32" s="127"/>
      <c r="E32" s="127"/>
      <c r="F32" s="125"/>
      <c r="G32" s="125"/>
      <c r="H32" s="137"/>
      <c r="I32" s="138" t="e">
        <f t="shared" si="0"/>
        <v>#VALUE!</v>
      </c>
      <c r="J32" s="139"/>
      <c r="K32" s="139"/>
      <c r="L32" s="140">
        <f t="shared" si="1"/>
      </c>
      <c r="M32" s="141">
        <f t="shared" si="2"/>
      </c>
      <c r="N32" s="139"/>
      <c r="O32" s="143">
        <f t="shared" si="15"/>
      </c>
      <c r="P32" s="144" t="str">
        <f t="shared" si="3"/>
        <v>--</v>
      </c>
      <c r="Q32" s="145" t="str">
        <f t="shared" si="4"/>
        <v>--</v>
      </c>
      <c r="R32" s="146" t="str">
        <f t="shared" si="5"/>
        <v>--</v>
      </c>
      <c r="S32" s="146" t="str">
        <f t="shared" si="6"/>
        <v>--</v>
      </c>
      <c r="T32" s="147" t="str">
        <f t="shared" si="7"/>
        <v>--</v>
      </c>
      <c r="U32" s="148" t="str">
        <f t="shared" si="8"/>
        <v>--</v>
      </c>
      <c r="V32" s="148" t="str">
        <f t="shared" si="9"/>
        <v>--</v>
      </c>
      <c r="W32" s="149" t="str">
        <f t="shared" si="10"/>
        <v>--</v>
      </c>
      <c r="X32" s="150" t="str">
        <f t="shared" si="11"/>
        <v>--</v>
      </c>
      <c r="Y32" s="151" t="str">
        <f t="shared" si="12"/>
        <v>--</v>
      </c>
      <c r="Z32" s="152">
        <f t="shared" si="13"/>
      </c>
      <c r="AA32" s="153">
        <f t="shared" si="14"/>
      </c>
      <c r="AB32" s="154"/>
    </row>
    <row r="33" spans="2:28" s="10" customFormat="1" ht="16.5" customHeight="1">
      <c r="B33" s="44"/>
      <c r="C33" s="127"/>
      <c r="D33" s="127"/>
      <c r="E33" s="127"/>
      <c r="F33" s="125"/>
      <c r="G33" s="125"/>
      <c r="H33" s="137"/>
      <c r="I33" s="138" t="e">
        <f t="shared" si="0"/>
        <v>#VALUE!</v>
      </c>
      <c r="J33" s="139"/>
      <c r="K33" s="139"/>
      <c r="L33" s="140">
        <f t="shared" si="1"/>
      </c>
      <c r="M33" s="141">
        <f t="shared" si="2"/>
      </c>
      <c r="N33" s="139"/>
      <c r="O33" s="143">
        <f t="shared" si="15"/>
      </c>
      <c r="P33" s="144" t="str">
        <f t="shared" si="3"/>
        <v>--</v>
      </c>
      <c r="Q33" s="145" t="str">
        <f t="shared" si="4"/>
        <v>--</v>
      </c>
      <c r="R33" s="146" t="str">
        <f t="shared" si="5"/>
        <v>--</v>
      </c>
      <c r="S33" s="146" t="str">
        <f t="shared" si="6"/>
        <v>--</v>
      </c>
      <c r="T33" s="147" t="str">
        <f t="shared" si="7"/>
        <v>--</v>
      </c>
      <c r="U33" s="148" t="str">
        <f t="shared" si="8"/>
        <v>--</v>
      </c>
      <c r="V33" s="148" t="str">
        <f t="shared" si="9"/>
        <v>--</v>
      </c>
      <c r="W33" s="149" t="str">
        <f t="shared" si="10"/>
        <v>--</v>
      </c>
      <c r="X33" s="150" t="str">
        <f t="shared" si="11"/>
        <v>--</v>
      </c>
      <c r="Y33" s="151" t="str">
        <f t="shared" si="12"/>
        <v>--</v>
      </c>
      <c r="Z33" s="152">
        <f t="shared" si="13"/>
      </c>
      <c r="AA33" s="153">
        <f t="shared" si="14"/>
      </c>
      <c r="AB33" s="154"/>
    </row>
    <row r="34" spans="2:28" s="10" customFormat="1" ht="16.5" customHeight="1">
      <c r="B34" s="155"/>
      <c r="C34" s="127"/>
      <c r="D34" s="127"/>
      <c r="E34" s="127"/>
      <c r="F34" s="125"/>
      <c r="G34" s="125"/>
      <c r="H34" s="137"/>
      <c r="I34" s="138" t="e">
        <f t="shared" si="0"/>
        <v>#VALUE!</v>
      </c>
      <c r="J34" s="139"/>
      <c r="K34" s="139"/>
      <c r="L34" s="140">
        <f t="shared" si="1"/>
      </c>
      <c r="M34" s="141">
        <f t="shared" si="2"/>
      </c>
      <c r="N34" s="139"/>
      <c r="O34" s="143">
        <f t="shared" si="15"/>
      </c>
      <c r="P34" s="144" t="str">
        <f t="shared" si="3"/>
        <v>--</v>
      </c>
      <c r="Q34" s="145" t="str">
        <f t="shared" si="4"/>
        <v>--</v>
      </c>
      <c r="R34" s="146" t="str">
        <f t="shared" si="5"/>
        <v>--</v>
      </c>
      <c r="S34" s="146" t="str">
        <f t="shared" si="6"/>
        <v>--</v>
      </c>
      <c r="T34" s="147" t="str">
        <f t="shared" si="7"/>
        <v>--</v>
      </c>
      <c r="U34" s="148" t="str">
        <f t="shared" si="8"/>
        <v>--</v>
      </c>
      <c r="V34" s="148" t="str">
        <f t="shared" si="9"/>
        <v>--</v>
      </c>
      <c r="W34" s="149" t="str">
        <f t="shared" si="10"/>
        <v>--</v>
      </c>
      <c r="X34" s="150" t="str">
        <f t="shared" si="11"/>
        <v>--</v>
      </c>
      <c r="Y34" s="151" t="str">
        <f t="shared" si="12"/>
        <v>--</v>
      </c>
      <c r="Z34" s="152">
        <f t="shared" si="13"/>
      </c>
      <c r="AA34" s="153">
        <f t="shared" si="14"/>
      </c>
      <c r="AB34" s="154"/>
    </row>
    <row r="35" spans="2:28" s="10" customFormat="1" ht="16.5" customHeight="1">
      <c r="B35" s="155"/>
      <c r="C35" s="127"/>
      <c r="D35" s="127"/>
      <c r="E35" s="127"/>
      <c r="F35" s="125"/>
      <c r="G35" s="125"/>
      <c r="H35" s="137"/>
      <c r="I35" s="138" t="e">
        <f t="shared" si="0"/>
        <v>#VALUE!</v>
      </c>
      <c r="J35" s="139"/>
      <c r="K35" s="139"/>
      <c r="L35" s="140">
        <f t="shared" si="1"/>
      </c>
      <c r="M35" s="141">
        <f t="shared" si="2"/>
      </c>
      <c r="N35" s="139"/>
      <c r="O35" s="143">
        <f t="shared" si="15"/>
      </c>
      <c r="P35" s="144" t="str">
        <f t="shared" si="3"/>
        <v>--</v>
      </c>
      <c r="Q35" s="145" t="str">
        <f t="shared" si="4"/>
        <v>--</v>
      </c>
      <c r="R35" s="146" t="str">
        <f t="shared" si="5"/>
        <v>--</v>
      </c>
      <c r="S35" s="146" t="str">
        <f t="shared" si="6"/>
        <v>--</v>
      </c>
      <c r="T35" s="147" t="str">
        <f t="shared" si="7"/>
        <v>--</v>
      </c>
      <c r="U35" s="148" t="str">
        <f t="shared" si="8"/>
        <v>--</v>
      </c>
      <c r="V35" s="148" t="str">
        <f t="shared" si="9"/>
        <v>--</v>
      </c>
      <c r="W35" s="149" t="str">
        <f t="shared" si="10"/>
        <v>--</v>
      </c>
      <c r="X35" s="150" t="str">
        <f t="shared" si="11"/>
        <v>--</v>
      </c>
      <c r="Y35" s="151" t="str">
        <f t="shared" si="12"/>
        <v>--</v>
      </c>
      <c r="Z35" s="152">
        <f t="shared" si="13"/>
      </c>
      <c r="AA35" s="153">
        <f t="shared" si="14"/>
      </c>
      <c r="AB35" s="154"/>
    </row>
    <row r="36" spans="2:28" s="10" customFormat="1" ht="16.5" customHeight="1">
      <c r="B36" s="155"/>
      <c r="C36" s="127"/>
      <c r="D36" s="127"/>
      <c r="E36" s="127"/>
      <c r="F36" s="125"/>
      <c r="G36" s="125"/>
      <c r="H36" s="137"/>
      <c r="I36" s="138" t="e">
        <f t="shared" si="0"/>
        <v>#VALUE!</v>
      </c>
      <c r="J36" s="139"/>
      <c r="K36" s="139"/>
      <c r="L36" s="140">
        <f t="shared" si="1"/>
      </c>
      <c r="M36" s="141">
        <f t="shared" si="2"/>
      </c>
      <c r="N36" s="139"/>
      <c r="O36" s="143">
        <f t="shared" si="15"/>
      </c>
      <c r="P36" s="144" t="str">
        <f t="shared" si="3"/>
        <v>--</v>
      </c>
      <c r="Q36" s="145" t="str">
        <f t="shared" si="4"/>
        <v>--</v>
      </c>
      <c r="R36" s="146" t="str">
        <f t="shared" si="5"/>
        <v>--</v>
      </c>
      <c r="S36" s="146" t="str">
        <f t="shared" si="6"/>
        <v>--</v>
      </c>
      <c r="T36" s="147" t="str">
        <f t="shared" si="7"/>
        <v>--</v>
      </c>
      <c r="U36" s="148" t="str">
        <f t="shared" si="8"/>
        <v>--</v>
      </c>
      <c r="V36" s="148" t="str">
        <f t="shared" si="9"/>
        <v>--</v>
      </c>
      <c r="W36" s="149" t="str">
        <f t="shared" si="10"/>
        <v>--</v>
      </c>
      <c r="X36" s="150" t="str">
        <f t="shared" si="11"/>
        <v>--</v>
      </c>
      <c r="Y36" s="151" t="str">
        <f t="shared" si="12"/>
        <v>--</v>
      </c>
      <c r="Z36" s="152">
        <f t="shared" si="13"/>
      </c>
      <c r="AA36" s="153">
        <f t="shared" si="14"/>
      </c>
      <c r="AB36" s="154"/>
    </row>
    <row r="37" spans="2:28" s="10" customFormat="1" ht="16.5" customHeight="1">
      <c r="B37" s="155"/>
      <c r="C37" s="127"/>
      <c r="D37" s="127"/>
      <c r="E37" s="127"/>
      <c r="F37" s="125"/>
      <c r="G37" s="125"/>
      <c r="H37" s="137"/>
      <c r="I37" s="138" t="e">
        <f t="shared" si="0"/>
        <v>#VALUE!</v>
      </c>
      <c r="J37" s="139"/>
      <c r="K37" s="139"/>
      <c r="L37" s="140">
        <f t="shared" si="1"/>
      </c>
      <c r="M37" s="141">
        <f t="shared" si="2"/>
      </c>
      <c r="N37" s="139"/>
      <c r="O37" s="143">
        <f t="shared" si="15"/>
      </c>
      <c r="P37" s="144" t="str">
        <f t="shared" si="3"/>
        <v>--</v>
      </c>
      <c r="Q37" s="145" t="str">
        <f t="shared" si="4"/>
        <v>--</v>
      </c>
      <c r="R37" s="146" t="str">
        <f t="shared" si="5"/>
        <v>--</v>
      </c>
      <c r="S37" s="146" t="str">
        <f t="shared" si="6"/>
        <v>--</v>
      </c>
      <c r="T37" s="147" t="str">
        <f t="shared" si="7"/>
        <v>--</v>
      </c>
      <c r="U37" s="148" t="str">
        <f t="shared" si="8"/>
        <v>--</v>
      </c>
      <c r="V37" s="148" t="str">
        <f t="shared" si="9"/>
        <v>--</v>
      </c>
      <c r="W37" s="149" t="str">
        <f t="shared" si="10"/>
        <v>--</v>
      </c>
      <c r="X37" s="150" t="str">
        <f t="shared" si="11"/>
        <v>--</v>
      </c>
      <c r="Y37" s="151" t="str">
        <f t="shared" si="12"/>
        <v>--</v>
      </c>
      <c r="Z37" s="152">
        <f t="shared" si="13"/>
      </c>
      <c r="AA37" s="153">
        <f t="shared" si="14"/>
      </c>
      <c r="AB37" s="154"/>
    </row>
    <row r="38" spans="2:28" s="10" customFormat="1" ht="16.5" customHeight="1">
      <c r="B38" s="155"/>
      <c r="C38" s="127"/>
      <c r="D38" s="127"/>
      <c r="E38" s="127"/>
      <c r="F38" s="125"/>
      <c r="G38" s="125"/>
      <c r="H38" s="137"/>
      <c r="I38" s="138" t="e">
        <f t="shared" si="0"/>
        <v>#VALUE!</v>
      </c>
      <c r="J38" s="139"/>
      <c r="K38" s="139"/>
      <c r="L38" s="140">
        <f t="shared" si="1"/>
      </c>
      <c r="M38" s="141">
        <f t="shared" si="2"/>
      </c>
      <c r="N38" s="139"/>
      <c r="O38" s="143">
        <f t="shared" si="15"/>
      </c>
      <c r="P38" s="144" t="str">
        <f t="shared" si="3"/>
        <v>--</v>
      </c>
      <c r="Q38" s="145" t="str">
        <f t="shared" si="4"/>
        <v>--</v>
      </c>
      <c r="R38" s="146" t="str">
        <f t="shared" si="5"/>
        <v>--</v>
      </c>
      <c r="S38" s="146" t="str">
        <f t="shared" si="6"/>
        <v>--</v>
      </c>
      <c r="T38" s="147" t="str">
        <f t="shared" si="7"/>
        <v>--</v>
      </c>
      <c r="U38" s="148" t="str">
        <f t="shared" si="8"/>
        <v>--</v>
      </c>
      <c r="V38" s="148" t="str">
        <f t="shared" si="9"/>
        <v>--</v>
      </c>
      <c r="W38" s="149" t="str">
        <f t="shared" si="10"/>
        <v>--</v>
      </c>
      <c r="X38" s="150" t="str">
        <f t="shared" si="11"/>
        <v>--</v>
      </c>
      <c r="Y38" s="151" t="str">
        <f t="shared" si="12"/>
        <v>--</v>
      </c>
      <c r="Z38" s="152">
        <f t="shared" si="13"/>
      </c>
      <c r="AA38" s="153">
        <f t="shared" si="14"/>
      </c>
      <c r="AB38" s="154"/>
    </row>
    <row r="39" spans="2:28" s="10" customFormat="1" ht="16.5" customHeight="1">
      <c r="B39" s="155"/>
      <c r="C39" s="127"/>
      <c r="D39" s="127"/>
      <c r="E39" s="127"/>
      <c r="F39" s="125"/>
      <c r="G39" s="125"/>
      <c r="H39" s="137"/>
      <c r="I39" s="138" t="e">
        <f t="shared" si="0"/>
        <v>#VALUE!</v>
      </c>
      <c r="J39" s="139"/>
      <c r="K39" s="139"/>
      <c r="L39" s="140">
        <f t="shared" si="1"/>
      </c>
      <c r="M39" s="141">
        <f t="shared" si="2"/>
      </c>
      <c r="N39" s="139"/>
      <c r="O39" s="143">
        <f t="shared" si="15"/>
      </c>
      <c r="P39" s="144" t="str">
        <f t="shared" si="3"/>
        <v>--</v>
      </c>
      <c r="Q39" s="145" t="str">
        <f t="shared" si="4"/>
        <v>--</v>
      </c>
      <c r="R39" s="146" t="str">
        <f t="shared" si="5"/>
        <v>--</v>
      </c>
      <c r="S39" s="146" t="str">
        <f t="shared" si="6"/>
        <v>--</v>
      </c>
      <c r="T39" s="147" t="str">
        <f t="shared" si="7"/>
        <v>--</v>
      </c>
      <c r="U39" s="148" t="str">
        <f t="shared" si="8"/>
        <v>--</v>
      </c>
      <c r="V39" s="148" t="str">
        <f t="shared" si="9"/>
        <v>--</v>
      </c>
      <c r="W39" s="149" t="str">
        <f t="shared" si="10"/>
        <v>--</v>
      </c>
      <c r="X39" s="150" t="str">
        <f t="shared" si="11"/>
        <v>--</v>
      </c>
      <c r="Y39" s="151" t="str">
        <f t="shared" si="12"/>
        <v>--</v>
      </c>
      <c r="Z39" s="152">
        <f t="shared" si="13"/>
      </c>
      <c r="AA39" s="153">
        <f t="shared" si="14"/>
      </c>
      <c r="AB39" s="154"/>
    </row>
    <row r="40" spans="2:28" s="10" customFormat="1" ht="16.5" customHeight="1">
      <c r="B40" s="155"/>
      <c r="C40" s="127"/>
      <c r="D40" s="127"/>
      <c r="E40" s="127"/>
      <c r="F40" s="125"/>
      <c r="G40" s="125"/>
      <c r="H40" s="137"/>
      <c r="I40" s="138" t="e">
        <f t="shared" si="0"/>
        <v>#VALUE!</v>
      </c>
      <c r="J40" s="139"/>
      <c r="K40" s="139"/>
      <c r="L40" s="140">
        <f t="shared" si="1"/>
      </c>
      <c r="M40" s="141">
        <f t="shared" si="2"/>
      </c>
      <c r="N40" s="139"/>
      <c r="O40" s="143">
        <f t="shared" si="15"/>
      </c>
      <c r="P40" s="144" t="str">
        <f t="shared" si="3"/>
        <v>--</v>
      </c>
      <c r="Q40" s="145" t="str">
        <f t="shared" si="4"/>
        <v>--</v>
      </c>
      <c r="R40" s="146" t="str">
        <f t="shared" si="5"/>
        <v>--</v>
      </c>
      <c r="S40" s="146" t="str">
        <f t="shared" si="6"/>
        <v>--</v>
      </c>
      <c r="T40" s="147" t="str">
        <f t="shared" si="7"/>
        <v>--</v>
      </c>
      <c r="U40" s="148" t="str">
        <f t="shared" si="8"/>
        <v>--</v>
      </c>
      <c r="V40" s="148" t="str">
        <f t="shared" si="9"/>
        <v>--</v>
      </c>
      <c r="W40" s="149" t="str">
        <f t="shared" si="10"/>
        <v>--</v>
      </c>
      <c r="X40" s="150" t="str">
        <f t="shared" si="11"/>
        <v>--</v>
      </c>
      <c r="Y40" s="151" t="str">
        <f t="shared" si="12"/>
        <v>--</v>
      </c>
      <c r="Z40" s="152">
        <f t="shared" si="13"/>
      </c>
      <c r="AA40" s="153">
        <f t="shared" si="14"/>
      </c>
      <c r="AB40" s="154"/>
    </row>
    <row r="41" spans="2:28" s="10" customFormat="1" ht="16.5" customHeight="1" thickBot="1">
      <c r="B41" s="44"/>
      <c r="C41" s="156"/>
      <c r="D41" s="156"/>
      <c r="E41" s="156"/>
      <c r="F41" s="157"/>
      <c r="G41" s="158"/>
      <c r="H41" s="159"/>
      <c r="I41" s="160"/>
      <c r="J41" s="159"/>
      <c r="K41" s="159"/>
      <c r="L41" s="159"/>
      <c r="M41" s="159"/>
      <c r="N41" s="159"/>
      <c r="O41" s="161"/>
      <c r="P41" s="162"/>
      <c r="Q41" s="163"/>
      <c r="R41" s="164"/>
      <c r="S41" s="165"/>
      <c r="T41" s="165"/>
      <c r="U41" s="166"/>
      <c r="V41" s="166"/>
      <c r="W41" s="166"/>
      <c r="X41" s="167"/>
      <c r="Y41" s="168"/>
      <c r="Z41" s="169"/>
      <c r="AA41" s="170"/>
      <c r="AB41" s="154"/>
    </row>
    <row r="42" spans="2:28" s="10" customFormat="1" ht="16.5" customHeight="1" thickBot="1" thickTop="1">
      <c r="B42" s="44"/>
      <c r="C42" s="171" t="s">
        <v>73</v>
      </c>
      <c r="D42" s="589" t="s">
        <v>180</v>
      </c>
      <c r="E42" s="186"/>
      <c r="F42" s="172"/>
      <c r="G42" s="3"/>
      <c r="H42" s="5"/>
      <c r="I42" s="173"/>
      <c r="J42" s="173"/>
      <c r="K42" s="173"/>
      <c r="L42" s="173"/>
      <c r="M42" s="173"/>
      <c r="N42" s="173"/>
      <c r="O42" s="174"/>
      <c r="P42" s="175">
        <f aca="true" t="shared" si="16" ref="P42:Y42">SUM(P19:P41)</f>
        <v>3378.3288863764765</v>
      </c>
      <c r="Q42" s="176">
        <f t="shared" si="16"/>
        <v>0</v>
      </c>
      <c r="R42" s="177">
        <f t="shared" si="16"/>
        <v>21865.297378528747</v>
      </c>
      <c r="S42" s="177">
        <f t="shared" si="16"/>
        <v>14991.113372076323</v>
      </c>
      <c r="T42" s="177">
        <f t="shared" si="16"/>
        <v>0</v>
      </c>
      <c r="U42" s="178">
        <f t="shared" si="16"/>
        <v>0</v>
      </c>
      <c r="V42" s="178">
        <f t="shared" si="16"/>
        <v>0</v>
      </c>
      <c r="W42" s="178">
        <f t="shared" si="16"/>
        <v>0</v>
      </c>
      <c r="X42" s="179">
        <f t="shared" si="16"/>
        <v>0</v>
      </c>
      <c r="Y42" s="180">
        <f t="shared" si="16"/>
        <v>0</v>
      </c>
      <c r="Z42" s="181"/>
      <c r="AA42" s="182">
        <f>ROUND(SUM(AA19:AA41),2)</f>
        <v>40234.74</v>
      </c>
      <c r="AB42" s="183"/>
    </row>
    <row r="43" spans="2:28" s="184" customFormat="1" ht="9.75" thickTop="1">
      <c r="B43" s="185"/>
      <c r="C43" s="186"/>
      <c r="D43" s="186"/>
      <c r="E43" s="186"/>
      <c r="F43" s="187"/>
      <c r="G43" s="188"/>
      <c r="H43" s="189"/>
      <c r="I43" s="190"/>
      <c r="J43" s="190"/>
      <c r="K43" s="190"/>
      <c r="L43" s="190"/>
      <c r="M43" s="190"/>
      <c r="N43" s="190"/>
      <c r="O43" s="191"/>
      <c r="P43" s="192"/>
      <c r="Q43" s="192"/>
      <c r="R43" s="193"/>
      <c r="S43" s="193"/>
      <c r="T43" s="194"/>
      <c r="U43" s="194"/>
      <c r="V43" s="194"/>
      <c r="W43" s="194"/>
      <c r="X43" s="194"/>
      <c r="Y43" s="194"/>
      <c r="Z43" s="194"/>
      <c r="AA43" s="195"/>
      <c r="AB43" s="196"/>
    </row>
    <row r="44" spans="2:28" s="10" customFormat="1" ht="16.5" customHeight="1" thickBot="1"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</row>
    <row r="45" spans="2:28" ht="13.5" thickTop="1">
      <c r="B45" s="200"/>
      <c r="AB45" s="200"/>
    </row>
    <row r="90" ht="12.75">
      <c r="B90" s="20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zoomScale="75" zoomScaleNormal="75" zoomScalePageLayoutView="0" workbookViewId="0" topLeftCell="A1">
      <selection activeCell="AE30" sqref="AE30"/>
    </sheetView>
  </sheetViews>
  <sheetFormatPr defaultColWidth="11.421875" defaultRowHeight="12.75"/>
  <cols>
    <col min="1" max="3" width="4.140625" style="584" customWidth="1"/>
    <col min="4" max="5" width="13.7109375" style="584" customWidth="1"/>
    <col min="6" max="6" width="40.7109375" style="584" customWidth="1"/>
    <col min="7" max="7" width="8.7109375" style="584" customWidth="1"/>
    <col min="8" max="8" width="9.7109375" style="584" customWidth="1"/>
    <col min="9" max="9" width="7.8515625" style="584" hidden="1" customWidth="1"/>
    <col min="10" max="11" width="16.421875" style="584" customWidth="1"/>
    <col min="12" max="14" width="9.7109375" style="584" customWidth="1"/>
    <col min="15" max="15" width="7.7109375" style="584" customWidth="1"/>
    <col min="16" max="17" width="15.140625" style="584" hidden="1" customWidth="1"/>
    <col min="18" max="18" width="12.57421875" style="584" hidden="1" customWidth="1"/>
    <col min="19" max="19" width="15.28125" style="584" hidden="1" customWidth="1"/>
    <col min="20" max="23" width="12.57421875" style="584" hidden="1" customWidth="1"/>
    <col min="24" max="24" width="14.421875" style="584" hidden="1" customWidth="1"/>
    <col min="25" max="25" width="14.7109375" style="584" hidden="1" customWidth="1"/>
    <col min="26" max="26" width="9.7109375" style="584" customWidth="1"/>
    <col min="27" max="27" width="15.7109375" style="584" customWidth="1"/>
    <col min="28" max="28" width="4.140625" style="584" customWidth="1"/>
    <col min="29" max="16384" width="11.421875" style="584" customWidth="1"/>
  </cols>
  <sheetData>
    <row r="1" s="418" customFormat="1" ht="29.25" customHeight="1">
      <c r="AB1" s="419"/>
    </row>
    <row r="2" spans="2:28" s="418" customFormat="1" ht="26.25">
      <c r="B2" s="420" t="str">
        <f>'TOT-0314'!B2</f>
        <v>ANEXO IV al Memorandum D.T.E.E. N° 798 / 2014</v>
      </c>
      <c r="C2" s="421"/>
      <c r="D2" s="421"/>
      <c r="E2" s="421"/>
      <c r="F2" s="421"/>
      <c r="G2" s="422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</row>
    <row r="3" s="423" customFormat="1" ht="12.75"/>
    <row r="4" spans="1:3" s="426" customFormat="1" ht="11.25">
      <c r="A4" s="424" t="s">
        <v>181</v>
      </c>
      <c r="B4" s="425"/>
      <c r="C4" s="424"/>
    </row>
    <row r="5" spans="1:3" s="426" customFormat="1" ht="11.25">
      <c r="A5" s="424" t="s">
        <v>165</v>
      </c>
      <c r="B5" s="425"/>
      <c r="C5" s="425"/>
    </row>
    <row r="6" s="423" customFormat="1" ht="13.5" thickBot="1"/>
    <row r="7" spans="1:28" s="423" customFormat="1" ht="13.5" thickTop="1">
      <c r="A7" s="427"/>
      <c r="B7" s="428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30"/>
    </row>
    <row r="8" spans="1:28" s="433" customFormat="1" ht="20.25">
      <c r="A8" s="431"/>
      <c r="B8" s="432"/>
      <c r="F8" s="434" t="s">
        <v>14</v>
      </c>
      <c r="G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5"/>
    </row>
    <row r="9" spans="1:28" s="423" customFormat="1" ht="12.75">
      <c r="A9" s="427"/>
      <c r="B9" s="436"/>
      <c r="C9" s="437"/>
      <c r="D9" s="437"/>
      <c r="E9" s="437"/>
      <c r="G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38"/>
    </row>
    <row r="10" spans="1:28" s="433" customFormat="1" ht="20.25">
      <c r="A10" s="431"/>
      <c r="B10" s="432"/>
      <c r="F10" s="434" t="s">
        <v>192</v>
      </c>
      <c r="G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5"/>
    </row>
    <row r="11" spans="1:28" s="423" customFormat="1" ht="12.75">
      <c r="A11" s="427"/>
      <c r="B11" s="436"/>
      <c r="C11" s="437"/>
      <c r="D11" s="437"/>
      <c r="E11" s="437"/>
      <c r="G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38"/>
    </row>
    <row r="12" spans="1:28" s="447" customFormat="1" ht="19.5">
      <c r="A12" s="439"/>
      <c r="B12" s="440" t="str">
        <f>'TOT-0314'!B14</f>
        <v>Desde el 01 al 31 de marzo de 2014</v>
      </c>
      <c r="C12" s="441"/>
      <c r="D12" s="441"/>
      <c r="E12" s="441"/>
      <c r="F12" s="441"/>
      <c r="G12" s="442"/>
      <c r="H12" s="443"/>
      <c r="I12" s="444"/>
      <c r="J12" s="445"/>
      <c r="K12" s="444"/>
      <c r="L12" s="444"/>
      <c r="M12" s="444"/>
      <c r="N12" s="444"/>
      <c r="O12" s="444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6"/>
    </row>
    <row r="13" spans="1:28" s="447" customFormat="1" ht="7.5" customHeight="1">
      <c r="A13" s="439"/>
      <c r="B13" s="440"/>
      <c r="C13" s="441"/>
      <c r="D13" s="441"/>
      <c r="E13" s="441"/>
      <c r="F13" s="441"/>
      <c r="G13" s="442"/>
      <c r="H13" s="443"/>
      <c r="I13" s="444"/>
      <c r="J13" s="445"/>
      <c r="K13" s="444"/>
      <c r="L13" s="444"/>
      <c r="M13" s="444"/>
      <c r="N13" s="444"/>
      <c r="O13" s="444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6"/>
    </row>
    <row r="14" spans="1:28" s="423" customFormat="1" ht="7.5" customHeight="1" thickBot="1">
      <c r="A14" s="427"/>
      <c r="B14" s="436"/>
      <c r="C14" s="427"/>
      <c r="D14" s="427"/>
      <c r="E14" s="427"/>
      <c r="F14" s="427"/>
      <c r="G14" s="448"/>
      <c r="H14" s="449"/>
      <c r="I14" s="450"/>
      <c r="J14" s="450"/>
      <c r="K14" s="450"/>
      <c r="L14" s="450"/>
      <c r="M14" s="450"/>
      <c r="N14" s="450"/>
      <c r="O14" s="450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38"/>
    </row>
    <row r="15" spans="1:28" s="423" customFormat="1" ht="16.5" thickBot="1" thickTop="1">
      <c r="A15" s="427"/>
      <c r="B15" s="436"/>
      <c r="C15" s="427"/>
      <c r="D15" s="427"/>
      <c r="E15" s="427"/>
      <c r="F15" s="451" t="s">
        <v>16</v>
      </c>
      <c r="G15" s="585">
        <v>247.9207</v>
      </c>
      <c r="H15" s="452"/>
      <c r="I15" s="450"/>
      <c r="J15" s="450"/>
      <c r="K15" s="450"/>
      <c r="L15" s="450"/>
      <c r="M15" s="450"/>
      <c r="N15" s="450"/>
      <c r="O15" s="450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38"/>
    </row>
    <row r="16" spans="1:28" s="423" customFormat="1" ht="14.25" thickBot="1" thickTop="1">
      <c r="A16" s="427"/>
      <c r="B16" s="436"/>
      <c r="C16" s="427"/>
      <c r="D16" s="427"/>
      <c r="E16" s="427"/>
      <c r="F16" s="451" t="s">
        <v>17</v>
      </c>
      <c r="G16" s="87" t="s">
        <v>166</v>
      </c>
      <c r="H16" s="453"/>
      <c r="I16" s="427"/>
      <c r="J16" s="454"/>
      <c r="K16" s="455" t="s">
        <v>167</v>
      </c>
      <c r="L16" s="456">
        <f>30*'[2]TOT-0413'!B13</f>
        <v>30</v>
      </c>
      <c r="M16" s="457" t="str">
        <f>IF(L16=30," ",IF(L16=60,"Coeficiente duplicado por tasa de falla &gt;4 Sal. x año/100 km.","REVISAR COEFICIENTE"))</f>
        <v> </v>
      </c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38"/>
    </row>
    <row r="17" spans="1:28" s="423" customFormat="1" ht="14.25" thickBot="1" thickTop="1">
      <c r="A17" s="427"/>
      <c r="B17" s="436"/>
      <c r="C17" s="427"/>
      <c r="D17" s="427"/>
      <c r="E17" s="427"/>
      <c r="F17" s="451" t="s">
        <v>19</v>
      </c>
      <c r="G17" s="87" t="s">
        <v>166</v>
      </c>
      <c r="H17" s="453"/>
      <c r="I17" s="427"/>
      <c r="J17" s="427"/>
      <c r="K17" s="427"/>
      <c r="L17" s="458"/>
      <c r="M17" s="459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38"/>
    </row>
    <row r="18" spans="1:28" s="423" customFormat="1" ht="3.75" customHeight="1" thickTop="1">
      <c r="A18" s="427"/>
      <c r="B18" s="436"/>
      <c r="C18" s="427"/>
      <c r="D18" s="427"/>
      <c r="E18" s="427"/>
      <c r="F18" s="460"/>
      <c r="G18" s="461"/>
      <c r="H18" s="462"/>
      <c r="I18" s="427"/>
      <c r="J18" s="427"/>
      <c r="K18" s="427"/>
      <c r="L18" s="458"/>
      <c r="M18" s="459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38"/>
    </row>
    <row r="19" spans="1:28" s="423" customFormat="1" ht="12" customHeight="1" thickBot="1">
      <c r="A19" s="427"/>
      <c r="B19" s="436"/>
      <c r="C19" s="463">
        <v>3</v>
      </c>
      <c r="D19" s="463">
        <v>4</v>
      </c>
      <c r="E19" s="463">
        <v>5</v>
      </c>
      <c r="F19" s="463">
        <v>6</v>
      </c>
      <c r="G19" s="463">
        <v>7</v>
      </c>
      <c r="H19" s="463">
        <v>8</v>
      </c>
      <c r="I19" s="463">
        <v>9</v>
      </c>
      <c r="J19" s="463">
        <v>10</v>
      </c>
      <c r="K19" s="463">
        <v>11</v>
      </c>
      <c r="L19" s="463">
        <v>12</v>
      </c>
      <c r="M19" s="463">
        <v>13</v>
      </c>
      <c r="N19" s="463">
        <v>14</v>
      </c>
      <c r="O19" s="463">
        <v>15</v>
      </c>
      <c r="P19" s="463">
        <v>16</v>
      </c>
      <c r="Q19" s="463">
        <v>17</v>
      </c>
      <c r="R19" s="463">
        <v>18</v>
      </c>
      <c r="S19" s="463">
        <v>19</v>
      </c>
      <c r="T19" s="463">
        <v>20</v>
      </c>
      <c r="U19" s="463">
        <v>21</v>
      </c>
      <c r="V19" s="463">
        <v>22</v>
      </c>
      <c r="W19" s="463">
        <v>23</v>
      </c>
      <c r="X19" s="463">
        <v>24</v>
      </c>
      <c r="Y19" s="463">
        <v>25</v>
      </c>
      <c r="Z19" s="463">
        <v>26</v>
      </c>
      <c r="AA19" s="463">
        <v>27</v>
      </c>
      <c r="AB19" s="438"/>
    </row>
    <row r="20" spans="1:28" s="423" customFormat="1" ht="33.75" customHeight="1" thickBot="1" thickTop="1">
      <c r="A20" s="427"/>
      <c r="B20" s="436"/>
      <c r="C20" s="464" t="s">
        <v>20</v>
      </c>
      <c r="D20" s="464" t="s">
        <v>74</v>
      </c>
      <c r="E20" s="464" t="s">
        <v>75</v>
      </c>
      <c r="F20" s="465" t="s">
        <v>2</v>
      </c>
      <c r="G20" s="466" t="s">
        <v>21</v>
      </c>
      <c r="H20" s="466" t="s">
        <v>22</v>
      </c>
      <c r="I20" s="467" t="s">
        <v>23</v>
      </c>
      <c r="J20" s="465" t="s">
        <v>24</v>
      </c>
      <c r="K20" s="465" t="s">
        <v>25</v>
      </c>
      <c r="L20" s="466" t="s">
        <v>168</v>
      </c>
      <c r="M20" s="466" t="s">
        <v>27</v>
      </c>
      <c r="N20" s="466" t="s">
        <v>72</v>
      </c>
      <c r="O20" s="466" t="s">
        <v>28</v>
      </c>
      <c r="P20" s="468" t="s">
        <v>59</v>
      </c>
      <c r="Q20" s="469" t="s">
        <v>30</v>
      </c>
      <c r="R20" s="470" t="s">
        <v>169</v>
      </c>
      <c r="S20" s="471"/>
      <c r="T20" s="472"/>
      <c r="U20" s="473" t="s">
        <v>170</v>
      </c>
      <c r="V20" s="474"/>
      <c r="W20" s="475"/>
      <c r="X20" s="476" t="s">
        <v>33</v>
      </c>
      <c r="Y20" s="477" t="s">
        <v>34</v>
      </c>
      <c r="Z20" s="478" t="s">
        <v>171</v>
      </c>
      <c r="AA20" s="479" t="s">
        <v>36</v>
      </c>
      <c r="AB20" s="438"/>
    </row>
    <row r="21" spans="1:28" s="423" customFormat="1" ht="16.5" thickBot="1" thickTop="1">
      <c r="A21" s="427"/>
      <c r="B21" s="436"/>
      <c r="C21" s="480"/>
      <c r="D21" s="480"/>
      <c r="E21" s="480"/>
      <c r="F21" s="481"/>
      <c r="G21" s="482"/>
      <c r="H21" s="482"/>
      <c r="I21" s="483"/>
      <c r="J21" s="482"/>
      <c r="K21" s="481"/>
      <c r="L21" s="481"/>
      <c r="M21" s="481"/>
      <c r="N21" s="482"/>
      <c r="O21" s="482"/>
      <c r="P21" s="484"/>
      <c r="Q21" s="485"/>
      <c r="R21" s="486"/>
      <c r="S21" s="487"/>
      <c r="T21" s="488"/>
      <c r="U21" s="489"/>
      <c r="V21" s="490"/>
      <c r="W21" s="491"/>
      <c r="X21" s="492"/>
      <c r="Y21" s="493"/>
      <c r="Z21" s="494"/>
      <c r="AA21" s="495"/>
      <c r="AB21" s="438"/>
    </row>
    <row r="22" spans="1:28" s="423" customFormat="1" ht="16.5" thickBot="1" thickTop="1">
      <c r="A22" s="427"/>
      <c r="B22" s="436"/>
      <c r="C22" s="480"/>
      <c r="D22" s="480"/>
      <c r="E22" s="480"/>
      <c r="F22" s="480"/>
      <c r="G22" s="480"/>
      <c r="H22" s="480"/>
      <c r="I22" s="496"/>
      <c r="J22" s="480"/>
      <c r="K22" s="497"/>
      <c r="L22" s="497"/>
      <c r="M22" s="497"/>
      <c r="N22" s="480"/>
      <c r="O22" s="480"/>
      <c r="P22" s="484"/>
      <c r="Q22" s="498"/>
      <c r="R22" s="499"/>
      <c r="S22" s="500"/>
      <c r="T22" s="501"/>
      <c r="U22" s="502"/>
      <c r="V22" s="503"/>
      <c r="W22" s="504"/>
      <c r="X22" s="505"/>
      <c r="Y22" s="506"/>
      <c r="Z22" s="507"/>
      <c r="AA22" s="508"/>
      <c r="AB22" s="438"/>
    </row>
    <row r="23" spans="1:28" s="423" customFormat="1" ht="16.5" thickBot="1" thickTop="1">
      <c r="A23" s="427"/>
      <c r="B23" s="436"/>
      <c r="C23" s="509">
        <v>9</v>
      </c>
      <c r="D23" s="509">
        <v>273311</v>
      </c>
      <c r="E23" s="509">
        <v>5105</v>
      </c>
      <c r="F23" s="510" t="s">
        <v>172</v>
      </c>
      <c r="G23" s="510">
        <v>220</v>
      </c>
      <c r="H23" s="511">
        <v>7</v>
      </c>
      <c r="I23" s="512">
        <f aca="true" t="shared" si="0" ref="I23:I42">IF(H23&gt;25,H23,25)*IF(G23=220,$G$15,IF(G23=132,$G$16,$G$17))/100</f>
        <v>61.980175</v>
      </c>
      <c r="J23" s="513">
        <v>41717.36875</v>
      </c>
      <c r="K23" s="513">
        <v>41717.709027777775</v>
      </c>
      <c r="L23" s="514">
        <f aca="true" t="shared" si="1" ref="L23:L42">IF(F23="","",(K23-J23)*24)</f>
        <v>8.166666666569654</v>
      </c>
      <c r="M23" s="515">
        <f aca="true" t="shared" si="2" ref="M23:M42">IF(F23="","",ROUND((K23-J23)*24*60,0))</f>
        <v>490</v>
      </c>
      <c r="N23" s="516" t="s">
        <v>135</v>
      </c>
      <c r="O23" s="517" t="str">
        <f aca="true" t="shared" si="3" ref="O23:O42">IF(F23="","","--")</f>
        <v>--</v>
      </c>
      <c r="P23" s="518">
        <f aca="true" t="shared" si="4" ref="P23:P42">IF(N23="P",ROUND(M23/60,2)*I23*$L$16*0.01,"--")</f>
        <v>151.913408925</v>
      </c>
      <c r="Q23" s="519" t="str">
        <f aca="true" t="shared" si="5" ref="Q23:Q42">IF(N23="RP",ROUND(M23/60,2)*I23*$L$16*0.01*O23/100,"--")</f>
        <v>--</v>
      </c>
      <c r="R23" s="520" t="str">
        <f aca="true" t="shared" si="6" ref="R23:R42">IF(N23="F",I23*$L$16,"--")</f>
        <v>--</v>
      </c>
      <c r="S23" s="521" t="str">
        <f aca="true" t="shared" si="7" ref="S23:S42">IF(AND(M23&gt;10,N23="F"),I23*$L$16*IF(M23&gt;180,3,ROUND(M23/60,2)),"--")</f>
        <v>--</v>
      </c>
      <c r="T23" s="522" t="str">
        <f aca="true" t="shared" si="8" ref="T23:T42">IF(AND(N23="F",M23&gt;180),(ROUND(M23/60,2)-3)*I23*$L$16*0.1,"--")</f>
        <v>--</v>
      </c>
      <c r="U23" s="523" t="str">
        <f aca="true" t="shared" si="9" ref="U23:U42">IF(N23="R",I23*$L$16*O23/100,"--")</f>
        <v>--</v>
      </c>
      <c r="V23" s="524" t="str">
        <f aca="true" t="shared" si="10" ref="V23:V42">IF(AND(M23&gt;10,N23="R"),I23*$L$16*O23/100*IF(M23&gt;180,3,ROUND(M23/60,2)),"--")</f>
        <v>--</v>
      </c>
      <c r="W23" s="525" t="str">
        <f aca="true" t="shared" si="11" ref="W23:W42">IF(AND(N23="R",M23&gt;180),(ROUND(M23/60,2)-3)*I23*$L$16*0.1*O23/100,"--")</f>
        <v>--</v>
      </c>
      <c r="X23" s="526" t="str">
        <f aca="true" t="shared" si="12" ref="X23:X42">IF(N23="RF",ROUND(M23/60,2)*I23*$L$16*0.1,"--")</f>
        <v>--</v>
      </c>
      <c r="Y23" s="527" t="str">
        <f aca="true" t="shared" si="13" ref="Y23:Y42">IF(N23="RR",ROUND(M23/60,2)*I23*$L$16*0.1*O23/100,"--")</f>
        <v>--</v>
      </c>
      <c r="Z23" s="528" t="str">
        <f aca="true" t="shared" si="14" ref="Z23:Z42">IF(F23="","","SI")</f>
        <v>SI</v>
      </c>
      <c r="AA23" s="529">
        <f aca="true" t="shared" si="15" ref="AA23:AA42">IF(F23="","",SUM(P23:Y23)*IF(Z23="SI",1,2))</f>
        <v>151.913408925</v>
      </c>
      <c r="AB23" s="438"/>
    </row>
    <row r="24" spans="1:28" s="423" customFormat="1" ht="16.5" thickBot="1" thickTop="1">
      <c r="A24" s="427"/>
      <c r="B24" s="436"/>
      <c r="C24" s="509">
        <v>10</v>
      </c>
      <c r="D24" s="509">
        <v>273312</v>
      </c>
      <c r="E24" s="509">
        <v>5105</v>
      </c>
      <c r="F24" s="510" t="s">
        <v>172</v>
      </c>
      <c r="G24" s="510">
        <v>220</v>
      </c>
      <c r="H24" s="511">
        <v>7</v>
      </c>
      <c r="I24" s="512">
        <f t="shared" si="0"/>
        <v>61.980175</v>
      </c>
      <c r="J24" s="513">
        <v>41718.35763888889</v>
      </c>
      <c r="K24" s="513">
        <v>41718.67847222222</v>
      </c>
      <c r="L24" s="514">
        <f t="shared" si="1"/>
        <v>7.699999999953434</v>
      </c>
      <c r="M24" s="515">
        <f t="shared" si="2"/>
        <v>462</v>
      </c>
      <c r="N24" s="516" t="s">
        <v>135</v>
      </c>
      <c r="O24" s="517" t="str">
        <f t="shared" si="3"/>
        <v>--</v>
      </c>
      <c r="P24" s="518">
        <f t="shared" si="4"/>
        <v>143.17420425000003</v>
      </c>
      <c r="Q24" s="519" t="str">
        <f t="shared" si="5"/>
        <v>--</v>
      </c>
      <c r="R24" s="520" t="str">
        <f t="shared" si="6"/>
        <v>--</v>
      </c>
      <c r="S24" s="521" t="str">
        <f t="shared" si="7"/>
        <v>--</v>
      </c>
      <c r="T24" s="522" t="str">
        <f t="shared" si="8"/>
        <v>--</v>
      </c>
      <c r="U24" s="523" t="str">
        <f t="shared" si="9"/>
        <v>--</v>
      </c>
      <c r="V24" s="524" t="str">
        <f t="shared" si="10"/>
        <v>--</v>
      </c>
      <c r="W24" s="525" t="str">
        <f t="shared" si="11"/>
        <v>--</v>
      </c>
      <c r="X24" s="526" t="str">
        <f t="shared" si="12"/>
        <v>--</v>
      </c>
      <c r="Y24" s="527" t="str">
        <f t="shared" si="13"/>
        <v>--</v>
      </c>
      <c r="Z24" s="528" t="str">
        <f t="shared" si="14"/>
        <v>SI</v>
      </c>
      <c r="AA24" s="529">
        <f t="shared" si="15"/>
        <v>143.17420425000003</v>
      </c>
      <c r="AB24" s="438"/>
    </row>
    <row r="25" spans="1:28" s="423" customFormat="1" ht="16.5" thickBot="1" thickTop="1">
      <c r="A25" s="427"/>
      <c r="B25" s="436"/>
      <c r="C25" s="509"/>
      <c r="D25" s="509"/>
      <c r="E25" s="509"/>
      <c r="F25" s="510"/>
      <c r="G25" s="510"/>
      <c r="H25" s="511"/>
      <c r="I25" s="512" t="e">
        <f t="shared" si="0"/>
        <v>#VALUE!</v>
      </c>
      <c r="J25" s="513"/>
      <c r="K25" s="513"/>
      <c r="L25" s="514">
        <f t="shared" si="1"/>
      </c>
      <c r="M25" s="515">
        <f t="shared" si="2"/>
      </c>
      <c r="N25" s="516"/>
      <c r="O25" s="517">
        <f t="shared" si="3"/>
      </c>
      <c r="P25" s="518" t="str">
        <f t="shared" si="4"/>
        <v>--</v>
      </c>
      <c r="Q25" s="519" t="str">
        <f t="shared" si="5"/>
        <v>--</v>
      </c>
      <c r="R25" s="520" t="str">
        <f t="shared" si="6"/>
        <v>--</v>
      </c>
      <c r="S25" s="521" t="str">
        <f t="shared" si="7"/>
        <v>--</v>
      </c>
      <c r="T25" s="522" t="str">
        <f t="shared" si="8"/>
        <v>--</v>
      </c>
      <c r="U25" s="523" t="str">
        <f t="shared" si="9"/>
        <v>--</v>
      </c>
      <c r="V25" s="524" t="str">
        <f t="shared" si="10"/>
        <v>--</v>
      </c>
      <c r="W25" s="525" t="str">
        <f t="shared" si="11"/>
        <v>--</v>
      </c>
      <c r="X25" s="526" t="str">
        <f t="shared" si="12"/>
        <v>--</v>
      </c>
      <c r="Y25" s="527" t="str">
        <f t="shared" si="13"/>
        <v>--</v>
      </c>
      <c r="Z25" s="528">
        <f t="shared" si="14"/>
      </c>
      <c r="AA25" s="529">
        <f t="shared" si="15"/>
      </c>
      <c r="AB25" s="438"/>
    </row>
    <row r="26" spans="1:28" s="423" customFormat="1" ht="16.5" thickBot="1" thickTop="1">
      <c r="A26" s="427"/>
      <c r="B26" s="436"/>
      <c r="C26" s="509"/>
      <c r="D26" s="509"/>
      <c r="E26" s="509"/>
      <c r="F26" s="510"/>
      <c r="G26" s="510"/>
      <c r="H26" s="511"/>
      <c r="I26" s="512" t="e">
        <f t="shared" si="0"/>
        <v>#VALUE!</v>
      </c>
      <c r="J26" s="513"/>
      <c r="K26" s="513"/>
      <c r="L26" s="514">
        <f t="shared" si="1"/>
      </c>
      <c r="M26" s="515">
        <f t="shared" si="2"/>
      </c>
      <c r="N26" s="516"/>
      <c r="O26" s="517">
        <f t="shared" si="3"/>
      </c>
      <c r="P26" s="518" t="str">
        <f t="shared" si="4"/>
        <v>--</v>
      </c>
      <c r="Q26" s="519" t="str">
        <f t="shared" si="5"/>
        <v>--</v>
      </c>
      <c r="R26" s="520" t="str">
        <f t="shared" si="6"/>
        <v>--</v>
      </c>
      <c r="S26" s="521" t="str">
        <f t="shared" si="7"/>
        <v>--</v>
      </c>
      <c r="T26" s="522" t="str">
        <f t="shared" si="8"/>
        <v>--</v>
      </c>
      <c r="U26" s="523" t="str">
        <f t="shared" si="9"/>
        <v>--</v>
      </c>
      <c r="V26" s="524" t="str">
        <f t="shared" si="10"/>
        <v>--</v>
      </c>
      <c r="W26" s="525" t="str">
        <f t="shared" si="11"/>
        <v>--</v>
      </c>
      <c r="X26" s="526" t="str">
        <f t="shared" si="12"/>
        <v>--</v>
      </c>
      <c r="Y26" s="527" t="str">
        <f t="shared" si="13"/>
        <v>--</v>
      </c>
      <c r="Z26" s="528">
        <f t="shared" si="14"/>
      </c>
      <c r="AA26" s="529">
        <f t="shared" si="15"/>
      </c>
      <c r="AB26" s="438"/>
    </row>
    <row r="27" spans="1:28" s="423" customFormat="1" ht="16.5" thickBot="1" thickTop="1">
      <c r="A27" s="427"/>
      <c r="B27" s="436"/>
      <c r="C27" s="509"/>
      <c r="D27" s="509"/>
      <c r="E27" s="509"/>
      <c r="F27" s="510"/>
      <c r="G27" s="510"/>
      <c r="H27" s="511"/>
      <c r="I27" s="512" t="e">
        <f t="shared" si="0"/>
        <v>#VALUE!</v>
      </c>
      <c r="J27" s="513"/>
      <c r="K27" s="513"/>
      <c r="L27" s="514">
        <f t="shared" si="1"/>
      </c>
      <c r="M27" s="515">
        <f t="shared" si="2"/>
      </c>
      <c r="N27" s="516"/>
      <c r="O27" s="517">
        <f t="shared" si="3"/>
      </c>
      <c r="P27" s="518" t="str">
        <f t="shared" si="4"/>
        <v>--</v>
      </c>
      <c r="Q27" s="519" t="str">
        <f t="shared" si="5"/>
        <v>--</v>
      </c>
      <c r="R27" s="520" t="str">
        <f t="shared" si="6"/>
        <v>--</v>
      </c>
      <c r="S27" s="521" t="str">
        <f t="shared" si="7"/>
        <v>--</v>
      </c>
      <c r="T27" s="522" t="str">
        <f t="shared" si="8"/>
        <v>--</v>
      </c>
      <c r="U27" s="523" t="str">
        <f t="shared" si="9"/>
        <v>--</v>
      </c>
      <c r="V27" s="524" t="str">
        <f t="shared" si="10"/>
        <v>--</v>
      </c>
      <c r="W27" s="525" t="str">
        <f t="shared" si="11"/>
        <v>--</v>
      </c>
      <c r="X27" s="526" t="str">
        <f t="shared" si="12"/>
        <v>--</v>
      </c>
      <c r="Y27" s="527" t="str">
        <f t="shared" si="13"/>
        <v>--</v>
      </c>
      <c r="Z27" s="528">
        <f t="shared" si="14"/>
      </c>
      <c r="AA27" s="529">
        <f t="shared" si="15"/>
      </c>
      <c r="AB27" s="438"/>
    </row>
    <row r="28" spans="1:28" s="423" customFormat="1" ht="16.5" thickBot="1" thickTop="1">
      <c r="A28" s="427"/>
      <c r="B28" s="436"/>
      <c r="C28" s="509"/>
      <c r="D28" s="509"/>
      <c r="E28" s="509"/>
      <c r="F28" s="510"/>
      <c r="G28" s="510"/>
      <c r="H28" s="511"/>
      <c r="I28" s="512" t="e">
        <f t="shared" si="0"/>
        <v>#VALUE!</v>
      </c>
      <c r="J28" s="513"/>
      <c r="K28" s="513"/>
      <c r="L28" s="514">
        <f t="shared" si="1"/>
      </c>
      <c r="M28" s="515">
        <f t="shared" si="2"/>
      </c>
      <c r="N28" s="516"/>
      <c r="O28" s="517">
        <f t="shared" si="3"/>
      </c>
      <c r="P28" s="518" t="str">
        <f t="shared" si="4"/>
        <v>--</v>
      </c>
      <c r="Q28" s="519" t="str">
        <f t="shared" si="5"/>
        <v>--</v>
      </c>
      <c r="R28" s="520" t="str">
        <f t="shared" si="6"/>
        <v>--</v>
      </c>
      <c r="S28" s="521" t="str">
        <f t="shared" si="7"/>
        <v>--</v>
      </c>
      <c r="T28" s="522" t="str">
        <f t="shared" si="8"/>
        <v>--</v>
      </c>
      <c r="U28" s="523" t="str">
        <f t="shared" si="9"/>
        <v>--</v>
      </c>
      <c r="V28" s="524" t="str">
        <f t="shared" si="10"/>
        <v>--</v>
      </c>
      <c r="W28" s="525" t="str">
        <f t="shared" si="11"/>
        <v>--</v>
      </c>
      <c r="X28" s="526" t="str">
        <f t="shared" si="12"/>
        <v>--</v>
      </c>
      <c r="Y28" s="527" t="str">
        <f t="shared" si="13"/>
        <v>--</v>
      </c>
      <c r="Z28" s="528">
        <f t="shared" si="14"/>
      </c>
      <c r="AA28" s="529">
        <f t="shared" si="15"/>
      </c>
      <c r="AB28" s="438"/>
    </row>
    <row r="29" spans="1:28" s="423" customFormat="1" ht="16.5" thickBot="1" thickTop="1">
      <c r="A29" s="427"/>
      <c r="B29" s="436"/>
      <c r="C29" s="509"/>
      <c r="D29" s="509"/>
      <c r="E29" s="509"/>
      <c r="F29" s="510"/>
      <c r="G29" s="510"/>
      <c r="H29" s="511"/>
      <c r="I29" s="512" t="e">
        <f t="shared" si="0"/>
        <v>#VALUE!</v>
      </c>
      <c r="J29" s="513"/>
      <c r="K29" s="513"/>
      <c r="L29" s="514">
        <f t="shared" si="1"/>
      </c>
      <c r="M29" s="515">
        <f t="shared" si="2"/>
      </c>
      <c r="N29" s="516"/>
      <c r="O29" s="517">
        <f t="shared" si="3"/>
      </c>
      <c r="P29" s="518" t="str">
        <f t="shared" si="4"/>
        <v>--</v>
      </c>
      <c r="Q29" s="519" t="str">
        <f t="shared" si="5"/>
        <v>--</v>
      </c>
      <c r="R29" s="520" t="str">
        <f t="shared" si="6"/>
        <v>--</v>
      </c>
      <c r="S29" s="521" t="str">
        <f t="shared" si="7"/>
        <v>--</v>
      </c>
      <c r="T29" s="522" t="str">
        <f t="shared" si="8"/>
        <v>--</v>
      </c>
      <c r="U29" s="523" t="str">
        <f t="shared" si="9"/>
        <v>--</v>
      </c>
      <c r="V29" s="524" t="str">
        <f t="shared" si="10"/>
        <v>--</v>
      </c>
      <c r="W29" s="525" t="str">
        <f t="shared" si="11"/>
        <v>--</v>
      </c>
      <c r="X29" s="526" t="str">
        <f t="shared" si="12"/>
        <v>--</v>
      </c>
      <c r="Y29" s="527" t="str">
        <f t="shared" si="13"/>
        <v>--</v>
      </c>
      <c r="Z29" s="528">
        <f t="shared" si="14"/>
      </c>
      <c r="AA29" s="529">
        <f t="shared" si="15"/>
      </c>
      <c r="AB29" s="438"/>
    </row>
    <row r="30" spans="1:28" s="423" customFormat="1" ht="16.5" thickBot="1" thickTop="1">
      <c r="A30" s="427"/>
      <c r="B30" s="436"/>
      <c r="C30" s="509"/>
      <c r="D30" s="509"/>
      <c r="E30" s="509"/>
      <c r="F30" s="510"/>
      <c r="G30" s="510"/>
      <c r="H30" s="511"/>
      <c r="I30" s="512" t="e">
        <f t="shared" si="0"/>
        <v>#VALUE!</v>
      </c>
      <c r="J30" s="513"/>
      <c r="K30" s="513"/>
      <c r="L30" s="514">
        <f t="shared" si="1"/>
      </c>
      <c r="M30" s="515">
        <f t="shared" si="2"/>
      </c>
      <c r="N30" s="516"/>
      <c r="O30" s="517">
        <f t="shared" si="3"/>
      </c>
      <c r="P30" s="518" t="str">
        <f t="shared" si="4"/>
        <v>--</v>
      </c>
      <c r="Q30" s="519" t="str">
        <f t="shared" si="5"/>
        <v>--</v>
      </c>
      <c r="R30" s="520" t="str">
        <f t="shared" si="6"/>
        <v>--</v>
      </c>
      <c r="S30" s="521" t="str">
        <f t="shared" si="7"/>
        <v>--</v>
      </c>
      <c r="T30" s="522" t="str">
        <f t="shared" si="8"/>
        <v>--</v>
      </c>
      <c r="U30" s="523" t="str">
        <f t="shared" si="9"/>
        <v>--</v>
      </c>
      <c r="V30" s="524" t="str">
        <f t="shared" si="10"/>
        <v>--</v>
      </c>
      <c r="W30" s="525" t="str">
        <f t="shared" si="11"/>
        <v>--</v>
      </c>
      <c r="X30" s="526" t="str">
        <f t="shared" si="12"/>
        <v>--</v>
      </c>
      <c r="Y30" s="527" t="str">
        <f t="shared" si="13"/>
        <v>--</v>
      </c>
      <c r="Z30" s="528">
        <f t="shared" si="14"/>
      </c>
      <c r="AA30" s="529">
        <f t="shared" si="15"/>
      </c>
      <c r="AB30" s="438"/>
    </row>
    <row r="31" spans="1:28" s="423" customFormat="1" ht="16.5" thickBot="1" thickTop="1">
      <c r="A31" s="427"/>
      <c r="B31" s="436"/>
      <c r="C31" s="509"/>
      <c r="D31" s="509"/>
      <c r="E31" s="509"/>
      <c r="F31" s="510"/>
      <c r="G31" s="510"/>
      <c r="H31" s="511"/>
      <c r="I31" s="512" t="e">
        <f t="shared" si="0"/>
        <v>#VALUE!</v>
      </c>
      <c r="J31" s="513"/>
      <c r="K31" s="513"/>
      <c r="L31" s="514">
        <f t="shared" si="1"/>
      </c>
      <c r="M31" s="515">
        <f t="shared" si="2"/>
      </c>
      <c r="N31" s="516"/>
      <c r="O31" s="517">
        <f t="shared" si="3"/>
      </c>
      <c r="P31" s="518" t="str">
        <f t="shared" si="4"/>
        <v>--</v>
      </c>
      <c r="Q31" s="519" t="str">
        <f t="shared" si="5"/>
        <v>--</v>
      </c>
      <c r="R31" s="520" t="str">
        <f t="shared" si="6"/>
        <v>--</v>
      </c>
      <c r="S31" s="521" t="str">
        <f t="shared" si="7"/>
        <v>--</v>
      </c>
      <c r="T31" s="522" t="str">
        <f t="shared" si="8"/>
        <v>--</v>
      </c>
      <c r="U31" s="523" t="str">
        <f t="shared" si="9"/>
        <v>--</v>
      </c>
      <c r="V31" s="524" t="str">
        <f t="shared" si="10"/>
        <v>--</v>
      </c>
      <c r="W31" s="525" t="str">
        <f t="shared" si="11"/>
        <v>--</v>
      </c>
      <c r="X31" s="526" t="str">
        <f t="shared" si="12"/>
        <v>--</v>
      </c>
      <c r="Y31" s="527" t="str">
        <f t="shared" si="13"/>
        <v>--</v>
      </c>
      <c r="Z31" s="528">
        <f t="shared" si="14"/>
      </c>
      <c r="AA31" s="529">
        <f t="shared" si="15"/>
      </c>
      <c r="AB31" s="438"/>
    </row>
    <row r="32" spans="1:28" s="423" customFormat="1" ht="16.5" thickBot="1" thickTop="1">
      <c r="A32" s="427"/>
      <c r="B32" s="436"/>
      <c r="C32" s="509"/>
      <c r="D32" s="509"/>
      <c r="E32" s="509"/>
      <c r="F32" s="510"/>
      <c r="G32" s="510"/>
      <c r="H32" s="511"/>
      <c r="I32" s="512" t="e">
        <f t="shared" si="0"/>
        <v>#VALUE!</v>
      </c>
      <c r="J32" s="513"/>
      <c r="K32" s="513"/>
      <c r="L32" s="514">
        <f t="shared" si="1"/>
      </c>
      <c r="M32" s="515">
        <f t="shared" si="2"/>
      </c>
      <c r="N32" s="516"/>
      <c r="O32" s="517">
        <f t="shared" si="3"/>
      </c>
      <c r="P32" s="518" t="str">
        <f t="shared" si="4"/>
        <v>--</v>
      </c>
      <c r="Q32" s="519" t="str">
        <f t="shared" si="5"/>
        <v>--</v>
      </c>
      <c r="R32" s="520" t="str">
        <f t="shared" si="6"/>
        <v>--</v>
      </c>
      <c r="S32" s="521" t="str">
        <f t="shared" si="7"/>
        <v>--</v>
      </c>
      <c r="T32" s="522" t="str">
        <f t="shared" si="8"/>
        <v>--</v>
      </c>
      <c r="U32" s="523" t="str">
        <f t="shared" si="9"/>
        <v>--</v>
      </c>
      <c r="V32" s="524" t="str">
        <f t="shared" si="10"/>
        <v>--</v>
      </c>
      <c r="W32" s="525" t="str">
        <f t="shared" si="11"/>
        <v>--</v>
      </c>
      <c r="X32" s="526" t="str">
        <f t="shared" si="12"/>
        <v>--</v>
      </c>
      <c r="Y32" s="527" t="str">
        <f t="shared" si="13"/>
        <v>--</v>
      </c>
      <c r="Z32" s="528">
        <f t="shared" si="14"/>
      </c>
      <c r="AA32" s="529">
        <f t="shared" si="15"/>
      </c>
      <c r="AB32" s="438"/>
    </row>
    <row r="33" spans="1:28" s="423" customFormat="1" ht="16.5" thickBot="1" thickTop="1">
      <c r="A33" s="427"/>
      <c r="B33" s="436"/>
      <c r="C33" s="509"/>
      <c r="D33" s="509"/>
      <c r="E33" s="509"/>
      <c r="F33" s="510"/>
      <c r="G33" s="510"/>
      <c r="H33" s="511"/>
      <c r="I33" s="512" t="e">
        <f t="shared" si="0"/>
        <v>#VALUE!</v>
      </c>
      <c r="J33" s="513"/>
      <c r="K33" s="513"/>
      <c r="L33" s="514">
        <f t="shared" si="1"/>
      </c>
      <c r="M33" s="515">
        <f t="shared" si="2"/>
      </c>
      <c r="N33" s="516"/>
      <c r="O33" s="517">
        <f t="shared" si="3"/>
      </c>
      <c r="P33" s="518" t="str">
        <f t="shared" si="4"/>
        <v>--</v>
      </c>
      <c r="Q33" s="519" t="str">
        <f t="shared" si="5"/>
        <v>--</v>
      </c>
      <c r="R33" s="520" t="str">
        <f t="shared" si="6"/>
        <v>--</v>
      </c>
      <c r="S33" s="521" t="str">
        <f t="shared" si="7"/>
        <v>--</v>
      </c>
      <c r="T33" s="522" t="str">
        <f t="shared" si="8"/>
        <v>--</v>
      </c>
      <c r="U33" s="523" t="str">
        <f t="shared" si="9"/>
        <v>--</v>
      </c>
      <c r="V33" s="524" t="str">
        <f t="shared" si="10"/>
        <v>--</v>
      </c>
      <c r="W33" s="525" t="str">
        <f t="shared" si="11"/>
        <v>--</v>
      </c>
      <c r="X33" s="526" t="str">
        <f t="shared" si="12"/>
        <v>--</v>
      </c>
      <c r="Y33" s="527" t="str">
        <f t="shared" si="13"/>
        <v>--</v>
      </c>
      <c r="Z33" s="528">
        <f t="shared" si="14"/>
      </c>
      <c r="AA33" s="529">
        <f t="shared" si="15"/>
      </c>
      <c r="AB33" s="438"/>
    </row>
    <row r="34" spans="1:28" s="423" customFormat="1" ht="16.5" thickBot="1" thickTop="1">
      <c r="A34" s="427"/>
      <c r="B34" s="436"/>
      <c r="C34" s="509"/>
      <c r="D34" s="509"/>
      <c r="E34" s="509"/>
      <c r="F34" s="510"/>
      <c r="G34" s="510"/>
      <c r="H34" s="511"/>
      <c r="I34" s="512" t="e">
        <f t="shared" si="0"/>
        <v>#VALUE!</v>
      </c>
      <c r="J34" s="513"/>
      <c r="K34" s="513"/>
      <c r="L34" s="514">
        <f t="shared" si="1"/>
      </c>
      <c r="M34" s="515">
        <f t="shared" si="2"/>
      </c>
      <c r="N34" s="516"/>
      <c r="O34" s="517">
        <f t="shared" si="3"/>
      </c>
      <c r="P34" s="518" t="str">
        <f t="shared" si="4"/>
        <v>--</v>
      </c>
      <c r="Q34" s="519" t="str">
        <f t="shared" si="5"/>
        <v>--</v>
      </c>
      <c r="R34" s="520" t="str">
        <f t="shared" si="6"/>
        <v>--</v>
      </c>
      <c r="S34" s="521" t="str">
        <f t="shared" si="7"/>
        <v>--</v>
      </c>
      <c r="T34" s="522" t="str">
        <f t="shared" si="8"/>
        <v>--</v>
      </c>
      <c r="U34" s="523" t="str">
        <f t="shared" si="9"/>
        <v>--</v>
      </c>
      <c r="V34" s="524" t="str">
        <f t="shared" si="10"/>
        <v>--</v>
      </c>
      <c r="W34" s="525" t="str">
        <f t="shared" si="11"/>
        <v>--</v>
      </c>
      <c r="X34" s="526" t="str">
        <f t="shared" si="12"/>
        <v>--</v>
      </c>
      <c r="Y34" s="527" t="str">
        <f t="shared" si="13"/>
        <v>--</v>
      </c>
      <c r="Z34" s="528">
        <f t="shared" si="14"/>
      </c>
      <c r="AA34" s="529">
        <f t="shared" si="15"/>
      </c>
      <c r="AB34" s="438"/>
    </row>
    <row r="35" spans="1:28" s="423" customFormat="1" ht="16.5" thickBot="1" thickTop="1">
      <c r="A35" s="427"/>
      <c r="B35" s="436"/>
      <c r="C35" s="509"/>
      <c r="D35" s="509"/>
      <c r="E35" s="509"/>
      <c r="F35" s="510"/>
      <c r="G35" s="510"/>
      <c r="H35" s="511"/>
      <c r="I35" s="512" t="e">
        <f t="shared" si="0"/>
        <v>#VALUE!</v>
      </c>
      <c r="J35" s="513"/>
      <c r="K35" s="513"/>
      <c r="L35" s="514">
        <f t="shared" si="1"/>
      </c>
      <c r="M35" s="515">
        <f t="shared" si="2"/>
      </c>
      <c r="N35" s="516"/>
      <c r="O35" s="517">
        <f t="shared" si="3"/>
      </c>
      <c r="P35" s="518" t="str">
        <f t="shared" si="4"/>
        <v>--</v>
      </c>
      <c r="Q35" s="519" t="str">
        <f t="shared" si="5"/>
        <v>--</v>
      </c>
      <c r="R35" s="520" t="str">
        <f t="shared" si="6"/>
        <v>--</v>
      </c>
      <c r="S35" s="521" t="str">
        <f t="shared" si="7"/>
        <v>--</v>
      </c>
      <c r="T35" s="522" t="str">
        <f t="shared" si="8"/>
        <v>--</v>
      </c>
      <c r="U35" s="523" t="str">
        <f t="shared" si="9"/>
        <v>--</v>
      </c>
      <c r="V35" s="524" t="str">
        <f t="shared" si="10"/>
        <v>--</v>
      </c>
      <c r="W35" s="525" t="str">
        <f t="shared" si="11"/>
        <v>--</v>
      </c>
      <c r="X35" s="526" t="str">
        <f t="shared" si="12"/>
        <v>--</v>
      </c>
      <c r="Y35" s="527" t="str">
        <f t="shared" si="13"/>
        <v>--</v>
      </c>
      <c r="Z35" s="528">
        <f t="shared" si="14"/>
      </c>
      <c r="AA35" s="529">
        <f t="shared" si="15"/>
      </c>
      <c r="AB35" s="438"/>
    </row>
    <row r="36" spans="1:28" s="423" customFormat="1" ht="16.5" thickBot="1" thickTop="1">
      <c r="A36" s="427"/>
      <c r="B36" s="436"/>
      <c r="C36" s="509"/>
      <c r="D36" s="509"/>
      <c r="E36" s="509"/>
      <c r="F36" s="510"/>
      <c r="G36" s="510"/>
      <c r="H36" s="511"/>
      <c r="I36" s="512" t="e">
        <f t="shared" si="0"/>
        <v>#VALUE!</v>
      </c>
      <c r="J36" s="513"/>
      <c r="K36" s="513"/>
      <c r="L36" s="514">
        <f t="shared" si="1"/>
      </c>
      <c r="M36" s="515">
        <f t="shared" si="2"/>
      </c>
      <c r="N36" s="516"/>
      <c r="O36" s="517">
        <f t="shared" si="3"/>
      </c>
      <c r="P36" s="518" t="str">
        <f t="shared" si="4"/>
        <v>--</v>
      </c>
      <c r="Q36" s="519" t="str">
        <f t="shared" si="5"/>
        <v>--</v>
      </c>
      <c r="R36" s="520" t="str">
        <f t="shared" si="6"/>
        <v>--</v>
      </c>
      <c r="S36" s="521" t="str">
        <f t="shared" si="7"/>
        <v>--</v>
      </c>
      <c r="T36" s="522" t="str">
        <f t="shared" si="8"/>
        <v>--</v>
      </c>
      <c r="U36" s="523" t="str">
        <f t="shared" si="9"/>
        <v>--</v>
      </c>
      <c r="V36" s="524" t="str">
        <f t="shared" si="10"/>
        <v>--</v>
      </c>
      <c r="W36" s="525" t="str">
        <f t="shared" si="11"/>
        <v>--</v>
      </c>
      <c r="X36" s="526" t="str">
        <f t="shared" si="12"/>
        <v>--</v>
      </c>
      <c r="Y36" s="527" t="str">
        <f t="shared" si="13"/>
        <v>--</v>
      </c>
      <c r="Z36" s="528">
        <f t="shared" si="14"/>
      </c>
      <c r="AA36" s="529">
        <f t="shared" si="15"/>
      </c>
      <c r="AB36" s="438"/>
    </row>
    <row r="37" spans="1:28" s="423" customFormat="1" ht="16.5" thickBot="1" thickTop="1">
      <c r="A37" s="427"/>
      <c r="B37" s="530"/>
      <c r="C37" s="509"/>
      <c r="D37" s="509"/>
      <c r="E37" s="509"/>
      <c r="F37" s="510"/>
      <c r="G37" s="510"/>
      <c r="H37" s="511"/>
      <c r="I37" s="512" t="e">
        <f t="shared" si="0"/>
        <v>#VALUE!</v>
      </c>
      <c r="J37" s="513"/>
      <c r="K37" s="513"/>
      <c r="L37" s="514">
        <f t="shared" si="1"/>
      </c>
      <c r="M37" s="515">
        <f t="shared" si="2"/>
      </c>
      <c r="N37" s="516"/>
      <c r="O37" s="517">
        <f t="shared" si="3"/>
      </c>
      <c r="P37" s="518" t="str">
        <f t="shared" si="4"/>
        <v>--</v>
      </c>
      <c r="Q37" s="519" t="str">
        <f t="shared" si="5"/>
        <v>--</v>
      </c>
      <c r="R37" s="520" t="str">
        <f t="shared" si="6"/>
        <v>--</v>
      </c>
      <c r="S37" s="521" t="str">
        <f t="shared" si="7"/>
        <v>--</v>
      </c>
      <c r="T37" s="522" t="str">
        <f t="shared" si="8"/>
        <v>--</v>
      </c>
      <c r="U37" s="523" t="str">
        <f t="shared" si="9"/>
        <v>--</v>
      </c>
      <c r="V37" s="524" t="str">
        <f t="shared" si="10"/>
        <v>--</v>
      </c>
      <c r="W37" s="525" t="str">
        <f t="shared" si="11"/>
        <v>--</v>
      </c>
      <c r="X37" s="526" t="str">
        <f t="shared" si="12"/>
        <v>--</v>
      </c>
      <c r="Y37" s="527" t="str">
        <f t="shared" si="13"/>
        <v>--</v>
      </c>
      <c r="Z37" s="528">
        <f t="shared" si="14"/>
      </c>
      <c r="AA37" s="529">
        <f t="shared" si="15"/>
      </c>
      <c r="AB37" s="438"/>
    </row>
    <row r="38" spans="1:28" s="423" customFormat="1" ht="16.5" thickBot="1" thickTop="1">
      <c r="A38" s="427"/>
      <c r="B38" s="436"/>
      <c r="C38" s="509"/>
      <c r="D38" s="509"/>
      <c r="E38" s="509"/>
      <c r="F38" s="510"/>
      <c r="G38" s="510"/>
      <c r="H38" s="511"/>
      <c r="I38" s="512" t="e">
        <f t="shared" si="0"/>
        <v>#VALUE!</v>
      </c>
      <c r="J38" s="513"/>
      <c r="K38" s="513"/>
      <c r="L38" s="514">
        <f t="shared" si="1"/>
      </c>
      <c r="M38" s="515">
        <f t="shared" si="2"/>
      </c>
      <c r="N38" s="516"/>
      <c r="O38" s="517">
        <f t="shared" si="3"/>
      </c>
      <c r="P38" s="518" t="str">
        <f t="shared" si="4"/>
        <v>--</v>
      </c>
      <c r="Q38" s="519" t="str">
        <f t="shared" si="5"/>
        <v>--</v>
      </c>
      <c r="R38" s="520" t="str">
        <f t="shared" si="6"/>
        <v>--</v>
      </c>
      <c r="S38" s="521" t="str">
        <f t="shared" si="7"/>
        <v>--</v>
      </c>
      <c r="T38" s="522" t="str">
        <f t="shared" si="8"/>
        <v>--</v>
      </c>
      <c r="U38" s="523" t="str">
        <f t="shared" si="9"/>
        <v>--</v>
      </c>
      <c r="V38" s="524" t="str">
        <f t="shared" si="10"/>
        <v>--</v>
      </c>
      <c r="W38" s="525" t="str">
        <f t="shared" si="11"/>
        <v>--</v>
      </c>
      <c r="X38" s="526" t="str">
        <f t="shared" si="12"/>
        <v>--</v>
      </c>
      <c r="Y38" s="527" t="str">
        <f t="shared" si="13"/>
        <v>--</v>
      </c>
      <c r="Z38" s="528">
        <f t="shared" si="14"/>
      </c>
      <c r="AA38" s="529">
        <f t="shared" si="15"/>
      </c>
      <c r="AB38" s="438"/>
    </row>
    <row r="39" spans="1:28" s="423" customFormat="1" ht="16.5" thickBot="1" thickTop="1">
      <c r="A39" s="427"/>
      <c r="B39" s="436"/>
      <c r="C39" s="509"/>
      <c r="D39" s="509"/>
      <c r="E39" s="509"/>
      <c r="F39" s="510"/>
      <c r="G39" s="510"/>
      <c r="H39" s="511"/>
      <c r="I39" s="512" t="e">
        <f t="shared" si="0"/>
        <v>#VALUE!</v>
      </c>
      <c r="J39" s="513"/>
      <c r="K39" s="513"/>
      <c r="L39" s="514">
        <f t="shared" si="1"/>
      </c>
      <c r="M39" s="515">
        <f t="shared" si="2"/>
      </c>
      <c r="N39" s="516"/>
      <c r="O39" s="517">
        <f t="shared" si="3"/>
      </c>
      <c r="P39" s="518" t="str">
        <f t="shared" si="4"/>
        <v>--</v>
      </c>
      <c r="Q39" s="519" t="str">
        <f t="shared" si="5"/>
        <v>--</v>
      </c>
      <c r="R39" s="520" t="str">
        <f t="shared" si="6"/>
        <v>--</v>
      </c>
      <c r="S39" s="521" t="str">
        <f t="shared" si="7"/>
        <v>--</v>
      </c>
      <c r="T39" s="522" t="str">
        <f t="shared" si="8"/>
        <v>--</v>
      </c>
      <c r="U39" s="523" t="str">
        <f t="shared" si="9"/>
        <v>--</v>
      </c>
      <c r="V39" s="524" t="str">
        <f t="shared" si="10"/>
        <v>--</v>
      </c>
      <c r="W39" s="525" t="str">
        <f t="shared" si="11"/>
        <v>--</v>
      </c>
      <c r="X39" s="526" t="str">
        <f t="shared" si="12"/>
        <v>--</v>
      </c>
      <c r="Y39" s="527" t="str">
        <f t="shared" si="13"/>
        <v>--</v>
      </c>
      <c r="Z39" s="528">
        <f t="shared" si="14"/>
      </c>
      <c r="AA39" s="529">
        <f t="shared" si="15"/>
      </c>
      <c r="AB39" s="438"/>
    </row>
    <row r="40" spans="2:28" s="423" customFormat="1" ht="16.5" thickBot="1" thickTop="1">
      <c r="B40" s="531"/>
      <c r="C40" s="509"/>
      <c r="D40" s="509"/>
      <c r="E40" s="509"/>
      <c r="F40" s="510"/>
      <c r="G40" s="510"/>
      <c r="H40" s="511"/>
      <c r="I40" s="512" t="e">
        <f t="shared" si="0"/>
        <v>#VALUE!</v>
      </c>
      <c r="J40" s="513"/>
      <c r="K40" s="513"/>
      <c r="L40" s="514">
        <f t="shared" si="1"/>
      </c>
      <c r="M40" s="515">
        <f t="shared" si="2"/>
      </c>
      <c r="N40" s="516"/>
      <c r="O40" s="517">
        <f t="shared" si="3"/>
      </c>
      <c r="P40" s="518" t="str">
        <f t="shared" si="4"/>
        <v>--</v>
      </c>
      <c r="Q40" s="519" t="str">
        <f t="shared" si="5"/>
        <v>--</v>
      </c>
      <c r="R40" s="520" t="str">
        <f t="shared" si="6"/>
        <v>--</v>
      </c>
      <c r="S40" s="521" t="str">
        <f t="shared" si="7"/>
        <v>--</v>
      </c>
      <c r="T40" s="522" t="str">
        <f t="shared" si="8"/>
        <v>--</v>
      </c>
      <c r="U40" s="523" t="str">
        <f t="shared" si="9"/>
        <v>--</v>
      </c>
      <c r="V40" s="524" t="str">
        <f t="shared" si="10"/>
        <v>--</v>
      </c>
      <c r="W40" s="525" t="str">
        <f t="shared" si="11"/>
        <v>--</v>
      </c>
      <c r="X40" s="526" t="str">
        <f t="shared" si="12"/>
        <v>--</v>
      </c>
      <c r="Y40" s="527" t="str">
        <f t="shared" si="13"/>
        <v>--</v>
      </c>
      <c r="Z40" s="528">
        <f t="shared" si="14"/>
      </c>
      <c r="AA40" s="529">
        <f t="shared" si="15"/>
      </c>
      <c r="AB40" s="438"/>
    </row>
    <row r="41" spans="2:28" s="423" customFormat="1" ht="16.5" thickBot="1" thickTop="1">
      <c r="B41" s="531"/>
      <c r="C41" s="509"/>
      <c r="D41" s="509"/>
      <c r="E41" s="509"/>
      <c r="F41" s="510"/>
      <c r="G41" s="510"/>
      <c r="H41" s="511"/>
      <c r="I41" s="512" t="e">
        <f t="shared" si="0"/>
        <v>#VALUE!</v>
      </c>
      <c r="J41" s="513"/>
      <c r="K41" s="513"/>
      <c r="L41" s="514">
        <f t="shared" si="1"/>
      </c>
      <c r="M41" s="515">
        <f t="shared" si="2"/>
      </c>
      <c r="N41" s="516"/>
      <c r="O41" s="517">
        <f t="shared" si="3"/>
      </c>
      <c r="P41" s="518" t="str">
        <f t="shared" si="4"/>
        <v>--</v>
      </c>
      <c r="Q41" s="519" t="str">
        <f t="shared" si="5"/>
        <v>--</v>
      </c>
      <c r="R41" s="520" t="str">
        <f t="shared" si="6"/>
        <v>--</v>
      </c>
      <c r="S41" s="521" t="str">
        <f t="shared" si="7"/>
        <v>--</v>
      </c>
      <c r="T41" s="522" t="str">
        <f t="shared" si="8"/>
        <v>--</v>
      </c>
      <c r="U41" s="523" t="str">
        <f t="shared" si="9"/>
        <v>--</v>
      </c>
      <c r="V41" s="524" t="str">
        <f t="shared" si="10"/>
        <v>--</v>
      </c>
      <c r="W41" s="525" t="str">
        <f t="shared" si="11"/>
        <v>--</v>
      </c>
      <c r="X41" s="526" t="str">
        <f t="shared" si="12"/>
        <v>--</v>
      </c>
      <c r="Y41" s="527" t="str">
        <f t="shared" si="13"/>
        <v>--</v>
      </c>
      <c r="Z41" s="528">
        <f t="shared" si="14"/>
      </c>
      <c r="AA41" s="529">
        <f t="shared" si="15"/>
      </c>
      <c r="AB41" s="438"/>
    </row>
    <row r="42" spans="2:28" s="423" customFormat="1" ht="16.5" thickBot="1" thickTop="1">
      <c r="B42" s="531"/>
      <c r="C42" s="509"/>
      <c r="D42" s="509"/>
      <c r="E42" s="509"/>
      <c r="F42" s="510"/>
      <c r="G42" s="510"/>
      <c r="H42" s="511"/>
      <c r="I42" s="512" t="e">
        <f t="shared" si="0"/>
        <v>#VALUE!</v>
      </c>
      <c r="J42" s="513"/>
      <c r="K42" s="513"/>
      <c r="L42" s="514">
        <f t="shared" si="1"/>
      </c>
      <c r="M42" s="515">
        <f t="shared" si="2"/>
      </c>
      <c r="N42" s="516"/>
      <c r="O42" s="517">
        <f t="shared" si="3"/>
      </c>
      <c r="P42" s="518" t="str">
        <f t="shared" si="4"/>
        <v>--</v>
      </c>
      <c r="Q42" s="519" t="str">
        <f t="shared" si="5"/>
        <v>--</v>
      </c>
      <c r="R42" s="520" t="str">
        <f t="shared" si="6"/>
        <v>--</v>
      </c>
      <c r="S42" s="521" t="str">
        <f t="shared" si="7"/>
        <v>--</v>
      </c>
      <c r="T42" s="522" t="str">
        <f t="shared" si="8"/>
        <v>--</v>
      </c>
      <c r="U42" s="523" t="str">
        <f t="shared" si="9"/>
        <v>--</v>
      </c>
      <c r="V42" s="524" t="str">
        <f t="shared" si="10"/>
        <v>--</v>
      </c>
      <c r="W42" s="525" t="str">
        <f t="shared" si="11"/>
        <v>--</v>
      </c>
      <c r="X42" s="526" t="str">
        <f t="shared" si="12"/>
        <v>--</v>
      </c>
      <c r="Y42" s="527" t="str">
        <f t="shared" si="13"/>
        <v>--</v>
      </c>
      <c r="Z42" s="528">
        <f t="shared" si="14"/>
      </c>
      <c r="AA42" s="529">
        <f t="shared" si="15"/>
      </c>
      <c r="AB42" s="438"/>
    </row>
    <row r="43" spans="1:28" s="423" customFormat="1" ht="16.5" thickBot="1" thickTop="1">
      <c r="A43" s="427"/>
      <c r="B43" s="436"/>
      <c r="C43" s="532"/>
      <c r="D43" s="532"/>
      <c r="E43" s="532"/>
      <c r="F43" s="533"/>
      <c r="G43" s="534"/>
      <c r="H43" s="535"/>
      <c r="I43" s="536"/>
      <c r="J43" s="537"/>
      <c r="K43" s="537"/>
      <c r="L43" s="537"/>
      <c r="M43" s="537"/>
      <c r="N43" s="535"/>
      <c r="O43" s="538"/>
      <c r="P43" s="539"/>
      <c r="Q43" s="540"/>
      <c r="R43" s="541"/>
      <c r="S43" s="542"/>
      <c r="T43" s="543"/>
      <c r="U43" s="544"/>
      <c r="V43" s="545"/>
      <c r="W43" s="546"/>
      <c r="X43" s="547"/>
      <c r="Y43" s="548"/>
      <c r="Z43" s="549"/>
      <c r="AA43" s="550"/>
      <c r="AB43" s="438"/>
    </row>
    <row r="44" spans="1:28" s="423" customFormat="1" ht="17.25" thickBot="1" thickTop="1">
      <c r="A44" s="427"/>
      <c r="B44" s="436"/>
      <c r="C44" s="551" t="s">
        <v>173</v>
      </c>
      <c r="D44" s="552" t="s">
        <v>174</v>
      </c>
      <c r="E44" s="553"/>
      <c r="F44" s="554"/>
      <c r="G44" s="555"/>
      <c r="H44" s="556"/>
      <c r="I44" s="557"/>
      <c r="J44" s="557"/>
      <c r="K44" s="557"/>
      <c r="L44" s="557"/>
      <c r="M44" s="557"/>
      <c r="N44" s="557"/>
      <c r="O44" s="558"/>
      <c r="P44" s="539">
        <f aca="true" t="shared" si="16" ref="P44:Y44">SUM(P21:P43)</f>
        <v>295.087613175</v>
      </c>
      <c r="Q44" s="559">
        <f t="shared" si="16"/>
        <v>0</v>
      </c>
      <c r="R44" s="560">
        <f t="shared" si="16"/>
        <v>0</v>
      </c>
      <c r="S44" s="560">
        <f t="shared" si="16"/>
        <v>0</v>
      </c>
      <c r="T44" s="560">
        <f t="shared" si="16"/>
        <v>0</v>
      </c>
      <c r="U44" s="561">
        <f t="shared" si="16"/>
        <v>0</v>
      </c>
      <c r="V44" s="561">
        <f t="shared" si="16"/>
        <v>0</v>
      </c>
      <c r="W44" s="561">
        <f t="shared" si="16"/>
        <v>0</v>
      </c>
      <c r="X44" s="562">
        <f t="shared" si="16"/>
        <v>0</v>
      </c>
      <c r="Y44" s="563">
        <f t="shared" si="16"/>
        <v>0</v>
      </c>
      <c r="Z44" s="564"/>
      <c r="AA44" s="565">
        <f>ROUND(SUM(AA21:AA43),2)</f>
        <v>295.09</v>
      </c>
      <c r="AB44" s="566"/>
    </row>
    <row r="45" spans="1:28" s="579" customFormat="1" ht="9.75" thickTop="1">
      <c r="A45" s="567"/>
      <c r="B45" s="568"/>
      <c r="C45" s="553"/>
      <c r="D45" s="553"/>
      <c r="E45" s="553"/>
      <c r="F45" s="569"/>
      <c r="G45" s="570"/>
      <c r="H45" s="571"/>
      <c r="I45" s="572"/>
      <c r="J45" s="572"/>
      <c r="K45" s="572"/>
      <c r="L45" s="572"/>
      <c r="M45" s="572"/>
      <c r="N45" s="572"/>
      <c r="O45" s="573"/>
      <c r="P45" s="574"/>
      <c r="Q45" s="574"/>
      <c r="R45" s="575"/>
      <c r="S45" s="575"/>
      <c r="T45" s="576"/>
      <c r="U45" s="576"/>
      <c r="V45" s="576"/>
      <c r="W45" s="576"/>
      <c r="X45" s="576"/>
      <c r="Y45" s="576"/>
      <c r="Z45" s="576"/>
      <c r="AA45" s="577"/>
      <c r="AB45" s="578"/>
    </row>
    <row r="46" spans="1:28" s="423" customFormat="1" ht="13.5" thickBot="1">
      <c r="A46" s="427"/>
      <c r="B46" s="580"/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581"/>
      <c r="Y46" s="581"/>
      <c r="Z46" s="581"/>
      <c r="AA46" s="581"/>
      <c r="AB46" s="582"/>
    </row>
    <row r="47" spans="1:28" ht="13.5" thickTop="1">
      <c r="A47" s="583"/>
      <c r="B47" s="583"/>
      <c r="AB47" s="583"/>
    </row>
    <row r="92" spans="1:2" ht="12.75">
      <c r="A92" s="583"/>
      <c r="B92" s="58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5"/>
  <sheetViews>
    <sheetView zoomScale="70" zoomScaleNormal="70" zoomScalePageLayoutView="0" workbookViewId="0" topLeftCell="A1">
      <selection activeCell="AC22" sqref="AC22:AC28"/>
    </sheetView>
  </sheetViews>
  <sheetFormatPr defaultColWidth="11.421875" defaultRowHeight="12.75"/>
  <cols>
    <col min="1" max="1" width="19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9.281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395"/>
    </row>
    <row r="2" spans="2:30" s="6" customFormat="1" ht="26.25">
      <c r="B2" s="67" t="str">
        <f>+'TOT-0314'!B2</f>
        <v>ANEXO IV al Memorandum D.T.E.E. N° 798 / 2014</v>
      </c>
      <c r="C2" s="202"/>
      <c r="D2" s="202"/>
      <c r="E2" s="202"/>
      <c r="F2" s="202"/>
      <c r="G2" s="9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2:30" s="10" customFormat="1" ht="12" customHeight="1">
      <c r="B3" s="68"/>
      <c r="C3" s="203"/>
      <c r="D3" s="203"/>
      <c r="E3" s="203"/>
      <c r="F3" s="203"/>
      <c r="G3" s="1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30" s="13" customFormat="1" ht="11.25">
      <c r="A4" s="204" t="s">
        <v>3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13" customFormat="1" ht="11.25">
      <c r="A5" s="204" t="s">
        <v>4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2:30" s="10" customFormat="1" ht="16.5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2:30" s="10" customFormat="1" ht="16.5" customHeight="1" thickTop="1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</row>
    <row r="8" spans="2:30" s="73" customFormat="1" ht="20.25">
      <c r="B8" s="211"/>
      <c r="C8" s="212"/>
      <c r="D8" s="212"/>
      <c r="E8" s="212"/>
      <c r="F8" s="213" t="s">
        <v>14</v>
      </c>
      <c r="H8" s="212"/>
      <c r="I8" s="214"/>
      <c r="J8" s="214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5"/>
    </row>
    <row r="9" spans="2:30" s="10" customFormat="1" ht="16.5" customHeight="1">
      <c r="B9" s="216"/>
      <c r="C9" s="63"/>
      <c r="D9" s="63"/>
      <c r="E9" s="63"/>
      <c r="F9" s="63"/>
      <c r="G9" s="63"/>
      <c r="H9" s="63"/>
      <c r="I9" s="207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217"/>
    </row>
    <row r="10" spans="2:30" s="73" customFormat="1" ht="20.25">
      <c r="B10" s="211"/>
      <c r="C10" s="212"/>
      <c r="D10" s="212"/>
      <c r="E10" s="212"/>
      <c r="F10" s="213" t="s">
        <v>37</v>
      </c>
      <c r="G10" s="212"/>
      <c r="H10" s="212"/>
      <c r="I10" s="214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5"/>
    </row>
    <row r="11" spans="2:30" s="10" customFormat="1" ht="16.5" customHeight="1">
      <c r="B11" s="216"/>
      <c r="C11" s="63"/>
      <c r="D11" s="63"/>
      <c r="E11" s="63"/>
      <c r="F11" s="218"/>
      <c r="G11" s="63"/>
      <c r="H11" s="63"/>
      <c r="I11" s="207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217"/>
    </row>
    <row r="12" spans="2:30" s="73" customFormat="1" ht="20.25">
      <c r="B12" s="211"/>
      <c r="C12" s="212"/>
      <c r="D12" s="212"/>
      <c r="E12" s="212"/>
      <c r="F12" s="219" t="s">
        <v>38</v>
      </c>
      <c r="G12" s="213"/>
      <c r="H12" s="214"/>
      <c r="I12" s="214"/>
      <c r="J12" s="220"/>
      <c r="K12" s="212"/>
      <c r="L12" s="214"/>
      <c r="M12" s="214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</row>
    <row r="13" spans="2:30" s="10" customFormat="1" ht="16.5" customHeight="1">
      <c r="B13" s="216"/>
      <c r="C13" s="63"/>
      <c r="D13" s="63"/>
      <c r="E13" s="63"/>
      <c r="F13" s="221"/>
      <c r="G13" s="221"/>
      <c r="H13" s="221"/>
      <c r="I13" s="222"/>
      <c r="J13" s="22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217"/>
    </row>
    <row r="14" spans="2:30" s="17" customFormat="1" ht="19.5">
      <c r="B14" s="224" t="str">
        <f>+'TOT-0314'!B14</f>
        <v>Desde el 01 al 31 de marzo de 2014</v>
      </c>
      <c r="C14" s="79"/>
      <c r="D14" s="79"/>
      <c r="E14" s="79"/>
      <c r="F14" s="225"/>
      <c r="G14" s="225"/>
      <c r="H14" s="225"/>
      <c r="I14" s="225"/>
      <c r="J14" s="225"/>
      <c r="K14" s="80"/>
      <c r="L14" s="80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6"/>
    </row>
    <row r="15" spans="2:30" s="10" customFormat="1" ht="16.5" customHeight="1" thickBot="1">
      <c r="B15" s="216"/>
      <c r="C15" s="63"/>
      <c r="D15" s="63"/>
      <c r="E15" s="63"/>
      <c r="F15" s="63"/>
      <c r="G15" s="63"/>
      <c r="H15" s="63"/>
      <c r="I15" s="227"/>
      <c r="J15" s="63"/>
      <c r="K15" s="228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17"/>
    </row>
    <row r="16" spans="2:30" s="10" customFormat="1" ht="16.5" customHeight="1" thickBot="1" thickTop="1">
      <c r="B16" s="216"/>
      <c r="C16" s="63"/>
      <c r="D16" s="63"/>
      <c r="E16" s="63"/>
      <c r="F16" s="229" t="s">
        <v>39</v>
      </c>
      <c r="G16" s="230"/>
      <c r="H16" s="231"/>
      <c r="I16" s="232">
        <v>1.38</v>
      </c>
      <c r="J16" s="207"/>
      <c r="K16" s="232">
        <v>0.1795</v>
      </c>
      <c r="L16" s="63" t="s">
        <v>176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17"/>
    </row>
    <row r="17" spans="2:30" s="10" customFormat="1" ht="16.5" customHeight="1" thickBot="1" thickTop="1">
      <c r="B17" s="216"/>
      <c r="C17" s="63"/>
      <c r="D17" s="63"/>
      <c r="E17" s="63"/>
      <c r="F17" s="233" t="s">
        <v>40</v>
      </c>
      <c r="G17" s="234"/>
      <c r="H17" s="234"/>
      <c r="I17" s="235">
        <f>30*'TOT-0314'!B13</f>
        <v>30</v>
      </c>
      <c r="J17" s="236" t="str">
        <f>IF(I17=30," ",IF(I17=60,"     Coeficiente duplicado por tasa de falla &gt;4 Sal. x año/100 km.","    REVISAR COEFICIENTE"))</f>
        <v> </v>
      </c>
      <c r="K17" s="236" t="str">
        <f>IF(I17=30," ",IF(I17=60,"    Coeficiente duplicado por tasa de falla &gt;4 Sal. x año/100 km.","    REVISAR COEFICIENTE"))</f>
        <v> 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237"/>
      <c r="X17" s="63"/>
      <c r="Y17" s="237"/>
      <c r="Z17" s="237"/>
      <c r="AA17" s="237"/>
      <c r="AB17" s="237"/>
      <c r="AC17" s="237"/>
      <c r="AD17" s="217"/>
    </row>
    <row r="18" spans="2:30" s="10" customFormat="1" ht="16.5" customHeight="1" thickBot="1" thickTop="1">
      <c r="B18" s="216"/>
      <c r="C18" s="63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217"/>
    </row>
    <row r="19" spans="2:30" s="238" customFormat="1" ht="34.5" customHeight="1" thickBot="1" thickTop="1">
      <c r="B19" s="239"/>
      <c r="C19" s="399" t="s">
        <v>20</v>
      </c>
      <c r="D19" s="399" t="s">
        <v>74</v>
      </c>
      <c r="E19" s="399" t="s">
        <v>75</v>
      </c>
      <c r="F19" s="240" t="s">
        <v>41</v>
      </c>
      <c r="G19" s="241" t="s">
        <v>42</v>
      </c>
      <c r="H19" s="242" t="s">
        <v>43</v>
      </c>
      <c r="I19" s="243" t="s">
        <v>21</v>
      </c>
      <c r="J19" s="244" t="s">
        <v>23</v>
      </c>
      <c r="K19" s="241" t="s">
        <v>24</v>
      </c>
      <c r="L19" s="241" t="s">
        <v>25</v>
      </c>
      <c r="M19" s="240" t="s">
        <v>44</v>
      </c>
      <c r="N19" s="240" t="s">
        <v>45</v>
      </c>
      <c r="O19" s="98" t="s">
        <v>72</v>
      </c>
      <c r="P19" s="241" t="s">
        <v>46</v>
      </c>
      <c r="Q19" s="240" t="s">
        <v>28</v>
      </c>
      <c r="R19" s="241" t="s">
        <v>47</v>
      </c>
      <c r="S19" s="245" t="s">
        <v>48</v>
      </c>
      <c r="T19" s="246" t="s">
        <v>29</v>
      </c>
      <c r="U19" s="247" t="s">
        <v>30</v>
      </c>
      <c r="V19" s="248" t="s">
        <v>49</v>
      </c>
      <c r="W19" s="249"/>
      <c r="X19" s="250" t="s">
        <v>50</v>
      </c>
      <c r="Y19" s="251"/>
      <c r="Z19" s="252" t="s">
        <v>33</v>
      </c>
      <c r="AA19" s="253" t="s">
        <v>34</v>
      </c>
      <c r="AB19" s="243" t="s">
        <v>51</v>
      </c>
      <c r="AC19" s="243" t="s">
        <v>36</v>
      </c>
      <c r="AD19" s="254"/>
    </row>
    <row r="20" spans="2:30" s="10" customFormat="1" ht="16.5" customHeight="1" thickTop="1">
      <c r="B20" s="216"/>
      <c r="C20" s="255"/>
      <c r="D20" s="255"/>
      <c r="E20" s="255"/>
      <c r="F20" s="256"/>
      <c r="G20" s="257"/>
      <c r="H20" s="257"/>
      <c r="I20" s="257"/>
      <c r="J20" s="258"/>
      <c r="K20" s="256"/>
      <c r="L20" s="257"/>
      <c r="M20" s="259"/>
      <c r="N20" s="259"/>
      <c r="O20" s="257"/>
      <c r="P20" s="257"/>
      <c r="Q20" s="257"/>
      <c r="R20" s="257"/>
      <c r="S20" s="122"/>
      <c r="T20" s="120"/>
      <c r="U20" s="260"/>
      <c r="V20" s="261"/>
      <c r="W20" s="262"/>
      <c r="X20" s="263"/>
      <c r="Y20" s="264"/>
      <c r="Z20" s="265"/>
      <c r="AA20" s="266"/>
      <c r="AB20" s="257"/>
      <c r="AC20" s="267"/>
      <c r="AD20" s="217"/>
    </row>
    <row r="21" spans="2:30" s="10" customFormat="1" ht="16.5" customHeight="1">
      <c r="B21" s="216"/>
      <c r="C21" s="268"/>
      <c r="D21" s="268"/>
      <c r="E21" s="268"/>
      <c r="F21" s="269"/>
      <c r="G21" s="269"/>
      <c r="H21" s="269"/>
      <c r="I21" s="269"/>
      <c r="J21" s="270"/>
      <c r="K21" s="271"/>
      <c r="L21" s="269"/>
      <c r="M21" s="272"/>
      <c r="N21" s="272"/>
      <c r="O21" s="269"/>
      <c r="P21" s="269"/>
      <c r="Q21" s="269"/>
      <c r="R21" s="269"/>
      <c r="S21" s="135"/>
      <c r="T21" s="133"/>
      <c r="U21" s="273"/>
      <c r="V21" s="274"/>
      <c r="W21" s="275"/>
      <c r="X21" s="276"/>
      <c r="Y21" s="277"/>
      <c r="Z21" s="278"/>
      <c r="AA21" s="279"/>
      <c r="AB21" s="269"/>
      <c r="AC21" s="280"/>
      <c r="AD21" s="217"/>
    </row>
    <row r="22" spans="2:30" s="10" customFormat="1" ht="16.5" customHeight="1">
      <c r="B22" s="216"/>
      <c r="C22" s="268">
        <v>12</v>
      </c>
      <c r="D22" s="268">
        <v>272758</v>
      </c>
      <c r="E22" s="268">
        <v>862</v>
      </c>
      <c r="F22" s="125" t="s">
        <v>140</v>
      </c>
      <c r="G22" s="127" t="s">
        <v>177</v>
      </c>
      <c r="H22" s="281">
        <v>60</v>
      </c>
      <c r="I22" s="137" t="s">
        <v>141</v>
      </c>
      <c r="J22" s="283">
        <f aca="true" t="shared" si="0" ref="J22:J40">H22*$I$16</f>
        <v>82.8</v>
      </c>
      <c r="K22" s="284">
        <v>41705.38125</v>
      </c>
      <c r="L22" s="284">
        <v>41705.683333333334</v>
      </c>
      <c r="M22" s="285">
        <f aca="true" t="shared" si="1" ref="M22:M40">IF(F22="","",(L22-K22)*24)</f>
        <v>7.250000000058208</v>
      </c>
      <c r="N22" s="286">
        <f aca="true" t="shared" si="2" ref="N22:N40">IF(F22="","",ROUND((L22-K22)*24*60,0))</f>
        <v>435</v>
      </c>
      <c r="O22" s="287" t="s">
        <v>135</v>
      </c>
      <c r="P22" s="288" t="str">
        <f aca="true" t="shared" si="3" ref="P22:P40">IF(F22="","",IF(OR(O22="P",O22="RP"),"--","NO"))</f>
        <v>--</v>
      </c>
      <c r="Q22" s="287" t="s">
        <v>132</v>
      </c>
      <c r="R22" s="287" t="str">
        <f aca="true" t="shared" si="4" ref="R22:R40">IF(F22="","","NO")</f>
        <v>NO</v>
      </c>
      <c r="S22" s="151">
        <f aca="true" t="shared" si="5" ref="S22:S40">$I$17*IF(OR(O22="P",O22="RP"),0.1,1)*IF(R22="SI",1,0.1)</f>
        <v>0.30000000000000004</v>
      </c>
      <c r="T22" s="289">
        <f aca="true" t="shared" si="6" ref="T22:T40">IF(O22="P",J22*S22*ROUND(N22/60,2),"--")</f>
        <v>180.09000000000003</v>
      </c>
      <c r="U22" s="290" t="str">
        <f aca="true" t="shared" si="7" ref="U22:U40">IF(O22="RP",J22*S22*ROUND(N22/60,2)*Q22/100,"--")</f>
        <v>--</v>
      </c>
      <c r="V22" s="291" t="str">
        <f aca="true" t="shared" si="8" ref="V22:V40">IF(AND(O22="F",P22="NO"),J22*S22,"--")</f>
        <v>--</v>
      </c>
      <c r="W22" s="292" t="str">
        <f aca="true" t="shared" si="9" ref="W22:W40">IF(O22="F",J22*S22*ROUND(N22/60,2),"--")</f>
        <v>--</v>
      </c>
      <c r="X22" s="293" t="str">
        <f aca="true" t="shared" si="10" ref="X22:X40">IF(AND(O22="R",P22="NO"),J22*S22*Q22/100,"--")</f>
        <v>--</v>
      </c>
      <c r="Y22" s="294" t="str">
        <f aca="true" t="shared" si="11" ref="Y22:Y40">IF(O22="R",J22*S22*ROUND(N22/60,2)*Q22/100,"--")</f>
        <v>--</v>
      </c>
      <c r="Z22" s="295" t="str">
        <f aca="true" t="shared" si="12" ref="Z22:Z40">IF(O22="RF",J22*S22*ROUND(N22/60,2),"--")</f>
        <v>--</v>
      </c>
      <c r="AA22" s="296" t="str">
        <f aca="true" t="shared" si="13" ref="AA22:AA40">IF(O22="RR",J22*S22*ROUND(N22/60,2)*Q22/100,"--")</f>
        <v>--</v>
      </c>
      <c r="AB22" s="287" t="s">
        <v>139</v>
      </c>
      <c r="AC22" s="297">
        <f aca="true" t="shared" si="14" ref="AC22:AC40">IF(F22="","",SUM(T22:AA22)*IF(AB22="SI",1,2))</f>
        <v>180.09000000000003</v>
      </c>
      <c r="AD22" s="298"/>
    </row>
    <row r="23" spans="2:30" s="10" customFormat="1" ht="16.5" customHeight="1">
      <c r="B23" s="216"/>
      <c r="C23" s="268">
        <v>13</v>
      </c>
      <c r="D23" s="268">
        <v>272759</v>
      </c>
      <c r="E23" s="268">
        <v>1015</v>
      </c>
      <c r="F23" s="125" t="s">
        <v>142</v>
      </c>
      <c r="G23" s="127" t="s">
        <v>144</v>
      </c>
      <c r="H23" s="281">
        <v>150</v>
      </c>
      <c r="I23" s="586" t="s">
        <v>145</v>
      </c>
      <c r="J23" s="283">
        <f t="shared" si="0"/>
        <v>206.99999999999997</v>
      </c>
      <c r="K23" s="284">
        <v>41706.76527777778</v>
      </c>
      <c r="L23" s="284">
        <v>41706.788194444445</v>
      </c>
      <c r="M23" s="285">
        <f t="shared" si="1"/>
        <v>0.5500000000465661</v>
      </c>
      <c r="N23" s="286">
        <f t="shared" si="2"/>
        <v>33</v>
      </c>
      <c r="O23" s="287" t="s">
        <v>131</v>
      </c>
      <c r="P23" s="288" t="str">
        <f t="shared" si="3"/>
        <v>NO</v>
      </c>
      <c r="Q23" s="287" t="s">
        <v>132</v>
      </c>
      <c r="R23" s="287" t="s">
        <v>139</v>
      </c>
      <c r="S23" s="151">
        <f t="shared" si="5"/>
        <v>30</v>
      </c>
      <c r="T23" s="289" t="str">
        <f t="shared" si="6"/>
        <v>--</v>
      </c>
      <c r="U23" s="290" t="str">
        <f t="shared" si="7"/>
        <v>--</v>
      </c>
      <c r="V23" s="291">
        <f t="shared" si="8"/>
        <v>6209.999999999999</v>
      </c>
      <c r="W23" s="292">
        <f t="shared" si="9"/>
        <v>3415.5</v>
      </c>
      <c r="X23" s="293" t="str">
        <f t="shared" si="10"/>
        <v>--</v>
      </c>
      <c r="Y23" s="294" t="str">
        <f t="shared" si="11"/>
        <v>--</v>
      </c>
      <c r="Z23" s="295" t="str">
        <f t="shared" si="12"/>
        <v>--</v>
      </c>
      <c r="AA23" s="296" t="str">
        <f t="shared" si="13"/>
        <v>--</v>
      </c>
      <c r="AB23" s="287" t="s">
        <v>139</v>
      </c>
      <c r="AC23" s="297">
        <f t="shared" si="14"/>
        <v>9625.5</v>
      </c>
      <c r="AD23" s="217"/>
    </row>
    <row r="24" spans="2:30" s="10" customFormat="1" ht="16.5" customHeight="1">
      <c r="B24" s="216"/>
      <c r="C24" s="268">
        <v>14</v>
      </c>
      <c r="D24" s="268">
        <v>272760</v>
      </c>
      <c r="E24" s="268">
        <v>3555</v>
      </c>
      <c r="F24" s="125" t="s">
        <v>142</v>
      </c>
      <c r="G24" s="127" t="s">
        <v>143</v>
      </c>
      <c r="H24" s="281">
        <v>150</v>
      </c>
      <c r="I24" s="137" t="s">
        <v>145</v>
      </c>
      <c r="J24" s="283">
        <f t="shared" si="0"/>
        <v>206.99999999999997</v>
      </c>
      <c r="K24" s="284">
        <v>41706.76527777778</v>
      </c>
      <c r="L24" s="284">
        <v>41706.788194444445</v>
      </c>
      <c r="M24" s="285">
        <f t="shared" si="1"/>
        <v>0.5500000000465661</v>
      </c>
      <c r="N24" s="286">
        <f t="shared" si="2"/>
        <v>33</v>
      </c>
      <c r="O24" s="287" t="s">
        <v>131</v>
      </c>
      <c r="P24" s="288" t="str">
        <f t="shared" si="3"/>
        <v>NO</v>
      </c>
      <c r="Q24" s="287" t="s">
        <v>132</v>
      </c>
      <c r="R24" s="287" t="s">
        <v>139</v>
      </c>
      <c r="S24" s="151">
        <f t="shared" si="5"/>
        <v>30</v>
      </c>
      <c r="T24" s="289" t="str">
        <f t="shared" si="6"/>
        <v>--</v>
      </c>
      <c r="U24" s="290" t="str">
        <f t="shared" si="7"/>
        <v>--</v>
      </c>
      <c r="V24" s="291">
        <f t="shared" si="8"/>
        <v>6209.999999999999</v>
      </c>
      <c r="W24" s="292">
        <f t="shared" si="9"/>
        <v>3415.5</v>
      </c>
      <c r="X24" s="293" t="str">
        <f t="shared" si="10"/>
        <v>--</v>
      </c>
      <c r="Y24" s="294" t="str">
        <f t="shared" si="11"/>
        <v>--</v>
      </c>
      <c r="Z24" s="295" t="str">
        <f t="shared" si="12"/>
        <v>--</v>
      </c>
      <c r="AA24" s="296" t="str">
        <f t="shared" si="13"/>
        <v>--</v>
      </c>
      <c r="AB24" s="287" t="s">
        <v>139</v>
      </c>
      <c r="AC24" s="297">
        <f t="shared" si="14"/>
        <v>9625.5</v>
      </c>
      <c r="AD24" s="217"/>
    </row>
    <row r="25" spans="2:30" s="10" customFormat="1" ht="16.5" customHeight="1">
      <c r="B25" s="216"/>
      <c r="C25" s="268">
        <v>15</v>
      </c>
      <c r="D25" s="268">
        <v>273014</v>
      </c>
      <c r="E25" s="268">
        <v>1015</v>
      </c>
      <c r="F25" s="125" t="s">
        <v>142</v>
      </c>
      <c r="G25" s="127" t="s">
        <v>144</v>
      </c>
      <c r="H25" s="281">
        <v>150</v>
      </c>
      <c r="I25" s="586" t="s">
        <v>145</v>
      </c>
      <c r="J25" s="283">
        <f t="shared" si="0"/>
        <v>206.99999999999997</v>
      </c>
      <c r="K25" s="284">
        <v>41706.78888888889</v>
      </c>
      <c r="L25" s="284">
        <v>41706.791666666664</v>
      </c>
      <c r="M25" s="285">
        <f t="shared" si="1"/>
        <v>0.0666666665347293</v>
      </c>
      <c r="N25" s="286">
        <f t="shared" si="2"/>
        <v>4</v>
      </c>
      <c r="O25" s="287" t="s">
        <v>131</v>
      </c>
      <c r="P25" s="288" t="str">
        <f t="shared" si="3"/>
        <v>NO</v>
      </c>
      <c r="Q25" s="287" t="s">
        <v>132</v>
      </c>
      <c r="R25" s="287" t="str">
        <f t="shared" si="4"/>
        <v>NO</v>
      </c>
      <c r="S25" s="151">
        <f t="shared" si="5"/>
        <v>3</v>
      </c>
      <c r="T25" s="289" t="str">
        <f t="shared" si="6"/>
        <v>--</v>
      </c>
      <c r="U25" s="290" t="str">
        <f t="shared" si="7"/>
        <v>--</v>
      </c>
      <c r="V25" s="291">
        <f t="shared" si="8"/>
        <v>620.9999999999999</v>
      </c>
      <c r="W25" s="292">
        <f t="shared" si="9"/>
        <v>43.47</v>
      </c>
      <c r="X25" s="293" t="str">
        <f t="shared" si="10"/>
        <v>--</v>
      </c>
      <c r="Y25" s="294" t="str">
        <f t="shared" si="11"/>
        <v>--</v>
      </c>
      <c r="Z25" s="295" t="str">
        <f t="shared" si="12"/>
        <v>--</v>
      </c>
      <c r="AA25" s="296" t="str">
        <f t="shared" si="13"/>
        <v>--</v>
      </c>
      <c r="AB25" s="287" t="s">
        <v>139</v>
      </c>
      <c r="AC25" s="297">
        <f t="shared" si="14"/>
        <v>664.4699999999999</v>
      </c>
      <c r="AD25" s="217"/>
    </row>
    <row r="26" spans="2:30" s="10" customFormat="1" ht="16.5" customHeight="1">
      <c r="B26" s="216"/>
      <c r="C26" s="268">
        <v>16</v>
      </c>
      <c r="D26" s="268">
        <v>273069</v>
      </c>
      <c r="E26" s="268">
        <v>3405</v>
      </c>
      <c r="F26" s="125" t="s">
        <v>146</v>
      </c>
      <c r="G26" s="127" t="s">
        <v>147</v>
      </c>
      <c r="H26" s="281">
        <v>40</v>
      </c>
      <c r="I26" s="137" t="s">
        <v>148</v>
      </c>
      <c r="J26" s="283">
        <f t="shared" si="0"/>
        <v>55.199999999999996</v>
      </c>
      <c r="K26" s="284">
        <v>41711.41111111111</v>
      </c>
      <c r="L26" s="284">
        <v>41711.4125</v>
      </c>
      <c r="M26" s="285">
        <f t="shared" si="1"/>
        <v>0.03333333326736465</v>
      </c>
      <c r="N26" s="286">
        <f t="shared" si="2"/>
        <v>2</v>
      </c>
      <c r="O26" s="287" t="s">
        <v>131</v>
      </c>
      <c r="P26" s="288" t="str">
        <f t="shared" si="3"/>
        <v>NO</v>
      </c>
      <c r="Q26" s="287" t="s">
        <v>132</v>
      </c>
      <c r="R26" s="287" t="s">
        <v>139</v>
      </c>
      <c r="S26" s="151">
        <f t="shared" si="5"/>
        <v>30</v>
      </c>
      <c r="T26" s="289" t="str">
        <f t="shared" si="6"/>
        <v>--</v>
      </c>
      <c r="U26" s="290" t="str">
        <f t="shared" si="7"/>
        <v>--</v>
      </c>
      <c r="V26" s="291">
        <f t="shared" si="8"/>
        <v>1655.9999999999998</v>
      </c>
      <c r="W26" s="292">
        <f t="shared" si="9"/>
        <v>49.67999999999999</v>
      </c>
      <c r="X26" s="293" t="str">
        <f t="shared" si="10"/>
        <v>--</v>
      </c>
      <c r="Y26" s="294" t="str">
        <f t="shared" si="11"/>
        <v>--</v>
      </c>
      <c r="Z26" s="295" t="str">
        <f t="shared" si="12"/>
        <v>--</v>
      </c>
      <c r="AA26" s="296" t="str">
        <f t="shared" si="13"/>
        <v>--</v>
      </c>
      <c r="AB26" s="287" t="s">
        <v>139</v>
      </c>
      <c r="AC26" s="297">
        <f t="shared" si="14"/>
        <v>1705.6799999999998</v>
      </c>
      <c r="AD26" s="217"/>
    </row>
    <row r="27" spans="2:30" s="10" customFormat="1" ht="16.5" customHeight="1">
      <c r="B27" s="216"/>
      <c r="C27" s="268">
        <v>17</v>
      </c>
      <c r="D27" s="268">
        <v>273254</v>
      </c>
      <c r="E27" s="268">
        <v>3405</v>
      </c>
      <c r="F27" s="125" t="s">
        <v>146</v>
      </c>
      <c r="G27" s="127" t="s">
        <v>147</v>
      </c>
      <c r="H27" s="281">
        <v>40</v>
      </c>
      <c r="I27" s="137" t="s">
        <v>148</v>
      </c>
      <c r="J27" s="283">
        <f t="shared" si="0"/>
        <v>55.199999999999996</v>
      </c>
      <c r="K27" s="284">
        <v>41711.413194444445</v>
      </c>
      <c r="L27" s="284">
        <v>41711.48819444444</v>
      </c>
      <c r="M27" s="285">
        <f t="shared" si="1"/>
        <v>1.7999999999301508</v>
      </c>
      <c r="N27" s="286">
        <f t="shared" si="2"/>
        <v>108</v>
      </c>
      <c r="O27" s="287" t="s">
        <v>131</v>
      </c>
      <c r="P27" s="288" t="str">
        <f t="shared" si="3"/>
        <v>NO</v>
      </c>
      <c r="Q27" s="287" t="s">
        <v>132</v>
      </c>
      <c r="R27" s="287" t="str">
        <f t="shared" si="4"/>
        <v>NO</v>
      </c>
      <c r="S27" s="151">
        <f t="shared" si="5"/>
        <v>3</v>
      </c>
      <c r="T27" s="289" t="str">
        <f t="shared" si="6"/>
        <v>--</v>
      </c>
      <c r="U27" s="290" t="str">
        <f t="shared" si="7"/>
        <v>--</v>
      </c>
      <c r="V27" s="291">
        <f t="shared" si="8"/>
        <v>165.6</v>
      </c>
      <c r="W27" s="292">
        <f t="shared" si="9"/>
        <v>298.08</v>
      </c>
      <c r="X27" s="293" t="str">
        <f t="shared" si="10"/>
        <v>--</v>
      </c>
      <c r="Y27" s="294" t="str">
        <f t="shared" si="11"/>
        <v>--</v>
      </c>
      <c r="Z27" s="295" t="str">
        <f t="shared" si="12"/>
        <v>--</v>
      </c>
      <c r="AA27" s="296" t="str">
        <f t="shared" si="13"/>
        <v>--</v>
      </c>
      <c r="AB27" s="287" t="s">
        <v>139</v>
      </c>
      <c r="AC27" s="297">
        <f t="shared" si="14"/>
        <v>463.67999999999995</v>
      </c>
      <c r="AD27" s="217"/>
    </row>
    <row r="28" spans="2:30" s="10" customFormat="1" ht="16.5" customHeight="1">
      <c r="B28" s="216"/>
      <c r="C28" s="268">
        <v>18</v>
      </c>
      <c r="D28" s="268">
        <v>273070</v>
      </c>
      <c r="E28" s="268">
        <v>3405</v>
      </c>
      <c r="F28" s="125" t="s">
        <v>146</v>
      </c>
      <c r="G28" s="127" t="s">
        <v>147</v>
      </c>
      <c r="H28" s="281">
        <v>40</v>
      </c>
      <c r="I28" s="137" t="s">
        <v>148</v>
      </c>
      <c r="J28" s="283">
        <f t="shared" si="0"/>
        <v>55.199999999999996</v>
      </c>
      <c r="K28" s="284">
        <v>41713.34305555555</v>
      </c>
      <c r="L28" s="284">
        <v>41713.493055555555</v>
      </c>
      <c r="M28" s="285">
        <f t="shared" si="1"/>
        <v>3.6000000000349246</v>
      </c>
      <c r="N28" s="286">
        <f t="shared" si="2"/>
        <v>216</v>
      </c>
      <c r="O28" s="287" t="s">
        <v>135</v>
      </c>
      <c r="P28" s="288" t="str">
        <f t="shared" si="3"/>
        <v>--</v>
      </c>
      <c r="Q28" s="287" t="s">
        <v>132</v>
      </c>
      <c r="R28" s="287" t="str">
        <f t="shared" si="4"/>
        <v>NO</v>
      </c>
      <c r="S28" s="151">
        <f t="shared" si="5"/>
        <v>0.30000000000000004</v>
      </c>
      <c r="T28" s="289">
        <f t="shared" si="6"/>
        <v>59.61600000000001</v>
      </c>
      <c r="U28" s="290" t="str">
        <f t="shared" si="7"/>
        <v>--</v>
      </c>
      <c r="V28" s="291" t="str">
        <f t="shared" si="8"/>
        <v>--</v>
      </c>
      <c r="W28" s="292" t="str">
        <f t="shared" si="9"/>
        <v>--</v>
      </c>
      <c r="X28" s="293" t="str">
        <f t="shared" si="10"/>
        <v>--</v>
      </c>
      <c r="Y28" s="294" t="str">
        <f t="shared" si="11"/>
        <v>--</v>
      </c>
      <c r="Z28" s="295" t="str">
        <f t="shared" si="12"/>
        <v>--</v>
      </c>
      <c r="AA28" s="296" t="str">
        <f t="shared" si="13"/>
        <v>--</v>
      </c>
      <c r="AB28" s="287" t="s">
        <v>139</v>
      </c>
      <c r="AC28" s="297">
        <f t="shared" si="14"/>
        <v>59.61600000000001</v>
      </c>
      <c r="AD28" s="217"/>
    </row>
    <row r="29" spans="2:30" s="10" customFormat="1" ht="16.5" customHeight="1">
      <c r="B29" s="216"/>
      <c r="C29" s="268"/>
      <c r="D29" s="268"/>
      <c r="E29" s="268"/>
      <c r="F29" s="125"/>
      <c r="G29" s="127"/>
      <c r="H29" s="281"/>
      <c r="I29" s="282"/>
      <c r="J29" s="283">
        <f t="shared" si="0"/>
        <v>0</v>
      </c>
      <c r="K29" s="284"/>
      <c r="L29" s="284"/>
      <c r="M29" s="285">
        <f t="shared" si="1"/>
      </c>
      <c r="N29" s="286">
        <f t="shared" si="2"/>
      </c>
      <c r="O29" s="287"/>
      <c r="P29" s="288">
        <f t="shared" si="3"/>
      </c>
      <c r="Q29" s="288">
        <f aca="true" t="shared" si="15" ref="Q29:Q40">IF(F29="","","--")</f>
      </c>
      <c r="R29" s="287">
        <f t="shared" si="4"/>
      </c>
      <c r="S29" s="151">
        <f t="shared" si="5"/>
        <v>3</v>
      </c>
      <c r="T29" s="289" t="str">
        <f t="shared" si="6"/>
        <v>--</v>
      </c>
      <c r="U29" s="290" t="str">
        <f t="shared" si="7"/>
        <v>--</v>
      </c>
      <c r="V29" s="291" t="str">
        <f t="shared" si="8"/>
        <v>--</v>
      </c>
      <c r="W29" s="292" t="str">
        <f t="shared" si="9"/>
        <v>--</v>
      </c>
      <c r="X29" s="293" t="str">
        <f t="shared" si="10"/>
        <v>--</v>
      </c>
      <c r="Y29" s="294" t="str">
        <f t="shared" si="11"/>
        <v>--</v>
      </c>
      <c r="Z29" s="295" t="str">
        <f t="shared" si="12"/>
        <v>--</v>
      </c>
      <c r="AA29" s="296" t="str">
        <f t="shared" si="13"/>
        <v>--</v>
      </c>
      <c r="AB29" s="287">
        <f aca="true" t="shared" si="16" ref="AB29:AB40">IF(F29="","","SI")</f>
      </c>
      <c r="AC29" s="297">
        <f t="shared" si="14"/>
      </c>
      <c r="AD29" s="217"/>
    </row>
    <row r="30" spans="2:30" s="10" customFormat="1" ht="16.5" customHeight="1">
      <c r="B30" s="216"/>
      <c r="C30" s="268"/>
      <c r="D30" s="268"/>
      <c r="E30" s="268"/>
      <c r="F30" s="125"/>
      <c r="G30" s="127"/>
      <c r="H30" s="281"/>
      <c r="I30" s="282"/>
      <c r="J30" s="283">
        <f t="shared" si="0"/>
        <v>0</v>
      </c>
      <c r="K30" s="284"/>
      <c r="L30" s="284"/>
      <c r="M30" s="285">
        <f t="shared" si="1"/>
      </c>
      <c r="N30" s="286">
        <f t="shared" si="2"/>
      </c>
      <c r="O30" s="287"/>
      <c r="P30" s="288">
        <f t="shared" si="3"/>
      </c>
      <c r="Q30" s="288">
        <f t="shared" si="15"/>
      </c>
      <c r="R30" s="287">
        <f t="shared" si="4"/>
      </c>
      <c r="S30" s="151">
        <f t="shared" si="5"/>
        <v>3</v>
      </c>
      <c r="T30" s="289" t="str">
        <f t="shared" si="6"/>
        <v>--</v>
      </c>
      <c r="U30" s="290" t="str">
        <f t="shared" si="7"/>
        <v>--</v>
      </c>
      <c r="V30" s="291" t="str">
        <f t="shared" si="8"/>
        <v>--</v>
      </c>
      <c r="W30" s="292" t="str">
        <f t="shared" si="9"/>
        <v>--</v>
      </c>
      <c r="X30" s="293" t="str">
        <f t="shared" si="10"/>
        <v>--</v>
      </c>
      <c r="Y30" s="294" t="str">
        <f t="shared" si="11"/>
        <v>--</v>
      </c>
      <c r="Z30" s="295" t="str">
        <f t="shared" si="12"/>
        <v>--</v>
      </c>
      <c r="AA30" s="296" t="str">
        <f t="shared" si="13"/>
        <v>--</v>
      </c>
      <c r="AB30" s="287">
        <f t="shared" si="16"/>
      </c>
      <c r="AC30" s="297">
        <f t="shared" si="14"/>
      </c>
      <c r="AD30" s="217"/>
    </row>
    <row r="31" spans="2:30" s="10" customFormat="1" ht="16.5" customHeight="1">
      <c r="B31" s="216"/>
      <c r="C31" s="268"/>
      <c r="D31" s="268"/>
      <c r="E31" s="268"/>
      <c r="F31" s="125"/>
      <c r="G31" s="127"/>
      <c r="H31" s="281"/>
      <c r="I31" s="282"/>
      <c r="J31" s="283">
        <f t="shared" si="0"/>
        <v>0</v>
      </c>
      <c r="K31" s="284"/>
      <c r="L31" s="284"/>
      <c r="M31" s="285">
        <f t="shared" si="1"/>
      </c>
      <c r="N31" s="286">
        <f t="shared" si="2"/>
      </c>
      <c r="O31" s="287"/>
      <c r="P31" s="288">
        <f t="shared" si="3"/>
      </c>
      <c r="Q31" s="288">
        <f t="shared" si="15"/>
      </c>
      <c r="R31" s="287">
        <f t="shared" si="4"/>
      </c>
      <c r="S31" s="151">
        <f t="shared" si="5"/>
        <v>3</v>
      </c>
      <c r="T31" s="289" t="str">
        <f t="shared" si="6"/>
        <v>--</v>
      </c>
      <c r="U31" s="290" t="str">
        <f t="shared" si="7"/>
        <v>--</v>
      </c>
      <c r="V31" s="291" t="str">
        <f t="shared" si="8"/>
        <v>--</v>
      </c>
      <c r="W31" s="292" t="str">
        <f t="shared" si="9"/>
        <v>--</v>
      </c>
      <c r="X31" s="293" t="str">
        <f t="shared" si="10"/>
        <v>--</v>
      </c>
      <c r="Y31" s="294" t="str">
        <f t="shared" si="11"/>
        <v>--</v>
      </c>
      <c r="Z31" s="295" t="str">
        <f t="shared" si="12"/>
        <v>--</v>
      </c>
      <c r="AA31" s="296" t="str">
        <f t="shared" si="13"/>
        <v>--</v>
      </c>
      <c r="AB31" s="287">
        <f t="shared" si="16"/>
      </c>
      <c r="AC31" s="297">
        <f t="shared" si="14"/>
      </c>
      <c r="AD31" s="217"/>
    </row>
    <row r="32" spans="2:30" s="10" customFormat="1" ht="16.5" customHeight="1">
      <c r="B32" s="216"/>
      <c r="C32" s="268"/>
      <c r="D32" s="268"/>
      <c r="E32" s="268"/>
      <c r="F32" s="125"/>
      <c r="G32" s="127"/>
      <c r="H32" s="281"/>
      <c r="I32" s="282"/>
      <c r="J32" s="283">
        <f t="shared" si="0"/>
        <v>0</v>
      </c>
      <c r="K32" s="284"/>
      <c r="L32" s="284"/>
      <c r="M32" s="285">
        <f t="shared" si="1"/>
      </c>
      <c r="N32" s="286">
        <f t="shared" si="2"/>
      </c>
      <c r="O32" s="287"/>
      <c r="P32" s="288">
        <f t="shared" si="3"/>
      </c>
      <c r="Q32" s="288">
        <f t="shared" si="15"/>
      </c>
      <c r="R32" s="287">
        <f t="shared" si="4"/>
      </c>
      <c r="S32" s="151">
        <f t="shared" si="5"/>
        <v>3</v>
      </c>
      <c r="T32" s="289" t="str">
        <f t="shared" si="6"/>
        <v>--</v>
      </c>
      <c r="U32" s="290" t="str">
        <f t="shared" si="7"/>
        <v>--</v>
      </c>
      <c r="V32" s="291" t="str">
        <f t="shared" si="8"/>
        <v>--</v>
      </c>
      <c r="W32" s="292" t="str">
        <f t="shared" si="9"/>
        <v>--</v>
      </c>
      <c r="X32" s="293" t="str">
        <f t="shared" si="10"/>
        <v>--</v>
      </c>
      <c r="Y32" s="294" t="str">
        <f t="shared" si="11"/>
        <v>--</v>
      </c>
      <c r="Z32" s="295" t="str">
        <f t="shared" si="12"/>
        <v>--</v>
      </c>
      <c r="AA32" s="296" t="str">
        <f t="shared" si="13"/>
        <v>--</v>
      </c>
      <c r="AB32" s="287">
        <f t="shared" si="16"/>
      </c>
      <c r="AC32" s="297">
        <f t="shared" si="14"/>
      </c>
      <c r="AD32" s="217"/>
    </row>
    <row r="33" spans="2:30" s="10" customFormat="1" ht="16.5" customHeight="1">
      <c r="B33" s="216"/>
      <c r="C33" s="268"/>
      <c r="D33" s="268"/>
      <c r="E33" s="268"/>
      <c r="F33" s="125"/>
      <c r="G33" s="127"/>
      <c r="H33" s="281"/>
      <c r="I33" s="282"/>
      <c r="J33" s="283">
        <f t="shared" si="0"/>
        <v>0</v>
      </c>
      <c r="K33" s="284"/>
      <c r="L33" s="284"/>
      <c r="M33" s="285">
        <f t="shared" si="1"/>
      </c>
      <c r="N33" s="286">
        <f t="shared" si="2"/>
      </c>
      <c r="O33" s="287"/>
      <c r="P33" s="288">
        <f t="shared" si="3"/>
      </c>
      <c r="Q33" s="288">
        <f t="shared" si="15"/>
      </c>
      <c r="R33" s="287">
        <f t="shared" si="4"/>
      </c>
      <c r="S33" s="151">
        <f t="shared" si="5"/>
        <v>3</v>
      </c>
      <c r="T33" s="289" t="str">
        <f t="shared" si="6"/>
        <v>--</v>
      </c>
      <c r="U33" s="290" t="str">
        <f t="shared" si="7"/>
        <v>--</v>
      </c>
      <c r="V33" s="291" t="str">
        <f t="shared" si="8"/>
        <v>--</v>
      </c>
      <c r="W33" s="292" t="str">
        <f t="shared" si="9"/>
        <v>--</v>
      </c>
      <c r="X33" s="293" t="str">
        <f t="shared" si="10"/>
        <v>--</v>
      </c>
      <c r="Y33" s="294" t="str">
        <f t="shared" si="11"/>
        <v>--</v>
      </c>
      <c r="Z33" s="295" t="str">
        <f t="shared" si="12"/>
        <v>--</v>
      </c>
      <c r="AA33" s="296" t="str">
        <f t="shared" si="13"/>
        <v>--</v>
      </c>
      <c r="AB33" s="287">
        <f t="shared" si="16"/>
      </c>
      <c r="AC33" s="297">
        <f t="shared" si="14"/>
      </c>
      <c r="AD33" s="217"/>
    </row>
    <row r="34" spans="2:30" s="10" customFormat="1" ht="16.5" customHeight="1">
      <c r="B34" s="216"/>
      <c r="C34" s="268"/>
      <c r="D34" s="268"/>
      <c r="E34" s="268"/>
      <c r="F34" s="125"/>
      <c r="G34" s="127"/>
      <c r="H34" s="281"/>
      <c r="I34" s="282"/>
      <c r="J34" s="283">
        <f t="shared" si="0"/>
        <v>0</v>
      </c>
      <c r="K34" s="284"/>
      <c r="L34" s="284"/>
      <c r="M34" s="285">
        <f t="shared" si="1"/>
      </c>
      <c r="N34" s="286">
        <f t="shared" si="2"/>
      </c>
      <c r="O34" s="287"/>
      <c r="P34" s="288">
        <f t="shared" si="3"/>
      </c>
      <c r="Q34" s="288">
        <f t="shared" si="15"/>
      </c>
      <c r="R34" s="287">
        <f t="shared" si="4"/>
      </c>
      <c r="S34" s="151">
        <f t="shared" si="5"/>
        <v>3</v>
      </c>
      <c r="T34" s="289" t="str">
        <f t="shared" si="6"/>
        <v>--</v>
      </c>
      <c r="U34" s="290" t="str">
        <f t="shared" si="7"/>
        <v>--</v>
      </c>
      <c r="V34" s="291" t="str">
        <f t="shared" si="8"/>
        <v>--</v>
      </c>
      <c r="W34" s="292" t="str">
        <f t="shared" si="9"/>
        <v>--</v>
      </c>
      <c r="X34" s="293" t="str">
        <f t="shared" si="10"/>
        <v>--</v>
      </c>
      <c r="Y34" s="294" t="str">
        <f t="shared" si="11"/>
        <v>--</v>
      </c>
      <c r="Z34" s="295" t="str">
        <f t="shared" si="12"/>
        <v>--</v>
      </c>
      <c r="AA34" s="296" t="str">
        <f t="shared" si="13"/>
        <v>--</v>
      </c>
      <c r="AB34" s="287">
        <f t="shared" si="16"/>
      </c>
      <c r="AC34" s="297">
        <f t="shared" si="14"/>
      </c>
      <c r="AD34" s="217"/>
    </row>
    <row r="35" spans="2:30" s="10" customFormat="1" ht="16.5" customHeight="1">
      <c r="B35" s="216"/>
      <c r="C35" s="268"/>
      <c r="D35" s="268"/>
      <c r="E35" s="268"/>
      <c r="F35" s="125"/>
      <c r="G35" s="127"/>
      <c r="H35" s="281"/>
      <c r="I35" s="282"/>
      <c r="J35" s="283">
        <f t="shared" si="0"/>
        <v>0</v>
      </c>
      <c r="K35" s="284"/>
      <c r="L35" s="284"/>
      <c r="M35" s="285">
        <f t="shared" si="1"/>
      </c>
      <c r="N35" s="286">
        <f t="shared" si="2"/>
      </c>
      <c r="O35" s="287"/>
      <c r="P35" s="288">
        <f t="shared" si="3"/>
      </c>
      <c r="Q35" s="288">
        <f t="shared" si="15"/>
      </c>
      <c r="R35" s="287">
        <f t="shared" si="4"/>
      </c>
      <c r="S35" s="151">
        <f t="shared" si="5"/>
        <v>3</v>
      </c>
      <c r="T35" s="289" t="str">
        <f t="shared" si="6"/>
        <v>--</v>
      </c>
      <c r="U35" s="290" t="str">
        <f t="shared" si="7"/>
        <v>--</v>
      </c>
      <c r="V35" s="291" t="str">
        <f t="shared" si="8"/>
        <v>--</v>
      </c>
      <c r="W35" s="292" t="str">
        <f t="shared" si="9"/>
        <v>--</v>
      </c>
      <c r="X35" s="293" t="str">
        <f t="shared" si="10"/>
        <v>--</v>
      </c>
      <c r="Y35" s="294" t="str">
        <f t="shared" si="11"/>
        <v>--</v>
      </c>
      <c r="Z35" s="295" t="str">
        <f t="shared" si="12"/>
        <v>--</v>
      </c>
      <c r="AA35" s="296" t="str">
        <f t="shared" si="13"/>
        <v>--</v>
      </c>
      <c r="AB35" s="287">
        <f t="shared" si="16"/>
      </c>
      <c r="AC35" s="297">
        <f t="shared" si="14"/>
      </c>
      <c r="AD35" s="217"/>
    </row>
    <row r="36" spans="2:30" s="10" customFormat="1" ht="16.5" customHeight="1">
      <c r="B36" s="216"/>
      <c r="C36" s="268"/>
      <c r="D36" s="268"/>
      <c r="E36" s="268"/>
      <c r="F36" s="125"/>
      <c r="G36" s="127"/>
      <c r="H36" s="281"/>
      <c r="I36" s="282"/>
      <c r="J36" s="283">
        <f t="shared" si="0"/>
        <v>0</v>
      </c>
      <c r="K36" s="284"/>
      <c r="L36" s="284"/>
      <c r="M36" s="285">
        <f t="shared" si="1"/>
      </c>
      <c r="N36" s="286">
        <f t="shared" si="2"/>
      </c>
      <c r="O36" s="287"/>
      <c r="P36" s="288">
        <f t="shared" si="3"/>
      </c>
      <c r="Q36" s="288">
        <f t="shared" si="15"/>
      </c>
      <c r="R36" s="287">
        <f t="shared" si="4"/>
      </c>
      <c r="S36" s="151">
        <f t="shared" si="5"/>
        <v>3</v>
      </c>
      <c r="T36" s="289" t="str">
        <f t="shared" si="6"/>
        <v>--</v>
      </c>
      <c r="U36" s="290" t="str">
        <f t="shared" si="7"/>
        <v>--</v>
      </c>
      <c r="V36" s="291" t="str">
        <f t="shared" si="8"/>
        <v>--</v>
      </c>
      <c r="W36" s="292" t="str">
        <f t="shared" si="9"/>
        <v>--</v>
      </c>
      <c r="X36" s="293" t="str">
        <f t="shared" si="10"/>
        <v>--</v>
      </c>
      <c r="Y36" s="294" t="str">
        <f t="shared" si="11"/>
        <v>--</v>
      </c>
      <c r="Z36" s="295" t="str">
        <f t="shared" si="12"/>
        <v>--</v>
      </c>
      <c r="AA36" s="296" t="str">
        <f t="shared" si="13"/>
        <v>--</v>
      </c>
      <c r="AB36" s="287">
        <f t="shared" si="16"/>
      </c>
      <c r="AC36" s="297">
        <f t="shared" si="14"/>
      </c>
      <c r="AD36" s="217"/>
    </row>
    <row r="37" spans="2:30" s="10" customFormat="1" ht="16.5" customHeight="1">
      <c r="B37" s="216"/>
      <c r="C37" s="268"/>
      <c r="D37" s="268"/>
      <c r="E37" s="268"/>
      <c r="F37" s="125"/>
      <c r="G37" s="127"/>
      <c r="H37" s="281"/>
      <c r="I37" s="282"/>
      <c r="J37" s="283">
        <f t="shared" si="0"/>
        <v>0</v>
      </c>
      <c r="K37" s="284"/>
      <c r="L37" s="284"/>
      <c r="M37" s="285">
        <f t="shared" si="1"/>
      </c>
      <c r="N37" s="286">
        <f t="shared" si="2"/>
      </c>
      <c r="O37" s="287"/>
      <c r="P37" s="288">
        <f t="shared" si="3"/>
      </c>
      <c r="Q37" s="288">
        <f t="shared" si="15"/>
      </c>
      <c r="R37" s="287">
        <f t="shared" si="4"/>
      </c>
      <c r="S37" s="151">
        <f t="shared" si="5"/>
        <v>3</v>
      </c>
      <c r="T37" s="289" t="str">
        <f t="shared" si="6"/>
        <v>--</v>
      </c>
      <c r="U37" s="290" t="str">
        <f t="shared" si="7"/>
        <v>--</v>
      </c>
      <c r="V37" s="291" t="str">
        <f t="shared" si="8"/>
        <v>--</v>
      </c>
      <c r="W37" s="292" t="str">
        <f t="shared" si="9"/>
        <v>--</v>
      </c>
      <c r="X37" s="293" t="str">
        <f t="shared" si="10"/>
        <v>--</v>
      </c>
      <c r="Y37" s="294" t="str">
        <f t="shared" si="11"/>
        <v>--</v>
      </c>
      <c r="Z37" s="295" t="str">
        <f t="shared" si="12"/>
        <v>--</v>
      </c>
      <c r="AA37" s="296" t="str">
        <f t="shared" si="13"/>
        <v>--</v>
      </c>
      <c r="AB37" s="287">
        <f t="shared" si="16"/>
      </c>
      <c r="AC37" s="297">
        <f t="shared" si="14"/>
      </c>
      <c r="AD37" s="217"/>
    </row>
    <row r="38" spans="2:30" s="10" customFormat="1" ht="16.5" customHeight="1">
      <c r="B38" s="216"/>
      <c r="C38" s="268"/>
      <c r="D38" s="268"/>
      <c r="E38" s="268"/>
      <c r="F38" s="125"/>
      <c r="G38" s="127"/>
      <c r="H38" s="281"/>
      <c r="I38" s="282"/>
      <c r="J38" s="283">
        <f t="shared" si="0"/>
        <v>0</v>
      </c>
      <c r="K38" s="284"/>
      <c r="L38" s="284"/>
      <c r="M38" s="285">
        <f t="shared" si="1"/>
      </c>
      <c r="N38" s="286">
        <f t="shared" si="2"/>
      </c>
      <c r="O38" s="287"/>
      <c r="P38" s="288">
        <f t="shared" si="3"/>
      </c>
      <c r="Q38" s="288">
        <f t="shared" si="15"/>
      </c>
      <c r="R38" s="287">
        <f t="shared" si="4"/>
      </c>
      <c r="S38" s="151">
        <f t="shared" si="5"/>
        <v>3</v>
      </c>
      <c r="T38" s="289" t="str">
        <f t="shared" si="6"/>
        <v>--</v>
      </c>
      <c r="U38" s="290" t="str">
        <f t="shared" si="7"/>
        <v>--</v>
      </c>
      <c r="V38" s="291" t="str">
        <f t="shared" si="8"/>
        <v>--</v>
      </c>
      <c r="W38" s="292" t="str">
        <f t="shared" si="9"/>
        <v>--</v>
      </c>
      <c r="X38" s="293" t="str">
        <f t="shared" si="10"/>
        <v>--</v>
      </c>
      <c r="Y38" s="294" t="str">
        <f t="shared" si="11"/>
        <v>--</v>
      </c>
      <c r="Z38" s="295" t="str">
        <f t="shared" si="12"/>
        <v>--</v>
      </c>
      <c r="AA38" s="296" t="str">
        <f t="shared" si="13"/>
        <v>--</v>
      </c>
      <c r="AB38" s="287">
        <f t="shared" si="16"/>
      </c>
      <c r="AC38" s="297">
        <f t="shared" si="14"/>
      </c>
      <c r="AD38" s="217"/>
    </row>
    <row r="39" spans="2:30" s="10" customFormat="1" ht="16.5" customHeight="1">
      <c r="B39" s="216"/>
      <c r="C39" s="268"/>
      <c r="D39" s="268"/>
      <c r="E39" s="268"/>
      <c r="F39" s="125"/>
      <c r="G39" s="127"/>
      <c r="H39" s="281"/>
      <c r="I39" s="282"/>
      <c r="J39" s="283">
        <f t="shared" si="0"/>
        <v>0</v>
      </c>
      <c r="K39" s="284"/>
      <c r="L39" s="284"/>
      <c r="M39" s="285">
        <f t="shared" si="1"/>
      </c>
      <c r="N39" s="286">
        <f t="shared" si="2"/>
      </c>
      <c r="O39" s="287"/>
      <c r="P39" s="288">
        <f t="shared" si="3"/>
      </c>
      <c r="Q39" s="288">
        <f t="shared" si="15"/>
      </c>
      <c r="R39" s="287">
        <f t="shared" si="4"/>
      </c>
      <c r="S39" s="151">
        <f t="shared" si="5"/>
        <v>3</v>
      </c>
      <c r="T39" s="289" t="str">
        <f t="shared" si="6"/>
        <v>--</v>
      </c>
      <c r="U39" s="290" t="str">
        <f t="shared" si="7"/>
        <v>--</v>
      </c>
      <c r="V39" s="291" t="str">
        <f t="shared" si="8"/>
        <v>--</v>
      </c>
      <c r="W39" s="292" t="str">
        <f t="shared" si="9"/>
        <v>--</v>
      </c>
      <c r="X39" s="293" t="str">
        <f t="shared" si="10"/>
        <v>--</v>
      </c>
      <c r="Y39" s="294" t="str">
        <f t="shared" si="11"/>
        <v>--</v>
      </c>
      <c r="Z39" s="295" t="str">
        <f t="shared" si="12"/>
        <v>--</v>
      </c>
      <c r="AA39" s="296" t="str">
        <f t="shared" si="13"/>
        <v>--</v>
      </c>
      <c r="AB39" s="287">
        <f t="shared" si="16"/>
      </c>
      <c r="AC39" s="297">
        <f t="shared" si="14"/>
      </c>
      <c r="AD39" s="217"/>
    </row>
    <row r="40" spans="2:30" s="10" customFormat="1" ht="16.5" customHeight="1">
      <c r="B40" s="216"/>
      <c r="C40" s="268"/>
      <c r="D40" s="268"/>
      <c r="E40" s="268"/>
      <c r="F40" s="125"/>
      <c r="G40" s="127"/>
      <c r="H40" s="281"/>
      <c r="I40" s="282"/>
      <c r="J40" s="283">
        <f t="shared" si="0"/>
        <v>0</v>
      </c>
      <c r="K40" s="284"/>
      <c r="L40" s="284"/>
      <c r="M40" s="285">
        <f t="shared" si="1"/>
      </c>
      <c r="N40" s="286">
        <f t="shared" si="2"/>
      </c>
      <c r="O40" s="287"/>
      <c r="P40" s="288">
        <f t="shared" si="3"/>
      </c>
      <c r="Q40" s="288">
        <f t="shared" si="15"/>
      </c>
      <c r="R40" s="287">
        <f t="shared" si="4"/>
      </c>
      <c r="S40" s="151">
        <f t="shared" si="5"/>
        <v>3</v>
      </c>
      <c r="T40" s="289" t="str">
        <f t="shared" si="6"/>
        <v>--</v>
      </c>
      <c r="U40" s="290" t="str">
        <f t="shared" si="7"/>
        <v>--</v>
      </c>
      <c r="V40" s="291" t="str">
        <f t="shared" si="8"/>
        <v>--</v>
      </c>
      <c r="W40" s="292" t="str">
        <f t="shared" si="9"/>
        <v>--</v>
      </c>
      <c r="X40" s="293" t="str">
        <f t="shared" si="10"/>
        <v>--</v>
      </c>
      <c r="Y40" s="294" t="str">
        <f t="shared" si="11"/>
        <v>--</v>
      </c>
      <c r="Z40" s="295" t="str">
        <f t="shared" si="12"/>
        <v>--</v>
      </c>
      <c r="AA40" s="296" t="str">
        <f t="shared" si="13"/>
        <v>--</v>
      </c>
      <c r="AB40" s="287">
        <f t="shared" si="16"/>
      </c>
      <c r="AC40" s="297">
        <f t="shared" si="14"/>
      </c>
      <c r="AD40" s="217"/>
    </row>
    <row r="41" spans="2:30" s="10" customFormat="1" ht="16.5" customHeight="1" thickBot="1">
      <c r="B41" s="216"/>
      <c r="C41" s="299"/>
      <c r="D41" s="299"/>
      <c r="E41" s="299"/>
      <c r="F41" s="299"/>
      <c r="G41" s="299"/>
      <c r="H41" s="299"/>
      <c r="I41" s="299"/>
      <c r="J41" s="300"/>
      <c r="K41" s="299"/>
      <c r="L41" s="299"/>
      <c r="M41" s="299"/>
      <c r="N41" s="299"/>
      <c r="O41" s="299"/>
      <c r="P41" s="299"/>
      <c r="Q41" s="299"/>
      <c r="R41" s="299"/>
      <c r="S41" s="301"/>
      <c r="T41" s="302"/>
      <c r="U41" s="303"/>
      <c r="V41" s="304"/>
      <c r="W41" s="305"/>
      <c r="X41" s="306"/>
      <c r="Y41" s="307"/>
      <c r="Z41" s="308"/>
      <c r="AA41" s="309"/>
      <c r="AB41" s="299"/>
      <c r="AC41" s="310"/>
      <c r="AD41" s="217"/>
    </row>
    <row r="42" spans="2:30" s="10" customFormat="1" ht="16.5" customHeight="1" thickBot="1" thickTop="1">
      <c r="B42" s="216"/>
      <c r="C42" s="171" t="s">
        <v>73</v>
      </c>
      <c r="D42" s="589" t="s">
        <v>180</v>
      </c>
      <c r="E42" s="186"/>
      <c r="F42" s="17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311">
        <f>SUM(T20:T41)</f>
        <v>239.70600000000005</v>
      </c>
      <c r="U42" s="312">
        <f>SUM(U20:U41)</f>
        <v>0</v>
      </c>
      <c r="V42" s="313">
        <f>SUM(V20:V41)</f>
        <v>14862.599999999999</v>
      </c>
      <c r="W42" s="314">
        <f>SUM(W22:W41)</f>
        <v>7222.2300000000005</v>
      </c>
      <c r="X42" s="315">
        <f>SUM(X20:X41)</f>
        <v>0</v>
      </c>
      <c r="Y42" s="315">
        <f>SUM(Y22:Y41)</f>
        <v>0</v>
      </c>
      <c r="Z42" s="316">
        <f>SUM(Z20:Z41)</f>
        <v>0</v>
      </c>
      <c r="AA42" s="317">
        <f>SUM(AA22:AA41)</f>
        <v>0</v>
      </c>
      <c r="AB42" s="318"/>
      <c r="AC42" s="319">
        <f>ROUND(SUM(AC20:AC41),2)</f>
        <v>22324.54</v>
      </c>
      <c r="AD42" s="217"/>
    </row>
    <row r="43" spans="2:30" s="184" customFormat="1" ht="9.75" thickTop="1">
      <c r="B43" s="320"/>
      <c r="C43" s="186"/>
      <c r="D43" s="186"/>
      <c r="E43" s="186"/>
      <c r="F43" s="187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2"/>
      <c r="U43" s="322"/>
      <c r="V43" s="322"/>
      <c r="W43" s="322"/>
      <c r="X43" s="322"/>
      <c r="Y43" s="322"/>
      <c r="Z43" s="322"/>
      <c r="AA43" s="322"/>
      <c r="AB43" s="321"/>
      <c r="AC43" s="323"/>
      <c r="AD43" s="324"/>
    </row>
    <row r="44" spans="2:30" s="10" customFormat="1" ht="16.5" customHeight="1" thickBot="1">
      <c r="B44" s="325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7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8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0" zoomScaleNormal="70" zoomScalePageLayoutView="0" workbookViewId="0" topLeftCell="A19">
      <selection activeCell="Y39" sqref="Y39"/>
    </sheetView>
  </sheetViews>
  <sheetFormatPr defaultColWidth="11.421875" defaultRowHeight="12.75"/>
  <cols>
    <col min="1" max="1" width="18.71093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9"/>
      <c r="W1" s="394"/>
    </row>
    <row r="2" spans="1:23" s="6" customFormat="1" ht="26.25">
      <c r="A2" s="329"/>
      <c r="B2" s="67" t="str">
        <f>+'TOT-0314'!B2</f>
        <v>ANEXO IV al Memorandum D.T.E.E. N° 798 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0"/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4" t="s">
        <v>3</v>
      </c>
      <c r="B4" s="331"/>
    </row>
    <row r="5" spans="1:2" s="13" customFormat="1" ht="11.25">
      <c r="A5" s="204" t="s">
        <v>4</v>
      </c>
      <c r="B5" s="331"/>
    </row>
    <row r="6" s="10" customFormat="1" ht="16.5" customHeight="1" thickBot="1"/>
    <row r="7" spans="2:23" s="10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</row>
    <row r="8" spans="2:23" s="73" customFormat="1" ht="20.25">
      <c r="B8" s="74"/>
      <c r="F8" s="75" t="s">
        <v>52</v>
      </c>
      <c r="P8" s="76"/>
      <c r="Q8" s="76"/>
      <c r="R8" s="76"/>
      <c r="S8" s="76"/>
      <c r="T8" s="76"/>
      <c r="U8" s="76"/>
      <c r="V8" s="76"/>
      <c r="W8" s="77"/>
    </row>
    <row r="9" spans="2:23" s="10" customFormat="1" ht="16.5" customHeight="1">
      <c r="B9" s="44"/>
      <c r="F9" s="12"/>
      <c r="G9" s="12"/>
      <c r="H9" s="12"/>
      <c r="I9" s="83"/>
      <c r="J9" s="83"/>
      <c r="K9" s="83"/>
      <c r="L9" s="83"/>
      <c r="M9" s="83"/>
      <c r="P9" s="12"/>
      <c r="Q9" s="12"/>
      <c r="R9" s="12"/>
      <c r="S9" s="12"/>
      <c r="T9" s="12"/>
      <c r="U9" s="12"/>
      <c r="V9" s="12"/>
      <c r="W9" s="49"/>
    </row>
    <row r="10" spans="2:23" s="73" customFormat="1" ht="20.25">
      <c r="B10" s="74"/>
      <c r="F10" s="75" t="s">
        <v>53</v>
      </c>
      <c r="G10" s="75"/>
      <c r="H10" s="76"/>
      <c r="I10" s="75"/>
      <c r="J10" s="75"/>
      <c r="K10" s="75"/>
      <c r="L10" s="75"/>
      <c r="M10" s="75"/>
      <c r="P10" s="76"/>
      <c r="Q10" s="76"/>
      <c r="R10" s="76"/>
      <c r="S10" s="76"/>
      <c r="T10" s="76"/>
      <c r="U10" s="76"/>
      <c r="V10" s="76"/>
      <c r="W10" s="77"/>
    </row>
    <row r="11" spans="2:23" s="10" customFormat="1" ht="16.5" customHeight="1">
      <c r="B11" s="44"/>
      <c r="C11" s="12"/>
      <c r="D11" s="12"/>
      <c r="E11" s="12"/>
      <c r="F11" s="332"/>
      <c r="G11" s="83"/>
      <c r="H11" s="12"/>
      <c r="I11" s="83"/>
      <c r="J11" s="83"/>
      <c r="K11" s="83"/>
      <c r="L11" s="83"/>
      <c r="M11" s="83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+'TOT-0314'!B14</f>
        <v>Desde el 01 al 31 de marzo de 2014</v>
      </c>
      <c r="C12" s="333"/>
      <c r="D12" s="333"/>
      <c r="E12" s="333"/>
      <c r="F12" s="34"/>
      <c r="G12" s="34"/>
      <c r="H12" s="34"/>
      <c r="I12" s="34"/>
      <c r="J12" s="8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2"/>
    </row>
    <row r="13" spans="2:23" s="10" customFormat="1" ht="16.5" customHeight="1" thickBot="1">
      <c r="B13" s="44"/>
      <c r="C13" s="12"/>
      <c r="D13" s="12"/>
      <c r="E13" s="12"/>
      <c r="I13" s="85"/>
      <c r="K13" s="12"/>
      <c r="L13" s="12"/>
      <c r="M13" s="12"/>
      <c r="N13" s="85"/>
      <c r="O13" s="85"/>
      <c r="P13" s="85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4" t="s">
        <v>54</v>
      </c>
      <c r="G14" s="335">
        <v>33.884</v>
      </c>
      <c r="H14" s="336">
        <f>60*'TOT-0314'!B13</f>
        <v>60</v>
      </c>
      <c r="I14" s="85"/>
      <c r="J14" s="236" t="str">
        <f>IF(H14=60," ",IF(H14=120,"    Coeficiente duplicado por tasa de falla &gt;4 Sal. x año/100 km.","    REVISAR COEFICIENTE"))</f>
        <v> </v>
      </c>
      <c r="K14" s="12"/>
      <c r="L14" s="12"/>
      <c r="M14" s="12"/>
      <c r="N14" s="85"/>
      <c r="O14" s="85"/>
      <c r="P14" s="85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4" t="s">
        <v>55</v>
      </c>
      <c r="G15" s="335">
        <v>16.943</v>
      </c>
      <c r="H15" s="336">
        <f>50*'TOT-0314'!B13</f>
        <v>50</v>
      </c>
      <c r="J15" s="236" t="str">
        <f>IF(H15=50," ",IF(H15=100,"    Coeficiente duplicado por tasa de falla &gt;4 Sal. x año/100 km.","    REVISAR COEFICIENTE"))</f>
        <v> </v>
      </c>
      <c r="S15" s="12"/>
      <c r="T15" s="12"/>
      <c r="U15" s="12"/>
      <c r="V15" s="337"/>
      <c r="W15" s="49"/>
    </row>
    <row r="16" spans="2:23" s="10" customFormat="1" ht="16.5" customHeight="1" thickBot="1" thickTop="1">
      <c r="B16" s="44"/>
      <c r="C16" s="12"/>
      <c r="D16" s="12"/>
      <c r="E16" s="12"/>
      <c r="F16" s="338" t="s">
        <v>56</v>
      </c>
      <c r="G16" s="339">
        <v>12.711</v>
      </c>
      <c r="H16" s="340">
        <f>25*'TOT-0314'!B13</f>
        <v>25</v>
      </c>
      <c r="J16" s="236" t="str">
        <f>IF(H16=25," ",IF(H16=50,"    Coeficiente duplicado por tasa de falla &gt;4 Sal. x año/100 km.","    REVISAR COEFICIENTE"))</f>
        <v> </v>
      </c>
      <c r="K16" s="94"/>
      <c r="L16" s="94"/>
      <c r="M16" s="12"/>
      <c r="P16" s="341"/>
      <c r="Q16" s="342"/>
      <c r="R16" s="4"/>
      <c r="S16" s="12"/>
      <c r="T16" s="12"/>
      <c r="U16" s="12"/>
      <c r="V16" s="337"/>
      <c r="W16" s="49"/>
    </row>
    <row r="17" spans="2:23" s="10" customFormat="1" ht="16.5" customHeight="1" thickBot="1" thickTop="1">
      <c r="B17" s="44"/>
      <c r="C17" s="12"/>
      <c r="D17" s="12"/>
      <c r="E17" s="12"/>
      <c r="F17" s="343" t="s">
        <v>57</v>
      </c>
      <c r="G17" s="415">
        <v>12.711</v>
      </c>
      <c r="H17" s="344">
        <f>20*'TOT-0314'!B13</f>
        <v>20</v>
      </c>
      <c r="J17" s="236" t="str">
        <f>IF(H17=20," ",IF(H17=40,"    Coeficiente duplicado por tasa de falla &gt;4 Sal. x año/100 km.","    REVISAR COEFICIENTE"))</f>
        <v> </v>
      </c>
      <c r="K17" s="94"/>
      <c r="L17" s="94"/>
      <c r="M17" s="12"/>
      <c r="P17" s="341"/>
      <c r="Q17" s="342"/>
      <c r="R17" s="4"/>
      <c r="S17" s="12"/>
      <c r="T17" s="12"/>
      <c r="U17" s="12"/>
      <c r="V17" s="337"/>
      <c r="W17" s="49"/>
    </row>
    <row r="18" spans="2:23" s="10" customFormat="1" ht="16.5" customHeight="1" thickBot="1" thickTop="1">
      <c r="B18" s="44"/>
      <c r="C18" s="12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9"/>
    </row>
    <row r="19" spans="2:23" s="345" customFormat="1" ht="34.5" customHeight="1" thickBot="1" thickTop="1">
      <c r="B19" s="346"/>
      <c r="C19" s="399" t="s">
        <v>20</v>
      </c>
      <c r="D19" s="399" t="s">
        <v>74</v>
      </c>
      <c r="E19" s="399" t="s">
        <v>75</v>
      </c>
      <c r="F19" s="240" t="s">
        <v>41</v>
      </c>
      <c r="G19" s="347" t="s">
        <v>42</v>
      </c>
      <c r="H19" s="348" t="s">
        <v>21</v>
      </c>
      <c r="I19" s="99" t="s">
        <v>23</v>
      </c>
      <c r="J19" s="241" t="s">
        <v>24</v>
      </c>
      <c r="K19" s="347" t="s">
        <v>25</v>
      </c>
      <c r="L19" s="240" t="s">
        <v>44</v>
      </c>
      <c r="M19" s="240" t="s">
        <v>45</v>
      </c>
      <c r="N19" s="98" t="s">
        <v>72</v>
      </c>
      <c r="O19" s="241" t="s">
        <v>46</v>
      </c>
      <c r="P19" s="349" t="s">
        <v>58</v>
      </c>
      <c r="Q19" s="350" t="s">
        <v>59</v>
      </c>
      <c r="R19" s="351" t="s">
        <v>49</v>
      </c>
      <c r="S19" s="352"/>
      <c r="T19" s="353" t="s">
        <v>33</v>
      </c>
      <c r="U19" s="243" t="s">
        <v>35</v>
      </c>
      <c r="V19" s="243" t="s">
        <v>36</v>
      </c>
      <c r="W19" s="354"/>
    </row>
    <row r="20" spans="2:23" s="10" customFormat="1" ht="16.5" customHeight="1" thickTop="1">
      <c r="B20" s="44"/>
      <c r="C20" s="269"/>
      <c r="D20" s="398"/>
      <c r="E20" s="398"/>
      <c r="F20" s="268"/>
      <c r="G20" s="268"/>
      <c r="H20" s="355"/>
      <c r="I20" s="356"/>
      <c r="J20" s="271"/>
      <c r="K20" s="357"/>
      <c r="L20" s="272"/>
      <c r="M20" s="272"/>
      <c r="N20" s="271"/>
      <c r="O20" s="271"/>
      <c r="P20" s="358"/>
      <c r="Q20" s="359"/>
      <c r="R20" s="360"/>
      <c r="S20" s="361"/>
      <c r="T20" s="362"/>
      <c r="U20" s="363"/>
      <c r="V20" s="364"/>
      <c r="W20" s="217"/>
    </row>
    <row r="21" spans="2:23" s="10" customFormat="1" ht="16.5" customHeight="1">
      <c r="B21" s="44"/>
      <c r="C21" s="271"/>
      <c r="D21" s="268"/>
      <c r="E21" s="268"/>
      <c r="F21" s="365"/>
      <c r="G21" s="365"/>
      <c r="H21" s="366"/>
      <c r="I21" s="367"/>
      <c r="J21" s="368"/>
      <c r="K21" s="369"/>
      <c r="L21" s="285"/>
      <c r="M21" s="370"/>
      <c r="N21" s="287"/>
      <c r="O21" s="287"/>
      <c r="P21" s="371"/>
      <c r="Q21" s="372"/>
      <c r="R21" s="373"/>
      <c r="S21" s="374"/>
      <c r="T21" s="375"/>
      <c r="U21" s="376"/>
      <c r="V21" s="377"/>
      <c r="W21" s="217"/>
    </row>
    <row r="22" spans="2:23" s="10" customFormat="1" ht="16.5" customHeight="1">
      <c r="B22" s="44"/>
      <c r="C22" s="271">
        <v>19</v>
      </c>
      <c r="D22" s="268">
        <v>272786</v>
      </c>
      <c r="E22" s="268">
        <v>944</v>
      </c>
      <c r="F22" s="365" t="s">
        <v>149</v>
      </c>
      <c r="G22" s="365" t="s">
        <v>150</v>
      </c>
      <c r="H22" s="378">
        <v>132</v>
      </c>
      <c r="I22" s="367">
        <f aca="true" t="shared" si="0" ref="I22:I41">IF(H22=220,$G$14,IF(AND(H22&lt;=132,H22&gt;=66),$G$15,IF(AND(H22&lt;66,H22&gt;=33),$G$16,$G$17)))</f>
        <v>16.943</v>
      </c>
      <c r="J22" s="368">
        <v>41707.25347222222</v>
      </c>
      <c r="K22" s="369">
        <v>41707.33541666667</v>
      </c>
      <c r="L22" s="285">
        <f aca="true" t="shared" si="1" ref="L22:L41">IF(F22="","",(K22-J22)*24)</f>
        <v>1.966666666790843</v>
      </c>
      <c r="M22" s="370">
        <f aca="true" t="shared" si="2" ref="M22:M41">IF(F22="","",ROUND((K22-J22)*24*60,0))</f>
        <v>118</v>
      </c>
      <c r="N22" s="287" t="s">
        <v>135</v>
      </c>
      <c r="O22" s="287" t="str">
        <f>IF(F22="","",IF(OR(N22="P",N22="RP"),"--","NO"))</f>
        <v>--</v>
      </c>
      <c r="P22" s="371">
        <f aca="true" t="shared" si="3" ref="P22:P41">IF(H22=220,$H$14,IF(AND(H22&lt;=132,H22&gt;=66),$H$15,IF(AND(H22&lt;66,H22&gt;13.2),$H$16,$H$17)))</f>
        <v>50</v>
      </c>
      <c r="Q22" s="372">
        <f aca="true" t="shared" si="4" ref="Q22:Q41">IF(N22="P",I22*P22*ROUND(M22/60,2)*0.1,"--")</f>
        <v>166.88855</v>
      </c>
      <c r="R22" s="373" t="str">
        <f aca="true" t="shared" si="5" ref="R22:R41">IF(AND(N22="F",O22="NO"),I22*P22,"--")</f>
        <v>--</v>
      </c>
      <c r="S22" s="374" t="str">
        <f aca="true" t="shared" si="6" ref="S22:S41">IF(N22="F",I22*P22*ROUND(M22/60,2),"--")</f>
        <v>--</v>
      </c>
      <c r="T22" s="375" t="str">
        <f aca="true" t="shared" si="7" ref="T22:T41">IF(N22="RF",I22*P22*ROUND(M22/60,2),"--")</f>
        <v>--</v>
      </c>
      <c r="U22" s="376" t="s">
        <v>139</v>
      </c>
      <c r="V22" s="379">
        <f aca="true" t="shared" si="8" ref="V22:V41">IF(F22="","",SUM(Q22:T22)*IF(U22="SI",1,2)*IF(H22="500/220",0,1))</f>
        <v>166.88855</v>
      </c>
      <c r="W22" s="298"/>
    </row>
    <row r="23" spans="2:23" s="10" customFormat="1" ht="16.5" customHeight="1">
      <c r="B23" s="44"/>
      <c r="C23" s="271">
        <v>20</v>
      </c>
      <c r="D23" s="268">
        <v>272787</v>
      </c>
      <c r="E23" s="268">
        <v>943</v>
      </c>
      <c r="F23" s="365" t="s">
        <v>149</v>
      </c>
      <c r="G23" s="365" t="s">
        <v>151</v>
      </c>
      <c r="H23" s="366">
        <v>132</v>
      </c>
      <c r="I23" s="367">
        <f t="shared" si="0"/>
        <v>16.943</v>
      </c>
      <c r="J23" s="368">
        <v>41707.25347222222</v>
      </c>
      <c r="K23" s="369">
        <v>41707.33541666667</v>
      </c>
      <c r="L23" s="285">
        <f t="shared" si="1"/>
        <v>1.966666666790843</v>
      </c>
      <c r="M23" s="370">
        <f t="shared" si="2"/>
        <v>118</v>
      </c>
      <c r="N23" s="287" t="s">
        <v>135</v>
      </c>
      <c r="O23" s="287" t="str">
        <f aca="true" t="shared" si="9" ref="O23:O41">IF(F23="","",IF(OR(N23="P",N23="RP"),"--","NO"))</f>
        <v>--</v>
      </c>
      <c r="P23" s="371">
        <f t="shared" si="3"/>
        <v>50</v>
      </c>
      <c r="Q23" s="372">
        <f t="shared" si="4"/>
        <v>166.88855</v>
      </c>
      <c r="R23" s="373" t="str">
        <f t="shared" si="5"/>
        <v>--</v>
      </c>
      <c r="S23" s="374" t="str">
        <f t="shared" si="6"/>
        <v>--</v>
      </c>
      <c r="T23" s="375" t="str">
        <f t="shared" si="7"/>
        <v>--</v>
      </c>
      <c r="U23" s="376" t="s">
        <v>139</v>
      </c>
      <c r="V23" s="379">
        <f t="shared" si="8"/>
        <v>166.88855</v>
      </c>
      <c r="W23" s="298"/>
    </row>
    <row r="24" spans="2:23" s="10" customFormat="1" ht="16.5" customHeight="1">
      <c r="B24" s="44"/>
      <c r="C24" s="271">
        <v>21</v>
      </c>
      <c r="D24" s="268">
        <v>273071</v>
      </c>
      <c r="E24" s="268">
        <v>910</v>
      </c>
      <c r="F24" s="365" t="s">
        <v>146</v>
      </c>
      <c r="G24" s="365" t="s">
        <v>152</v>
      </c>
      <c r="H24" s="366">
        <v>13.199999809265137</v>
      </c>
      <c r="I24" s="367">
        <f t="shared" si="0"/>
        <v>12.711</v>
      </c>
      <c r="J24" s="368">
        <v>41711.41111111111</v>
      </c>
      <c r="K24" s="369">
        <v>41711.489583333336</v>
      </c>
      <c r="L24" s="285">
        <f t="shared" si="1"/>
        <v>1.883333333360497</v>
      </c>
      <c r="M24" s="370">
        <f t="shared" si="2"/>
        <v>113</v>
      </c>
      <c r="N24" s="287" t="s">
        <v>131</v>
      </c>
      <c r="O24" s="287" t="str">
        <f t="shared" si="9"/>
        <v>NO</v>
      </c>
      <c r="P24" s="371">
        <f t="shared" si="3"/>
        <v>20</v>
      </c>
      <c r="Q24" s="372" t="str">
        <f t="shared" si="4"/>
        <v>--</v>
      </c>
      <c r="R24" s="373">
        <f t="shared" si="5"/>
        <v>254.22</v>
      </c>
      <c r="S24" s="374">
        <f t="shared" si="6"/>
        <v>477.93359999999996</v>
      </c>
      <c r="T24" s="375" t="str">
        <f t="shared" si="7"/>
        <v>--</v>
      </c>
      <c r="U24" s="376" t="s">
        <v>139</v>
      </c>
      <c r="V24" s="379">
        <f t="shared" si="8"/>
        <v>732.1536</v>
      </c>
      <c r="W24" s="298"/>
    </row>
    <row r="25" spans="2:23" s="10" customFormat="1" ht="16.5" customHeight="1">
      <c r="B25" s="44"/>
      <c r="C25" s="271">
        <v>22</v>
      </c>
      <c r="D25" s="268">
        <v>273072</v>
      </c>
      <c r="E25" s="268">
        <v>908</v>
      </c>
      <c r="F25" s="365" t="s">
        <v>146</v>
      </c>
      <c r="G25" s="365" t="s">
        <v>153</v>
      </c>
      <c r="H25" s="366">
        <v>33</v>
      </c>
      <c r="I25" s="367">
        <f t="shared" si="0"/>
        <v>12.711</v>
      </c>
      <c r="J25" s="368">
        <v>41711.41111111111</v>
      </c>
      <c r="K25" s="369">
        <v>41711.48888888889</v>
      </c>
      <c r="L25" s="285">
        <f t="shared" si="1"/>
        <v>1.866666666639503</v>
      </c>
      <c r="M25" s="370">
        <f t="shared" si="2"/>
        <v>112</v>
      </c>
      <c r="N25" s="287" t="s">
        <v>131</v>
      </c>
      <c r="O25" s="287" t="str">
        <f t="shared" si="9"/>
        <v>NO</v>
      </c>
      <c r="P25" s="371">
        <f t="shared" si="3"/>
        <v>25</v>
      </c>
      <c r="Q25" s="372" t="str">
        <f t="shared" si="4"/>
        <v>--</v>
      </c>
      <c r="R25" s="373">
        <f t="shared" si="5"/>
        <v>317.77500000000003</v>
      </c>
      <c r="S25" s="374">
        <f t="shared" si="6"/>
        <v>594.2392500000001</v>
      </c>
      <c r="T25" s="375" t="str">
        <f t="shared" si="7"/>
        <v>--</v>
      </c>
      <c r="U25" s="376" t="s">
        <v>139</v>
      </c>
      <c r="V25" s="379">
        <f t="shared" si="8"/>
        <v>912.0142500000002</v>
      </c>
      <c r="W25" s="298"/>
    </row>
    <row r="26" spans="2:23" s="10" customFormat="1" ht="16.5" customHeight="1">
      <c r="B26" s="44"/>
      <c r="C26" s="271">
        <v>23</v>
      </c>
      <c r="D26" s="268">
        <v>273073</v>
      </c>
      <c r="E26" s="268">
        <v>910</v>
      </c>
      <c r="F26" s="365" t="s">
        <v>146</v>
      </c>
      <c r="G26" s="365" t="s">
        <v>152</v>
      </c>
      <c r="H26" s="366">
        <v>13.199999809265137</v>
      </c>
      <c r="I26" s="367">
        <f t="shared" si="0"/>
        <v>12.711</v>
      </c>
      <c r="J26" s="368">
        <v>41713.34305555555</v>
      </c>
      <c r="K26" s="369">
        <v>41713.493055555555</v>
      </c>
      <c r="L26" s="285">
        <f t="shared" si="1"/>
        <v>3.6000000000349246</v>
      </c>
      <c r="M26" s="370">
        <f t="shared" si="2"/>
        <v>216</v>
      </c>
      <c r="N26" s="287" t="s">
        <v>135</v>
      </c>
      <c r="O26" s="287" t="str">
        <f t="shared" si="9"/>
        <v>--</v>
      </c>
      <c r="P26" s="371">
        <f t="shared" si="3"/>
        <v>20</v>
      </c>
      <c r="Q26" s="372">
        <f t="shared" si="4"/>
        <v>91.51920000000001</v>
      </c>
      <c r="R26" s="373" t="str">
        <f t="shared" si="5"/>
        <v>--</v>
      </c>
      <c r="S26" s="374" t="str">
        <f t="shared" si="6"/>
        <v>--</v>
      </c>
      <c r="T26" s="375" t="str">
        <f t="shared" si="7"/>
        <v>--</v>
      </c>
      <c r="U26" s="376" t="s">
        <v>139</v>
      </c>
      <c r="V26" s="379">
        <f t="shared" si="8"/>
        <v>91.51920000000001</v>
      </c>
      <c r="W26" s="298"/>
    </row>
    <row r="27" spans="2:23" s="10" customFormat="1" ht="16.5" customHeight="1">
      <c r="B27" s="44"/>
      <c r="C27" s="271">
        <v>24</v>
      </c>
      <c r="D27" s="268">
        <v>273074</v>
      </c>
      <c r="E27" s="268">
        <v>908</v>
      </c>
      <c r="F27" s="365" t="s">
        <v>146</v>
      </c>
      <c r="G27" s="365" t="s">
        <v>153</v>
      </c>
      <c r="H27" s="366">
        <v>33</v>
      </c>
      <c r="I27" s="367">
        <f t="shared" si="0"/>
        <v>12.711</v>
      </c>
      <c r="J27" s="368">
        <v>41713.34305555555</v>
      </c>
      <c r="K27" s="369">
        <v>41713.493055555555</v>
      </c>
      <c r="L27" s="285">
        <f t="shared" si="1"/>
        <v>3.6000000000349246</v>
      </c>
      <c r="M27" s="370">
        <f t="shared" si="2"/>
        <v>216</v>
      </c>
      <c r="N27" s="287" t="s">
        <v>135</v>
      </c>
      <c r="O27" s="287" t="str">
        <f t="shared" si="9"/>
        <v>--</v>
      </c>
      <c r="P27" s="371">
        <f t="shared" si="3"/>
        <v>25</v>
      </c>
      <c r="Q27" s="372">
        <f t="shared" si="4"/>
        <v>114.39900000000003</v>
      </c>
      <c r="R27" s="373" t="str">
        <f t="shared" si="5"/>
        <v>--</v>
      </c>
      <c r="S27" s="374" t="str">
        <f t="shared" si="6"/>
        <v>--</v>
      </c>
      <c r="T27" s="375" t="str">
        <f t="shared" si="7"/>
        <v>--</v>
      </c>
      <c r="U27" s="376" t="s">
        <v>139</v>
      </c>
      <c r="V27" s="379">
        <f t="shared" si="8"/>
        <v>114.39900000000003</v>
      </c>
      <c r="W27" s="298"/>
    </row>
    <row r="28" spans="2:23" s="10" customFormat="1" ht="16.5" customHeight="1">
      <c r="B28" s="44"/>
      <c r="C28" s="271">
        <v>25</v>
      </c>
      <c r="D28" s="268">
        <v>273313</v>
      </c>
      <c r="E28" s="268">
        <v>923</v>
      </c>
      <c r="F28" s="365" t="s">
        <v>142</v>
      </c>
      <c r="G28" s="365" t="s">
        <v>154</v>
      </c>
      <c r="H28" s="366">
        <v>33</v>
      </c>
      <c r="I28" s="367">
        <f t="shared" si="0"/>
        <v>12.711</v>
      </c>
      <c r="J28" s="368">
        <v>41716.33263888889</v>
      </c>
      <c r="K28" s="369">
        <v>41716.57430555556</v>
      </c>
      <c r="L28" s="285">
        <f t="shared" si="1"/>
        <v>5.800000000046566</v>
      </c>
      <c r="M28" s="370">
        <f t="shared" si="2"/>
        <v>348</v>
      </c>
      <c r="N28" s="287" t="s">
        <v>135</v>
      </c>
      <c r="O28" s="287" t="str">
        <f t="shared" si="9"/>
        <v>--</v>
      </c>
      <c r="P28" s="371">
        <f t="shared" si="3"/>
        <v>25</v>
      </c>
      <c r="Q28" s="372">
        <f t="shared" si="4"/>
        <v>184.30950000000004</v>
      </c>
      <c r="R28" s="373" t="str">
        <f t="shared" si="5"/>
        <v>--</v>
      </c>
      <c r="S28" s="374" t="str">
        <f t="shared" si="6"/>
        <v>--</v>
      </c>
      <c r="T28" s="375" t="str">
        <f t="shared" si="7"/>
        <v>--</v>
      </c>
      <c r="U28" s="376" t="s">
        <v>139</v>
      </c>
      <c r="V28" s="379">
        <f t="shared" si="8"/>
        <v>184.30950000000004</v>
      </c>
      <c r="W28" s="298"/>
    </row>
    <row r="29" spans="2:23" s="10" customFormat="1" ht="16.5" customHeight="1">
      <c r="B29" s="44"/>
      <c r="C29" s="271">
        <v>26</v>
      </c>
      <c r="D29" s="268">
        <v>273314</v>
      </c>
      <c r="E29" s="268">
        <v>924</v>
      </c>
      <c r="F29" s="365" t="s">
        <v>142</v>
      </c>
      <c r="G29" s="365" t="s">
        <v>155</v>
      </c>
      <c r="H29" s="366">
        <v>33</v>
      </c>
      <c r="I29" s="367">
        <f t="shared" si="0"/>
        <v>12.711</v>
      </c>
      <c r="J29" s="368">
        <v>41716.333333333336</v>
      </c>
      <c r="K29" s="369">
        <v>41716.66875</v>
      </c>
      <c r="L29" s="285">
        <f t="shared" si="1"/>
        <v>8.049999999871943</v>
      </c>
      <c r="M29" s="370">
        <f t="shared" si="2"/>
        <v>483</v>
      </c>
      <c r="N29" s="287" t="s">
        <v>135</v>
      </c>
      <c r="O29" s="287" t="str">
        <f t="shared" si="9"/>
        <v>--</v>
      </c>
      <c r="P29" s="371">
        <f t="shared" si="3"/>
        <v>25</v>
      </c>
      <c r="Q29" s="372">
        <f t="shared" si="4"/>
        <v>255.80887500000006</v>
      </c>
      <c r="R29" s="373" t="str">
        <f t="shared" si="5"/>
        <v>--</v>
      </c>
      <c r="S29" s="374" t="str">
        <f t="shared" si="6"/>
        <v>--</v>
      </c>
      <c r="T29" s="375" t="str">
        <f t="shared" si="7"/>
        <v>--</v>
      </c>
      <c r="U29" s="376" t="s">
        <v>139</v>
      </c>
      <c r="V29" s="379">
        <f t="shared" si="8"/>
        <v>255.80887500000006</v>
      </c>
      <c r="W29" s="298"/>
    </row>
    <row r="30" spans="2:23" s="10" customFormat="1" ht="16.5" customHeight="1">
      <c r="B30" s="44"/>
      <c r="C30" s="271">
        <v>27</v>
      </c>
      <c r="D30" s="268">
        <v>273315</v>
      </c>
      <c r="E30" s="268">
        <v>943</v>
      </c>
      <c r="F30" s="365" t="s">
        <v>149</v>
      </c>
      <c r="G30" s="365" t="s">
        <v>151</v>
      </c>
      <c r="H30" s="366">
        <v>132</v>
      </c>
      <c r="I30" s="367">
        <f t="shared" si="0"/>
        <v>16.943</v>
      </c>
      <c r="J30" s="368">
        <v>41717.32430555556</v>
      </c>
      <c r="K30" s="369">
        <v>41717.57430555556</v>
      </c>
      <c r="L30" s="285">
        <f t="shared" si="1"/>
        <v>6</v>
      </c>
      <c r="M30" s="370">
        <f t="shared" si="2"/>
        <v>360</v>
      </c>
      <c r="N30" s="287" t="s">
        <v>135</v>
      </c>
      <c r="O30" s="287" t="str">
        <f t="shared" si="9"/>
        <v>--</v>
      </c>
      <c r="P30" s="371">
        <f t="shared" si="3"/>
        <v>50</v>
      </c>
      <c r="Q30" s="372">
        <f t="shared" si="4"/>
        <v>508.2900000000001</v>
      </c>
      <c r="R30" s="373" t="str">
        <f t="shared" si="5"/>
        <v>--</v>
      </c>
      <c r="S30" s="374" t="str">
        <f t="shared" si="6"/>
        <v>--</v>
      </c>
      <c r="T30" s="375" t="str">
        <f t="shared" si="7"/>
        <v>--</v>
      </c>
      <c r="U30" s="376" t="s">
        <v>139</v>
      </c>
      <c r="V30" s="379">
        <f t="shared" si="8"/>
        <v>508.2900000000001</v>
      </c>
      <c r="W30" s="298"/>
    </row>
    <row r="31" spans="2:23" s="10" customFormat="1" ht="16.5" customHeight="1">
      <c r="B31" s="44"/>
      <c r="C31" s="271">
        <v>28</v>
      </c>
      <c r="D31" s="268">
        <v>273316</v>
      </c>
      <c r="E31" s="268">
        <v>926</v>
      </c>
      <c r="F31" s="365" t="s">
        <v>142</v>
      </c>
      <c r="G31" s="365" t="s">
        <v>156</v>
      </c>
      <c r="H31" s="366">
        <v>33</v>
      </c>
      <c r="I31" s="367">
        <f t="shared" si="0"/>
        <v>12.711</v>
      </c>
      <c r="J31" s="368">
        <v>41717.32847222222</v>
      </c>
      <c r="K31" s="369">
        <v>41717.70416666667</v>
      </c>
      <c r="L31" s="285">
        <f t="shared" si="1"/>
        <v>9.016666666720994</v>
      </c>
      <c r="M31" s="370">
        <f t="shared" si="2"/>
        <v>541</v>
      </c>
      <c r="N31" s="287" t="s">
        <v>135</v>
      </c>
      <c r="O31" s="287" t="str">
        <f t="shared" si="9"/>
        <v>--</v>
      </c>
      <c r="P31" s="371">
        <f t="shared" si="3"/>
        <v>25</v>
      </c>
      <c r="Q31" s="372">
        <f t="shared" si="4"/>
        <v>286.63305</v>
      </c>
      <c r="R31" s="373" t="str">
        <f t="shared" si="5"/>
        <v>--</v>
      </c>
      <c r="S31" s="374" t="str">
        <f t="shared" si="6"/>
        <v>--</v>
      </c>
      <c r="T31" s="375" t="str">
        <f t="shared" si="7"/>
        <v>--</v>
      </c>
      <c r="U31" s="376" t="s">
        <v>139</v>
      </c>
      <c r="V31" s="379">
        <f t="shared" si="8"/>
        <v>286.63305</v>
      </c>
      <c r="W31" s="298"/>
    </row>
    <row r="32" spans="2:23" s="10" customFormat="1" ht="16.5" customHeight="1">
      <c r="B32" s="44"/>
      <c r="C32" s="271">
        <v>29</v>
      </c>
      <c r="D32" s="268">
        <v>273317</v>
      </c>
      <c r="E32" s="268">
        <v>934</v>
      </c>
      <c r="F32" s="365" t="s">
        <v>142</v>
      </c>
      <c r="G32" s="365" t="s">
        <v>157</v>
      </c>
      <c r="H32" s="366">
        <v>33</v>
      </c>
      <c r="I32" s="367">
        <f t="shared" si="0"/>
        <v>12.711</v>
      </c>
      <c r="J32" s="368">
        <v>41717.521527777775</v>
      </c>
      <c r="K32" s="369">
        <v>41717.72222222222</v>
      </c>
      <c r="L32" s="285">
        <f t="shared" si="1"/>
        <v>4.816666666651145</v>
      </c>
      <c r="M32" s="370">
        <f t="shared" si="2"/>
        <v>289</v>
      </c>
      <c r="N32" s="287" t="s">
        <v>135</v>
      </c>
      <c r="O32" s="287" t="str">
        <f t="shared" si="9"/>
        <v>--</v>
      </c>
      <c r="P32" s="371">
        <f t="shared" si="3"/>
        <v>25</v>
      </c>
      <c r="Q32" s="372">
        <f t="shared" si="4"/>
        <v>153.16755000000003</v>
      </c>
      <c r="R32" s="373" t="str">
        <f t="shared" si="5"/>
        <v>--</v>
      </c>
      <c r="S32" s="374" t="str">
        <f t="shared" si="6"/>
        <v>--</v>
      </c>
      <c r="T32" s="375" t="str">
        <f t="shared" si="7"/>
        <v>--</v>
      </c>
      <c r="U32" s="376" t="s">
        <v>139</v>
      </c>
      <c r="V32" s="379">
        <f t="shared" si="8"/>
        <v>153.16755000000003</v>
      </c>
      <c r="W32" s="298"/>
    </row>
    <row r="33" spans="2:23" s="10" customFormat="1" ht="16.5" customHeight="1">
      <c r="B33" s="44"/>
      <c r="C33" s="271">
        <v>30</v>
      </c>
      <c r="D33" s="268">
        <v>273318</v>
      </c>
      <c r="E33" s="268">
        <v>876</v>
      </c>
      <c r="F33" s="365" t="s">
        <v>158</v>
      </c>
      <c r="G33" s="365" t="s">
        <v>159</v>
      </c>
      <c r="H33" s="366">
        <v>66</v>
      </c>
      <c r="I33" s="367">
        <f t="shared" si="0"/>
        <v>16.943</v>
      </c>
      <c r="J33" s="368">
        <v>41719.524305555555</v>
      </c>
      <c r="K33" s="369">
        <v>41719.67847222222</v>
      </c>
      <c r="L33" s="285">
        <f t="shared" si="1"/>
        <v>3.7000000000116415</v>
      </c>
      <c r="M33" s="370">
        <f t="shared" si="2"/>
        <v>222</v>
      </c>
      <c r="N33" s="287" t="s">
        <v>131</v>
      </c>
      <c r="O33" s="287" t="s">
        <v>139</v>
      </c>
      <c r="P33" s="371">
        <f t="shared" si="3"/>
        <v>50</v>
      </c>
      <c r="Q33" s="372" t="str">
        <f t="shared" si="4"/>
        <v>--</v>
      </c>
      <c r="R33" s="373" t="str">
        <f t="shared" si="5"/>
        <v>--</v>
      </c>
      <c r="S33" s="374">
        <f t="shared" si="6"/>
        <v>3134.4550000000004</v>
      </c>
      <c r="T33" s="375" t="str">
        <f t="shared" si="7"/>
        <v>--</v>
      </c>
      <c r="U33" s="376" t="s">
        <v>139</v>
      </c>
      <c r="V33" s="379">
        <f t="shared" si="8"/>
        <v>3134.4550000000004</v>
      </c>
      <c r="W33" s="298"/>
    </row>
    <row r="34" spans="2:23" s="10" customFormat="1" ht="16.5" customHeight="1">
      <c r="B34" s="44"/>
      <c r="C34" s="271">
        <v>31</v>
      </c>
      <c r="D34" s="268">
        <v>273502</v>
      </c>
      <c r="E34" s="268">
        <v>935</v>
      </c>
      <c r="F34" s="365" t="s">
        <v>142</v>
      </c>
      <c r="G34" s="365" t="s">
        <v>160</v>
      </c>
      <c r="H34" s="366">
        <v>33</v>
      </c>
      <c r="I34" s="367">
        <f t="shared" si="0"/>
        <v>12.711</v>
      </c>
      <c r="J34" s="368">
        <v>41723.36944444444</v>
      </c>
      <c r="K34" s="369">
        <v>41723.49722222222</v>
      </c>
      <c r="L34" s="285">
        <f t="shared" si="1"/>
        <v>3.0666666667093523</v>
      </c>
      <c r="M34" s="370">
        <f t="shared" si="2"/>
        <v>184</v>
      </c>
      <c r="N34" s="287" t="s">
        <v>135</v>
      </c>
      <c r="O34" s="287" t="str">
        <f t="shared" si="9"/>
        <v>--</v>
      </c>
      <c r="P34" s="371">
        <f t="shared" si="3"/>
        <v>25</v>
      </c>
      <c r="Q34" s="372">
        <f t="shared" si="4"/>
        <v>97.556925</v>
      </c>
      <c r="R34" s="373" t="str">
        <f t="shared" si="5"/>
        <v>--</v>
      </c>
      <c r="S34" s="374" t="str">
        <f t="shared" si="6"/>
        <v>--</v>
      </c>
      <c r="T34" s="375" t="str">
        <f t="shared" si="7"/>
        <v>--</v>
      </c>
      <c r="U34" s="376" t="s">
        <v>139</v>
      </c>
      <c r="V34" s="379">
        <f t="shared" si="8"/>
        <v>97.556925</v>
      </c>
      <c r="W34" s="298"/>
    </row>
    <row r="35" spans="2:23" s="10" customFormat="1" ht="16.5" customHeight="1">
      <c r="B35" s="44"/>
      <c r="C35" s="271">
        <v>32</v>
      </c>
      <c r="D35" s="268">
        <v>273503</v>
      </c>
      <c r="E35" s="268">
        <v>931</v>
      </c>
      <c r="F35" s="365" t="s">
        <v>142</v>
      </c>
      <c r="G35" s="365" t="s">
        <v>161</v>
      </c>
      <c r="H35" s="366">
        <v>33</v>
      </c>
      <c r="I35" s="367">
        <f t="shared" si="0"/>
        <v>12.711</v>
      </c>
      <c r="J35" s="368">
        <v>41723.49722222222</v>
      </c>
      <c r="K35" s="369">
        <v>41723.66458333333</v>
      </c>
      <c r="L35" s="285">
        <f t="shared" si="1"/>
        <v>4.016666666662786</v>
      </c>
      <c r="M35" s="370">
        <f t="shared" si="2"/>
        <v>241</v>
      </c>
      <c r="N35" s="287" t="s">
        <v>135</v>
      </c>
      <c r="O35" s="287" t="str">
        <f t="shared" si="9"/>
        <v>--</v>
      </c>
      <c r="P35" s="371">
        <f t="shared" si="3"/>
        <v>25</v>
      </c>
      <c r="Q35" s="372">
        <f t="shared" si="4"/>
        <v>127.74555000000001</v>
      </c>
      <c r="R35" s="373" t="str">
        <f t="shared" si="5"/>
        <v>--</v>
      </c>
      <c r="S35" s="374" t="str">
        <f t="shared" si="6"/>
        <v>--</v>
      </c>
      <c r="T35" s="375" t="str">
        <f t="shared" si="7"/>
        <v>--</v>
      </c>
      <c r="U35" s="376" t="s">
        <v>139</v>
      </c>
      <c r="V35" s="379">
        <f t="shared" si="8"/>
        <v>127.74555000000001</v>
      </c>
      <c r="W35" s="298"/>
    </row>
    <row r="36" spans="2:23" s="10" customFormat="1" ht="16.5" customHeight="1">
      <c r="B36" s="44"/>
      <c r="C36" s="271">
        <v>33</v>
      </c>
      <c r="D36" s="268">
        <v>273504</v>
      </c>
      <c r="E36" s="268">
        <v>929</v>
      </c>
      <c r="F36" s="365" t="s">
        <v>142</v>
      </c>
      <c r="G36" s="365" t="s">
        <v>162</v>
      </c>
      <c r="H36" s="366">
        <v>33</v>
      </c>
      <c r="I36" s="367">
        <f t="shared" si="0"/>
        <v>12.711</v>
      </c>
      <c r="J36" s="368">
        <v>41724.322916666664</v>
      </c>
      <c r="K36" s="369">
        <v>41724.48888888889</v>
      </c>
      <c r="L36" s="285">
        <f t="shared" si="1"/>
        <v>3.9833333333954215</v>
      </c>
      <c r="M36" s="370">
        <f t="shared" si="2"/>
        <v>239</v>
      </c>
      <c r="N36" s="287" t="s">
        <v>135</v>
      </c>
      <c r="O36" s="287" t="str">
        <f t="shared" si="9"/>
        <v>--</v>
      </c>
      <c r="P36" s="371">
        <f t="shared" si="3"/>
        <v>25</v>
      </c>
      <c r="Q36" s="372">
        <f t="shared" si="4"/>
        <v>126.47445000000003</v>
      </c>
      <c r="R36" s="373" t="str">
        <f t="shared" si="5"/>
        <v>--</v>
      </c>
      <c r="S36" s="374" t="str">
        <f t="shared" si="6"/>
        <v>--</v>
      </c>
      <c r="T36" s="375" t="str">
        <f t="shared" si="7"/>
        <v>--</v>
      </c>
      <c r="U36" s="376" t="s">
        <v>139</v>
      </c>
      <c r="V36" s="379">
        <f t="shared" si="8"/>
        <v>126.47445000000003</v>
      </c>
      <c r="W36" s="298"/>
    </row>
    <row r="37" spans="2:23" s="10" customFormat="1" ht="16.5" customHeight="1">
      <c r="B37" s="44"/>
      <c r="C37" s="271">
        <v>34</v>
      </c>
      <c r="D37" s="268">
        <v>273505</v>
      </c>
      <c r="E37" s="268">
        <v>932</v>
      </c>
      <c r="F37" s="365" t="s">
        <v>142</v>
      </c>
      <c r="G37" s="365" t="s">
        <v>163</v>
      </c>
      <c r="H37" s="366">
        <v>33</v>
      </c>
      <c r="I37" s="367">
        <f t="shared" si="0"/>
        <v>12.711</v>
      </c>
      <c r="J37" s="368">
        <v>41724.478472222225</v>
      </c>
      <c r="K37" s="369">
        <v>41724.657638888886</v>
      </c>
      <c r="L37" s="285">
        <f t="shared" si="1"/>
        <v>4.299999999871943</v>
      </c>
      <c r="M37" s="370">
        <f t="shared" si="2"/>
        <v>258</v>
      </c>
      <c r="N37" s="287" t="s">
        <v>135</v>
      </c>
      <c r="O37" s="287" t="str">
        <f t="shared" si="9"/>
        <v>--</v>
      </c>
      <c r="P37" s="371">
        <f t="shared" si="3"/>
        <v>25</v>
      </c>
      <c r="Q37" s="372">
        <f t="shared" si="4"/>
        <v>136.64325000000002</v>
      </c>
      <c r="R37" s="373" t="str">
        <f t="shared" si="5"/>
        <v>--</v>
      </c>
      <c r="S37" s="374" t="str">
        <f t="shared" si="6"/>
        <v>--</v>
      </c>
      <c r="T37" s="375" t="str">
        <f t="shared" si="7"/>
        <v>--</v>
      </c>
      <c r="U37" s="376" t="s">
        <v>139</v>
      </c>
      <c r="V37" s="379">
        <f t="shared" si="8"/>
        <v>136.64325000000002</v>
      </c>
      <c r="W37" s="298"/>
    </row>
    <row r="38" spans="2:23" s="10" customFormat="1" ht="16.5" customHeight="1">
      <c r="B38" s="44"/>
      <c r="C38" s="271">
        <v>35</v>
      </c>
      <c r="D38" s="268">
        <v>273506</v>
      </c>
      <c r="E38" s="268">
        <v>922</v>
      </c>
      <c r="F38" s="365" t="s">
        <v>142</v>
      </c>
      <c r="G38" s="365" t="s">
        <v>164</v>
      </c>
      <c r="H38" s="366">
        <v>132</v>
      </c>
      <c r="I38" s="367">
        <f t="shared" si="0"/>
        <v>16.943</v>
      </c>
      <c r="J38" s="368">
        <v>41728.35208333333</v>
      </c>
      <c r="K38" s="369">
        <v>41728.82708333333</v>
      </c>
      <c r="L38" s="285">
        <f t="shared" si="1"/>
        <v>11.399999999965075</v>
      </c>
      <c r="M38" s="370">
        <f t="shared" si="2"/>
        <v>684</v>
      </c>
      <c r="N38" s="287" t="s">
        <v>135</v>
      </c>
      <c r="O38" s="287" t="str">
        <f t="shared" si="9"/>
        <v>--</v>
      </c>
      <c r="P38" s="371">
        <f t="shared" si="3"/>
        <v>50</v>
      </c>
      <c r="Q38" s="372">
        <f t="shared" si="4"/>
        <v>965.7510000000002</v>
      </c>
      <c r="R38" s="373" t="str">
        <f t="shared" si="5"/>
        <v>--</v>
      </c>
      <c r="S38" s="374" t="str">
        <f t="shared" si="6"/>
        <v>--</v>
      </c>
      <c r="T38" s="375" t="str">
        <f t="shared" si="7"/>
        <v>--</v>
      </c>
      <c r="U38" s="376" t="s">
        <v>139</v>
      </c>
      <c r="V38" s="379">
        <f t="shared" si="8"/>
        <v>965.7510000000002</v>
      </c>
      <c r="W38" s="298"/>
    </row>
    <row r="39" spans="2:23" s="10" customFormat="1" ht="16.5" customHeight="1">
      <c r="B39" s="44"/>
      <c r="C39" s="271">
        <v>36</v>
      </c>
      <c r="D39" s="268">
        <v>273507</v>
      </c>
      <c r="E39" s="268">
        <v>922</v>
      </c>
      <c r="F39" s="365" t="s">
        <v>142</v>
      </c>
      <c r="G39" s="365" t="s">
        <v>164</v>
      </c>
      <c r="H39" s="366">
        <v>132</v>
      </c>
      <c r="I39" s="367">
        <f t="shared" si="0"/>
        <v>16.943</v>
      </c>
      <c r="J39" s="368">
        <v>41729.04027777778</v>
      </c>
      <c r="K39" s="369">
        <v>41729.05</v>
      </c>
      <c r="L39" s="285">
        <f t="shared" si="1"/>
        <v>0.2333333333954215</v>
      </c>
      <c r="M39" s="370">
        <f t="shared" si="2"/>
        <v>14</v>
      </c>
      <c r="N39" s="287" t="s">
        <v>131</v>
      </c>
      <c r="O39" s="287" t="s">
        <v>139</v>
      </c>
      <c r="P39" s="371">
        <f t="shared" si="3"/>
        <v>50</v>
      </c>
      <c r="Q39" s="372" t="str">
        <f t="shared" si="4"/>
        <v>--</v>
      </c>
      <c r="R39" s="373" t="str">
        <f t="shared" si="5"/>
        <v>--</v>
      </c>
      <c r="S39" s="374">
        <f t="shared" si="6"/>
        <v>194.84450000000004</v>
      </c>
      <c r="T39" s="375" t="str">
        <f t="shared" si="7"/>
        <v>--</v>
      </c>
      <c r="U39" s="376" t="s">
        <v>139</v>
      </c>
      <c r="V39" s="379">
        <f t="shared" si="8"/>
        <v>194.84450000000004</v>
      </c>
      <c r="W39" s="298"/>
    </row>
    <row r="40" spans="2:23" s="10" customFormat="1" ht="16.5" customHeight="1">
      <c r="B40" s="44"/>
      <c r="C40" s="271"/>
      <c r="D40" s="268"/>
      <c r="E40" s="268"/>
      <c r="F40" s="365"/>
      <c r="G40" s="365"/>
      <c r="H40" s="366"/>
      <c r="I40" s="367">
        <f t="shared" si="0"/>
        <v>12.711</v>
      </c>
      <c r="J40" s="368"/>
      <c r="K40" s="369"/>
      <c r="L40" s="285">
        <f t="shared" si="1"/>
      </c>
      <c r="M40" s="370">
        <f t="shared" si="2"/>
      </c>
      <c r="N40" s="287"/>
      <c r="O40" s="287">
        <f t="shared" si="9"/>
      </c>
      <c r="P40" s="371">
        <f t="shared" si="3"/>
        <v>20</v>
      </c>
      <c r="Q40" s="372" t="str">
        <f t="shared" si="4"/>
        <v>--</v>
      </c>
      <c r="R40" s="373" t="str">
        <f t="shared" si="5"/>
        <v>--</v>
      </c>
      <c r="S40" s="374" t="str">
        <f t="shared" si="6"/>
        <v>--</v>
      </c>
      <c r="T40" s="375" t="str">
        <f t="shared" si="7"/>
        <v>--</v>
      </c>
      <c r="U40" s="376">
        <f>IF(F40="","","SI")</f>
      </c>
      <c r="V40" s="379">
        <f t="shared" si="8"/>
      </c>
      <c r="W40" s="298"/>
    </row>
    <row r="41" spans="2:23" s="10" customFormat="1" ht="16.5" customHeight="1">
      <c r="B41" s="44"/>
      <c r="C41" s="271"/>
      <c r="D41" s="268"/>
      <c r="E41" s="268"/>
      <c r="F41" s="365"/>
      <c r="G41" s="365"/>
      <c r="H41" s="366"/>
      <c r="I41" s="367">
        <f t="shared" si="0"/>
        <v>12.711</v>
      </c>
      <c r="J41" s="368"/>
      <c r="K41" s="369"/>
      <c r="L41" s="285">
        <f t="shared" si="1"/>
      </c>
      <c r="M41" s="370">
        <f t="shared" si="2"/>
      </c>
      <c r="N41" s="287"/>
      <c r="O41" s="287">
        <f t="shared" si="9"/>
      </c>
      <c r="P41" s="371">
        <f t="shared" si="3"/>
        <v>20</v>
      </c>
      <c r="Q41" s="372" t="str">
        <f t="shared" si="4"/>
        <v>--</v>
      </c>
      <c r="R41" s="373" t="str">
        <f t="shared" si="5"/>
        <v>--</v>
      </c>
      <c r="S41" s="374" t="str">
        <f t="shared" si="6"/>
        <v>--</v>
      </c>
      <c r="T41" s="375" t="str">
        <f t="shared" si="7"/>
        <v>--</v>
      </c>
      <c r="U41" s="376">
        <f>IF(F41="","","SI")</f>
      </c>
      <c r="V41" s="379">
        <f t="shared" si="8"/>
      </c>
      <c r="W41" s="298"/>
    </row>
    <row r="42" spans="2:23" s="10" customFormat="1" ht="16.5" customHeight="1" thickBot="1">
      <c r="B42" s="44"/>
      <c r="C42" s="299"/>
      <c r="D42" s="299"/>
      <c r="E42" s="299"/>
      <c r="F42" s="299"/>
      <c r="G42" s="299"/>
      <c r="H42" s="299"/>
      <c r="I42" s="380"/>
      <c r="J42" s="299"/>
      <c r="K42" s="299"/>
      <c r="L42" s="299"/>
      <c r="M42" s="299"/>
      <c r="N42" s="299"/>
      <c r="O42" s="299"/>
      <c r="P42" s="381"/>
      <c r="Q42" s="382"/>
      <c r="R42" s="383"/>
      <c r="S42" s="384"/>
      <c r="T42" s="385"/>
      <c r="U42" s="299"/>
      <c r="V42" s="386"/>
      <c r="W42" s="298"/>
    </row>
    <row r="43" spans="2:23" s="10" customFormat="1" ht="16.5" customHeight="1" thickBot="1" thickTop="1">
      <c r="B43" s="44"/>
      <c r="C43" s="171" t="s">
        <v>73</v>
      </c>
      <c r="D43" s="589" t="s">
        <v>180</v>
      </c>
      <c r="E43" s="186"/>
      <c r="F43" s="17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387">
        <f>SUM(Q20:Q42)</f>
        <v>3382.0754500000007</v>
      </c>
      <c r="R43" s="388">
        <f>SUM(R20:R42)</f>
        <v>571.995</v>
      </c>
      <c r="S43" s="388">
        <f>SUM(S20:S42)</f>
        <v>4401.472350000001</v>
      </c>
      <c r="T43" s="389">
        <f>SUM(T20:T42)</f>
        <v>0</v>
      </c>
      <c r="U43" s="390"/>
      <c r="V43" s="391">
        <f>ROUND(SUM(V20:V42),2)</f>
        <v>8355.54</v>
      </c>
      <c r="W43" s="298"/>
    </row>
    <row r="44" spans="2:23" s="184" customFormat="1" ht="9.75" thickTop="1">
      <c r="B44" s="185"/>
      <c r="C44" s="186"/>
      <c r="D44" s="186"/>
      <c r="E44" s="186"/>
      <c r="F44" s="187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  <c r="V44" s="392"/>
      <c r="W44" s="324"/>
    </row>
    <row r="45" spans="2:23" s="10" customFormat="1" ht="16.5" customHeight="1" thickBot="1">
      <c r="B45" s="197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7"/>
    </row>
    <row r="46" spans="2:23" ht="16.5" customHeight="1" thickTop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</row>
    <row r="47" spans="3:6" ht="16.5" customHeight="1">
      <c r="C47" s="393"/>
      <c r="D47" s="393"/>
      <c r="E47" s="393"/>
      <c r="F47" s="39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B10">
      <selection activeCell="V20" sqref="V20"/>
    </sheetView>
  </sheetViews>
  <sheetFormatPr defaultColWidth="11.421875" defaultRowHeight="12.75"/>
  <cols>
    <col min="1" max="1" width="22.7109375" style="590" customWidth="1"/>
    <col min="2" max="2" width="15.7109375" style="590" customWidth="1"/>
    <col min="3" max="3" width="5.7109375" style="590" customWidth="1"/>
    <col min="4" max="4" width="56.421875" style="590" customWidth="1"/>
    <col min="5" max="5" width="10.421875" style="590" customWidth="1"/>
    <col min="6" max="6" width="14.140625" style="590" customWidth="1"/>
    <col min="7" max="7" width="11.7109375" style="590" customWidth="1"/>
    <col min="8" max="8" width="12.57421875" style="590" customWidth="1"/>
    <col min="9" max="10" width="10.7109375" style="590" customWidth="1"/>
    <col min="11" max="11" width="14.28125" style="590" customWidth="1"/>
    <col min="12" max="12" width="10.7109375" style="590" customWidth="1"/>
    <col min="13" max="13" width="11.421875" style="590" customWidth="1"/>
    <col min="14" max="19" width="10.7109375" style="590" customWidth="1"/>
    <col min="20" max="20" width="15.7109375" style="590" customWidth="1"/>
    <col min="21" max="16384" width="11.421875" style="590" customWidth="1"/>
  </cols>
  <sheetData>
    <row r="1" ht="38.25" customHeight="1">
      <c r="T1" s="591"/>
    </row>
    <row r="2" spans="2:20" s="592" customFormat="1" ht="40.5" customHeight="1">
      <c r="B2" s="593" t="str">
        <f>'TOT-0314'!B2</f>
        <v>ANEXO IV al Memorandum D.T.E.E. N° 798 / 2014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</row>
    <row r="3" spans="1:2" s="596" customFormat="1" ht="11.25" customHeight="1">
      <c r="A3" s="594" t="s">
        <v>3</v>
      </c>
      <c r="B3" s="595"/>
    </row>
    <row r="4" spans="1:4" s="596" customFormat="1" ht="11.25" customHeight="1">
      <c r="A4" s="594" t="s">
        <v>4</v>
      </c>
      <c r="B4" s="595"/>
      <c r="D4" s="597"/>
    </row>
    <row r="5" spans="1:4" ht="10.5" customHeight="1">
      <c r="A5" s="598"/>
      <c r="D5" s="599"/>
    </row>
    <row r="6" spans="1:20" ht="26.25">
      <c r="A6" s="598"/>
      <c r="B6" s="600" t="s">
        <v>183</v>
      </c>
      <c r="C6" s="601"/>
      <c r="D6" s="599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</row>
    <row r="7" spans="1:4" ht="18.75" customHeight="1">
      <c r="A7" s="598"/>
      <c r="D7" s="599"/>
    </row>
    <row r="8" spans="1:20" ht="26.25">
      <c r="A8" s="598"/>
      <c r="B8" s="602" t="s">
        <v>1</v>
      </c>
      <c r="C8" s="601"/>
      <c r="D8" s="599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</row>
    <row r="9" spans="1:4" ht="18.75" customHeight="1">
      <c r="A9" s="598"/>
      <c r="D9" s="599"/>
    </row>
    <row r="10" spans="1:20" ht="26.25">
      <c r="A10" s="598"/>
      <c r="B10" s="602" t="s">
        <v>184</v>
      </c>
      <c r="C10" s="601"/>
      <c r="D10" s="599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</row>
    <row r="11" ht="18.75" customHeight="1" thickBot="1"/>
    <row r="12" spans="2:20" ht="18.75" customHeight="1" thickTop="1">
      <c r="B12" s="603"/>
      <c r="C12" s="604"/>
      <c r="D12" s="605"/>
      <c r="E12" s="605"/>
      <c r="F12" s="605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6"/>
    </row>
    <row r="13" spans="2:20" ht="30" customHeight="1">
      <c r="B13" s="607" t="s">
        <v>193</v>
      </c>
      <c r="C13" s="601"/>
      <c r="D13" s="608"/>
      <c r="E13" s="608"/>
      <c r="F13" s="608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10"/>
    </row>
    <row r="14" spans="2:20" ht="18.75" customHeight="1" thickBot="1">
      <c r="B14" s="611"/>
      <c r="C14" s="612"/>
      <c r="D14" s="613"/>
      <c r="E14" s="613"/>
      <c r="F14" s="614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6"/>
    </row>
    <row r="15" spans="1:20" s="624" customFormat="1" ht="34.5" customHeight="1" thickBot="1" thickTop="1">
      <c r="A15" s="617"/>
      <c r="B15" s="618"/>
      <c r="C15" s="619"/>
      <c r="D15" s="619" t="s">
        <v>185</v>
      </c>
      <c r="E15" s="620" t="s">
        <v>21</v>
      </c>
      <c r="F15" s="621" t="s">
        <v>22</v>
      </c>
      <c r="G15" s="622">
        <f>'[3]Tasa de Falla'!HK15</f>
        <v>41334</v>
      </c>
      <c r="H15" s="622">
        <f>'[3]Tasa de Falla'!HL15</f>
        <v>41365</v>
      </c>
      <c r="I15" s="622">
        <f>'[3]Tasa de Falla'!HM15</f>
        <v>41395</v>
      </c>
      <c r="J15" s="622">
        <f>'[3]Tasa de Falla'!HN15</f>
        <v>41426</v>
      </c>
      <c r="K15" s="622">
        <f>'[3]Tasa de Falla'!HO15</f>
        <v>41456</v>
      </c>
      <c r="L15" s="622">
        <f>'[3]Tasa de Falla'!HP15</f>
        <v>41487</v>
      </c>
      <c r="M15" s="622">
        <f>'[3]Tasa de Falla'!HQ15</f>
        <v>41518</v>
      </c>
      <c r="N15" s="622">
        <f>'[3]Tasa de Falla'!HR15</f>
        <v>41548</v>
      </c>
      <c r="O15" s="622">
        <f>'[3]Tasa de Falla'!HS15</f>
        <v>41579</v>
      </c>
      <c r="P15" s="622">
        <f>'[3]Tasa de Falla'!HT15</f>
        <v>41609</v>
      </c>
      <c r="Q15" s="622">
        <f>'[3]Tasa de Falla'!HU15</f>
        <v>41640</v>
      </c>
      <c r="R15" s="622">
        <f>'[3]Tasa de Falla'!HV15</f>
        <v>41671</v>
      </c>
      <c r="S15" s="622">
        <f>'[3]Tasa de Falla'!HW15</f>
        <v>41699</v>
      </c>
      <c r="T15" s="623"/>
    </row>
    <row r="16" spans="2:20" s="624" customFormat="1" ht="24.75" customHeight="1" thickTop="1">
      <c r="B16" s="625"/>
      <c r="C16" s="626"/>
      <c r="D16" s="627"/>
      <c r="E16" s="627"/>
      <c r="F16" s="628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9"/>
      <c r="T16" s="623"/>
    </row>
    <row r="17" spans="2:20" s="624" customFormat="1" ht="24.75" customHeight="1">
      <c r="B17" s="625"/>
      <c r="C17" s="630">
        <f>'[3]Tasa de Falla'!C17</f>
        <v>1</v>
      </c>
      <c r="D17" s="631" t="str">
        <f>'[3]Tasa de Falla'!D17</f>
        <v>AGUA DEL TORO - CRUZ DE PIEDRA</v>
      </c>
      <c r="E17" s="631">
        <f>'[3]Tasa de Falla'!E17</f>
        <v>220</v>
      </c>
      <c r="F17" s="632">
        <f>'[3]Tasa de Falla'!F17</f>
        <v>177.9</v>
      </c>
      <c r="G17" s="631">
        <f>IF('[3]Tasa de Falla'!HK17="","",'[3]Tasa de Falla'!HK17)</f>
      </c>
      <c r="H17" s="631">
        <f>IF('[3]Tasa de Falla'!HL17="","",'[3]Tasa de Falla'!HL17)</f>
      </c>
      <c r="I17" s="631">
        <f>IF('[3]Tasa de Falla'!HM17="","",'[3]Tasa de Falla'!HM17)</f>
      </c>
      <c r="J17" s="631">
        <f>IF('[3]Tasa de Falla'!HN17="","",'[3]Tasa de Falla'!HN17)</f>
      </c>
      <c r="K17" s="631">
        <f>IF('[3]Tasa de Falla'!HO17="","",'[3]Tasa de Falla'!HO17)</f>
      </c>
      <c r="L17" s="631">
        <f>IF('[3]Tasa de Falla'!HP17="","",'[3]Tasa de Falla'!HP17)</f>
      </c>
      <c r="M17" s="631">
        <f>IF('[3]Tasa de Falla'!HQ17="","",'[3]Tasa de Falla'!HQ17)</f>
      </c>
      <c r="N17" s="631">
        <f>IF('[3]Tasa de Falla'!HR17="","",'[3]Tasa de Falla'!HR17)</f>
      </c>
      <c r="O17" s="631">
        <f>IF('[3]Tasa de Falla'!HS17="","",'[3]Tasa de Falla'!HS17)</f>
      </c>
      <c r="P17" s="631">
        <f>IF('[3]Tasa de Falla'!HT17="","",'[3]Tasa de Falla'!HT17)</f>
      </c>
      <c r="Q17" s="631">
        <f>IF('[3]Tasa de Falla'!HU17="","",'[3]Tasa de Falla'!HU17)</f>
      </c>
      <c r="R17" s="631">
        <f>IF('[3]Tasa de Falla'!HV17="","",'[3]Tasa de Falla'!HV17)</f>
        <v>1</v>
      </c>
      <c r="S17" s="628"/>
      <c r="T17" s="623"/>
    </row>
    <row r="18" spans="2:20" s="624" customFormat="1" ht="24.75" customHeight="1">
      <c r="B18" s="625"/>
      <c r="C18" s="633">
        <f>'[3]Tasa de Falla'!C18</f>
        <v>2</v>
      </c>
      <c r="D18" s="634" t="str">
        <f>'[3]Tasa de Falla'!D18</f>
        <v>AGUA DEL TORO - LOS REYUNOS</v>
      </c>
      <c r="E18" s="634">
        <f>'[3]Tasa de Falla'!E18</f>
        <v>220</v>
      </c>
      <c r="F18" s="635">
        <f>'[3]Tasa de Falla'!F18</f>
        <v>43</v>
      </c>
      <c r="G18" s="631">
        <f>IF('[3]Tasa de Falla'!HK18="","",'[3]Tasa de Falla'!HK18)</f>
      </c>
      <c r="H18" s="631">
        <f>IF('[3]Tasa de Falla'!HL18="","",'[3]Tasa de Falla'!HL18)</f>
      </c>
      <c r="I18" s="631">
        <f>IF('[3]Tasa de Falla'!HM18="","",'[3]Tasa de Falla'!HM18)</f>
      </c>
      <c r="J18" s="631">
        <f>IF('[3]Tasa de Falla'!HN18="","",'[3]Tasa de Falla'!HN18)</f>
      </c>
      <c r="K18" s="631">
        <f>IF('[3]Tasa de Falla'!HO18="","",'[3]Tasa de Falla'!HO18)</f>
      </c>
      <c r="L18" s="631">
        <f>IF('[3]Tasa de Falla'!HP18="","",'[3]Tasa de Falla'!HP18)</f>
      </c>
      <c r="M18" s="631">
        <f>IF('[3]Tasa de Falla'!HQ18="","",'[3]Tasa de Falla'!HQ18)</f>
      </c>
      <c r="N18" s="631">
        <f>IF('[3]Tasa de Falla'!HR18="","",'[3]Tasa de Falla'!HR18)</f>
      </c>
      <c r="O18" s="631">
        <f>IF('[3]Tasa de Falla'!HS18="","",'[3]Tasa de Falla'!HS18)</f>
      </c>
      <c r="P18" s="631">
        <f>IF('[3]Tasa de Falla'!HT18="","",'[3]Tasa de Falla'!HT18)</f>
      </c>
      <c r="Q18" s="631">
        <f>IF('[3]Tasa de Falla'!HU18="","",'[3]Tasa de Falla'!HU18)</f>
      </c>
      <c r="R18" s="631">
        <f>IF('[3]Tasa de Falla'!HV18="","",'[3]Tasa de Falla'!HV18)</f>
        <v>1</v>
      </c>
      <c r="S18" s="628"/>
      <c r="T18" s="623"/>
    </row>
    <row r="19" spans="2:20" s="624" customFormat="1" ht="24.75" customHeight="1">
      <c r="B19" s="625"/>
      <c r="C19" s="630">
        <f>'[3]Tasa de Falla'!C19</f>
        <v>3</v>
      </c>
      <c r="D19" s="631" t="str">
        <f>'[3]Tasa de Falla'!D19</f>
        <v>AGUA DEL TORO - NIHUIL II</v>
      </c>
      <c r="E19" s="631">
        <f>'[3]Tasa de Falla'!E19</f>
        <v>220</v>
      </c>
      <c r="F19" s="632">
        <f>'[3]Tasa de Falla'!F19</f>
        <v>53.5</v>
      </c>
      <c r="G19" s="631">
        <f>IF('[3]Tasa de Falla'!HK19="","",'[3]Tasa de Falla'!HK19)</f>
      </c>
      <c r="H19" s="631">
        <f>IF('[3]Tasa de Falla'!HL19="","",'[3]Tasa de Falla'!HL19)</f>
      </c>
      <c r="I19" s="631">
        <f>IF('[3]Tasa de Falla'!HM19="","",'[3]Tasa de Falla'!HM19)</f>
      </c>
      <c r="J19" s="631">
        <f>IF('[3]Tasa de Falla'!HN19="","",'[3]Tasa de Falla'!HN19)</f>
      </c>
      <c r="K19" s="631">
        <f>IF('[3]Tasa de Falla'!HO19="","",'[3]Tasa de Falla'!HO19)</f>
      </c>
      <c r="L19" s="631">
        <f>IF('[3]Tasa de Falla'!HP19="","",'[3]Tasa de Falla'!HP19)</f>
      </c>
      <c r="M19" s="631">
        <f>IF('[3]Tasa de Falla'!HQ19="","",'[3]Tasa de Falla'!HQ19)</f>
      </c>
      <c r="N19" s="631">
        <f>IF('[3]Tasa de Falla'!HR19="","",'[3]Tasa de Falla'!HR19)</f>
      </c>
      <c r="O19" s="631">
        <f>IF('[3]Tasa de Falla'!HS19="","",'[3]Tasa de Falla'!HS19)</f>
      </c>
      <c r="P19" s="631">
        <f>IF('[3]Tasa de Falla'!HT19="","",'[3]Tasa de Falla'!HT19)</f>
        <v>1</v>
      </c>
      <c r="Q19" s="631">
        <f>IF('[3]Tasa de Falla'!HU19="","",'[3]Tasa de Falla'!HU19)</f>
      </c>
      <c r="R19" s="631">
        <f>IF('[3]Tasa de Falla'!HV19="","",'[3]Tasa de Falla'!HV19)</f>
        <v>1</v>
      </c>
      <c r="S19" s="628"/>
      <c r="T19" s="623"/>
    </row>
    <row r="20" spans="2:20" s="624" customFormat="1" ht="24.75" customHeight="1">
      <c r="B20" s="625"/>
      <c r="C20" s="633">
        <f>'[3]Tasa de Falla'!C20</f>
        <v>4</v>
      </c>
      <c r="D20" s="634" t="str">
        <f>'[3]Tasa de Falla'!D20</f>
        <v>CRUZ DE PIEDRA - SAN JUAN</v>
      </c>
      <c r="E20" s="634">
        <f>'[3]Tasa de Falla'!E20</f>
        <v>220</v>
      </c>
      <c r="F20" s="635">
        <f>'[3]Tasa de Falla'!F20</f>
        <v>171.6</v>
      </c>
      <c r="G20" s="631">
        <f>IF('[3]Tasa de Falla'!HK20="","",'[3]Tasa de Falla'!HK20)</f>
      </c>
      <c r="H20" s="631">
        <f>IF('[3]Tasa de Falla'!HL20="","",'[3]Tasa de Falla'!HL20)</f>
      </c>
      <c r="I20" s="631">
        <f>IF('[3]Tasa de Falla'!HM20="","",'[3]Tasa de Falla'!HM20)</f>
        <v>1</v>
      </c>
      <c r="J20" s="631">
        <f>IF('[3]Tasa de Falla'!HN20="","",'[3]Tasa de Falla'!HN20)</f>
      </c>
      <c r="K20" s="631">
        <f>IF('[3]Tasa de Falla'!HO20="","",'[3]Tasa de Falla'!HO20)</f>
      </c>
      <c r="L20" s="631">
        <f>IF('[3]Tasa de Falla'!HP20="","",'[3]Tasa de Falla'!HP20)</f>
      </c>
      <c r="M20" s="631">
        <f>IF('[3]Tasa de Falla'!HQ20="","",'[3]Tasa de Falla'!HQ20)</f>
      </c>
      <c r="N20" s="631">
        <f>IF('[3]Tasa de Falla'!HR20="","",'[3]Tasa de Falla'!HR20)</f>
        <v>1</v>
      </c>
      <c r="O20" s="631">
        <f>IF('[3]Tasa de Falla'!HS20="","",'[3]Tasa de Falla'!HS20)</f>
      </c>
      <c r="P20" s="631">
        <f>IF('[3]Tasa de Falla'!HT20="","",'[3]Tasa de Falla'!HT20)</f>
      </c>
      <c r="Q20" s="631">
        <f>IF('[3]Tasa de Falla'!HU20="","",'[3]Tasa de Falla'!HU20)</f>
      </c>
      <c r="R20" s="631">
        <f>IF('[3]Tasa de Falla'!HV20="","",'[3]Tasa de Falla'!HV20)</f>
      </c>
      <c r="S20" s="628"/>
      <c r="T20" s="623"/>
    </row>
    <row r="21" spans="2:20" s="624" customFormat="1" ht="24.75" customHeight="1">
      <c r="B21" s="625"/>
      <c r="C21" s="630">
        <f>'[3]Tasa de Falla'!C21</f>
        <v>5</v>
      </c>
      <c r="D21" s="631" t="str">
        <f>'[3]Tasa de Falla'!D21</f>
        <v>LOS REYUNOS - GRAN MENDOZA</v>
      </c>
      <c r="E21" s="631">
        <f>'[3]Tasa de Falla'!E21</f>
        <v>220</v>
      </c>
      <c r="F21" s="632">
        <f>'[3]Tasa de Falla'!F21</f>
        <v>188.3</v>
      </c>
      <c r="G21" s="631">
        <f>IF('[3]Tasa de Falla'!HK21="","",'[3]Tasa de Falla'!HK21)</f>
      </c>
      <c r="H21" s="631">
        <f>IF('[3]Tasa de Falla'!HL21="","",'[3]Tasa de Falla'!HL21)</f>
      </c>
      <c r="I21" s="631">
        <f>IF('[3]Tasa de Falla'!HM21="","",'[3]Tasa de Falla'!HM21)</f>
      </c>
      <c r="J21" s="631">
        <f>IF('[3]Tasa de Falla'!HN21="","",'[3]Tasa de Falla'!HN21)</f>
      </c>
      <c r="K21" s="631">
        <f>IF('[3]Tasa de Falla'!HO21="","",'[3]Tasa de Falla'!HO21)</f>
      </c>
      <c r="L21" s="631">
        <f>IF('[3]Tasa de Falla'!HP21="","",'[3]Tasa de Falla'!HP21)</f>
      </c>
      <c r="M21" s="631">
        <f>IF('[3]Tasa de Falla'!HQ21="","",'[3]Tasa de Falla'!HQ21)</f>
      </c>
      <c r="N21" s="631">
        <f>IF('[3]Tasa de Falla'!HR21="","",'[3]Tasa de Falla'!HR21)</f>
      </c>
      <c r="O21" s="631">
        <f>IF('[3]Tasa de Falla'!HS21="","",'[3]Tasa de Falla'!HS21)</f>
      </c>
      <c r="P21" s="631">
        <f>IF('[3]Tasa de Falla'!HT21="","",'[3]Tasa de Falla'!HT21)</f>
      </c>
      <c r="Q21" s="631">
        <f>IF('[3]Tasa de Falla'!HU21="","",'[3]Tasa de Falla'!HU21)</f>
      </c>
      <c r="R21" s="631">
        <f>IF('[3]Tasa de Falla'!HV21="","",'[3]Tasa de Falla'!HV21)</f>
      </c>
      <c r="S21" s="628"/>
      <c r="T21" s="623"/>
    </row>
    <row r="22" spans="2:20" s="624" customFormat="1" ht="24.75" customHeight="1">
      <c r="B22" s="625"/>
      <c r="C22" s="630">
        <f>'[3]Tasa de Falla'!C22</f>
        <v>6</v>
      </c>
      <c r="D22" s="631" t="str">
        <f>'[3]Tasa de Falla'!D22</f>
        <v>CRUZ DE PIEDRA - CAÑADA HONDA</v>
      </c>
      <c r="E22" s="631">
        <f>'[3]Tasa de Falla'!E22</f>
        <v>132</v>
      </c>
      <c r="F22" s="632">
        <f>'[3]Tasa de Falla'!F22</f>
        <v>125.8</v>
      </c>
      <c r="G22" s="631">
        <f>IF('[3]Tasa de Falla'!HK22="","",'[3]Tasa de Falla'!HK22)</f>
      </c>
      <c r="H22" s="631">
        <f>IF('[3]Tasa de Falla'!HL22="","",'[3]Tasa de Falla'!HL22)</f>
      </c>
      <c r="I22" s="631">
        <f>IF('[3]Tasa de Falla'!HM22="","",'[3]Tasa de Falla'!HM22)</f>
      </c>
      <c r="J22" s="631">
        <f>IF('[3]Tasa de Falla'!HN22="","",'[3]Tasa de Falla'!HN22)</f>
      </c>
      <c r="K22" s="631">
        <f>IF('[3]Tasa de Falla'!HO22="","",'[3]Tasa de Falla'!HO22)</f>
      </c>
      <c r="L22" s="631">
        <f>IF('[3]Tasa de Falla'!HP22="","",'[3]Tasa de Falla'!HP22)</f>
        <v>1</v>
      </c>
      <c r="M22" s="631">
        <f>IF('[3]Tasa de Falla'!HQ22="","",'[3]Tasa de Falla'!HQ22)</f>
      </c>
      <c r="N22" s="631">
        <f>IF('[3]Tasa de Falla'!HR22="","",'[3]Tasa de Falla'!HR22)</f>
        <v>1</v>
      </c>
      <c r="O22" s="631">
        <f>IF('[3]Tasa de Falla'!HS22="","",'[3]Tasa de Falla'!HS22)</f>
      </c>
      <c r="P22" s="631">
        <f>IF('[3]Tasa de Falla'!HT22="","",'[3]Tasa de Falla'!HT22)</f>
      </c>
      <c r="Q22" s="631">
        <f>IF('[3]Tasa de Falla'!HU22="","",'[3]Tasa de Falla'!HU22)</f>
      </c>
      <c r="R22" s="631">
        <f>IF('[3]Tasa de Falla'!HV22="","",'[3]Tasa de Falla'!HV22)</f>
      </c>
      <c r="S22" s="628"/>
      <c r="T22" s="623"/>
    </row>
    <row r="23" spans="2:20" s="624" customFormat="1" ht="24.75" customHeight="1">
      <c r="B23" s="625"/>
      <c r="C23" s="633">
        <f>'[3]Tasa de Falla'!C23</f>
        <v>7</v>
      </c>
      <c r="D23" s="634" t="str">
        <f>'[3]Tasa de Falla'!D23</f>
        <v>ANCHORIS - CAPIZ</v>
      </c>
      <c r="E23" s="634">
        <f>'[3]Tasa de Falla'!E23</f>
        <v>132</v>
      </c>
      <c r="F23" s="635">
        <f>'[3]Tasa de Falla'!F23</f>
        <v>42</v>
      </c>
      <c r="G23" s="631">
        <f>IF('[3]Tasa de Falla'!HK23="","",'[3]Tasa de Falla'!HK23)</f>
      </c>
      <c r="H23" s="631">
        <f>IF('[3]Tasa de Falla'!HL23="","",'[3]Tasa de Falla'!HL23)</f>
      </c>
      <c r="I23" s="631">
        <f>IF('[3]Tasa de Falla'!HM23="","",'[3]Tasa de Falla'!HM23)</f>
      </c>
      <c r="J23" s="631">
        <f>IF('[3]Tasa de Falla'!HN23="","",'[3]Tasa de Falla'!HN23)</f>
      </c>
      <c r="K23" s="631">
        <f>IF('[3]Tasa de Falla'!HO23="","",'[3]Tasa de Falla'!HO23)</f>
      </c>
      <c r="L23" s="631">
        <f>IF('[3]Tasa de Falla'!HP23="","",'[3]Tasa de Falla'!HP23)</f>
      </c>
      <c r="M23" s="631">
        <f>IF('[3]Tasa de Falla'!HQ23="","",'[3]Tasa de Falla'!HQ23)</f>
      </c>
      <c r="N23" s="631">
        <f>IF('[3]Tasa de Falla'!HR23="","",'[3]Tasa de Falla'!HR23)</f>
      </c>
      <c r="O23" s="631">
        <f>IF('[3]Tasa de Falla'!HS23="","",'[3]Tasa de Falla'!HS23)</f>
      </c>
      <c r="P23" s="631">
        <f>IF('[3]Tasa de Falla'!HT23="","",'[3]Tasa de Falla'!HT23)</f>
      </c>
      <c r="Q23" s="631">
        <f>IF('[3]Tasa de Falla'!HU23="","",'[3]Tasa de Falla'!HU23)</f>
      </c>
      <c r="R23" s="631">
        <f>IF('[3]Tasa de Falla'!HV23="","",'[3]Tasa de Falla'!HV23)</f>
      </c>
      <c r="S23" s="628"/>
      <c r="T23" s="623"/>
    </row>
    <row r="24" spans="2:20" s="624" customFormat="1" ht="24.75" customHeight="1">
      <c r="B24" s="625"/>
      <c r="C24" s="630">
        <f>'[3]Tasa de Falla'!C24</f>
        <v>8</v>
      </c>
      <c r="D24" s="631" t="str">
        <f>'[3]Tasa de Falla'!D24</f>
        <v>ANCHORIS - CRUZ DE PIEDRA</v>
      </c>
      <c r="E24" s="631">
        <f>'[3]Tasa de Falla'!E24</f>
        <v>132</v>
      </c>
      <c r="F24" s="632">
        <f>'[3]Tasa de Falla'!F24</f>
        <v>33.5</v>
      </c>
      <c r="G24" s="631">
        <f>IF('[3]Tasa de Falla'!HK24="","",'[3]Tasa de Falla'!HK24)</f>
      </c>
      <c r="H24" s="631">
        <f>IF('[3]Tasa de Falla'!HL24="","",'[3]Tasa de Falla'!HL24)</f>
      </c>
      <c r="I24" s="631">
        <f>IF('[3]Tasa de Falla'!HM24="","",'[3]Tasa de Falla'!HM24)</f>
      </c>
      <c r="J24" s="631">
        <f>IF('[3]Tasa de Falla'!HN24="","",'[3]Tasa de Falla'!HN24)</f>
      </c>
      <c r="K24" s="631">
        <f>IF('[3]Tasa de Falla'!HO24="","",'[3]Tasa de Falla'!HO24)</f>
      </c>
      <c r="L24" s="631">
        <f>IF('[3]Tasa de Falla'!HP24="","",'[3]Tasa de Falla'!HP24)</f>
      </c>
      <c r="M24" s="631">
        <f>IF('[3]Tasa de Falla'!HQ24="","",'[3]Tasa de Falla'!HQ24)</f>
      </c>
      <c r="N24" s="631">
        <f>IF('[3]Tasa de Falla'!HR24="","",'[3]Tasa de Falla'!HR24)</f>
      </c>
      <c r="O24" s="631">
        <f>IF('[3]Tasa de Falla'!HS24="","",'[3]Tasa de Falla'!HS24)</f>
      </c>
      <c r="P24" s="631">
        <f>IF('[3]Tasa de Falla'!HT24="","",'[3]Tasa de Falla'!HT24)</f>
      </c>
      <c r="Q24" s="631">
        <f>IF('[3]Tasa de Falla'!HU24="","",'[3]Tasa de Falla'!HU24)</f>
      </c>
      <c r="R24" s="631">
        <f>IF('[3]Tasa de Falla'!HV24="","",'[3]Tasa de Falla'!HV24)</f>
      </c>
      <c r="S24" s="628"/>
      <c r="T24" s="623"/>
    </row>
    <row r="25" spans="2:20" s="624" customFormat="1" ht="24.75" customHeight="1">
      <c r="B25" s="625"/>
      <c r="C25" s="633">
        <f>'[3]Tasa de Falla'!C25</f>
        <v>9</v>
      </c>
      <c r="D25" s="634" t="str">
        <f>'[3]Tasa de Falla'!D25</f>
        <v>ANCHORIZ -Deriv."T" a LC 35-B.R.Tunuyan</v>
      </c>
      <c r="E25" s="634">
        <f>'[3]Tasa de Falla'!E25</f>
        <v>132</v>
      </c>
      <c r="F25" s="635">
        <f>'[3]Tasa de Falla'!F25</f>
        <v>52.9</v>
      </c>
      <c r="G25" s="631">
        <f>IF('[3]Tasa de Falla'!HK25="","",'[3]Tasa de Falla'!HK25)</f>
      </c>
      <c r="H25" s="631">
        <f>IF('[3]Tasa de Falla'!HL25="","",'[3]Tasa de Falla'!HL25)</f>
      </c>
      <c r="I25" s="631">
        <f>IF('[3]Tasa de Falla'!HM25="","",'[3]Tasa de Falla'!HM25)</f>
      </c>
      <c r="J25" s="631">
        <f>IF('[3]Tasa de Falla'!HN25="","",'[3]Tasa de Falla'!HN25)</f>
      </c>
      <c r="K25" s="631">
        <f>IF('[3]Tasa de Falla'!HO25="","",'[3]Tasa de Falla'!HO25)</f>
      </c>
      <c r="L25" s="631">
        <f>IF('[3]Tasa de Falla'!HP25="","",'[3]Tasa de Falla'!HP25)</f>
      </c>
      <c r="M25" s="631">
        <f>IF('[3]Tasa de Falla'!HQ25="","",'[3]Tasa de Falla'!HQ25)</f>
      </c>
      <c r="N25" s="631">
        <f>IF('[3]Tasa de Falla'!HR25="","",'[3]Tasa de Falla'!HR25)</f>
      </c>
      <c r="O25" s="631">
        <f>IF('[3]Tasa de Falla'!HS25="","",'[3]Tasa de Falla'!HS25)</f>
      </c>
      <c r="P25" s="631">
        <f>IF('[3]Tasa de Falla'!HT25="","",'[3]Tasa de Falla'!HT25)</f>
      </c>
      <c r="Q25" s="631">
        <f>IF('[3]Tasa de Falla'!HU25="","",'[3]Tasa de Falla'!HU25)</f>
      </c>
      <c r="R25" s="631">
        <f>IF('[3]Tasa de Falla'!HV25="","",'[3]Tasa de Falla'!HV25)</f>
        <v>1</v>
      </c>
      <c r="S25" s="628"/>
      <c r="T25" s="623"/>
    </row>
    <row r="26" spans="2:20" s="624" customFormat="1" ht="24.75" customHeight="1">
      <c r="B26" s="625"/>
      <c r="C26" s="630">
        <f>'[3]Tasa de Falla'!C26</f>
        <v>10</v>
      </c>
      <c r="D26" s="631" t="str">
        <f>'[3]Tasa de Falla'!D26</f>
        <v>CAPIZ - PEDRO VARGAS</v>
      </c>
      <c r="E26" s="631">
        <f>'[3]Tasa de Falla'!E26</f>
        <v>132</v>
      </c>
      <c r="F26" s="632">
        <f>'[3]Tasa de Falla'!F26</f>
        <v>122.1</v>
      </c>
      <c r="G26" s="631">
        <f>IF('[3]Tasa de Falla'!HK26="","",'[3]Tasa de Falla'!HK26)</f>
      </c>
      <c r="H26" s="631">
        <f>IF('[3]Tasa de Falla'!HL26="","",'[3]Tasa de Falla'!HL26)</f>
      </c>
      <c r="I26" s="631">
        <f>IF('[3]Tasa de Falla'!HM26="","",'[3]Tasa de Falla'!HM26)</f>
      </c>
      <c r="J26" s="631">
        <f>IF('[3]Tasa de Falla'!HN26="","",'[3]Tasa de Falla'!HN26)</f>
      </c>
      <c r="K26" s="631">
        <f>IF('[3]Tasa de Falla'!HO26="","",'[3]Tasa de Falla'!HO26)</f>
      </c>
      <c r="L26" s="631">
        <f>IF('[3]Tasa de Falla'!HP26="","",'[3]Tasa de Falla'!HP26)</f>
      </c>
      <c r="M26" s="631">
        <f>IF('[3]Tasa de Falla'!HQ26="","",'[3]Tasa de Falla'!HQ26)</f>
      </c>
      <c r="N26" s="631">
        <f>IF('[3]Tasa de Falla'!HR26="","",'[3]Tasa de Falla'!HR26)</f>
      </c>
      <c r="O26" s="631">
        <f>IF('[3]Tasa de Falla'!HS26="","",'[3]Tasa de Falla'!HS26)</f>
        <v>1</v>
      </c>
      <c r="P26" s="631">
        <f>IF('[3]Tasa de Falla'!HT26="","",'[3]Tasa de Falla'!HT26)</f>
      </c>
      <c r="Q26" s="631">
        <f>IF('[3]Tasa de Falla'!HU26="","",'[3]Tasa de Falla'!HU26)</f>
      </c>
      <c r="R26" s="631">
        <f>IF('[3]Tasa de Falla'!HV26="","",'[3]Tasa de Falla'!HV26)</f>
      </c>
      <c r="S26" s="628"/>
      <c r="T26" s="623"/>
    </row>
    <row r="27" spans="2:20" s="624" customFormat="1" ht="24.75" customHeight="1">
      <c r="B27" s="625"/>
      <c r="C27" s="633">
        <f>'[3]Tasa de Falla'!C27</f>
        <v>11</v>
      </c>
      <c r="D27" s="634" t="str">
        <f>'[3]Tasa de Falla'!D27</f>
        <v>SAN RAFAEL - PEDRO VARGAS</v>
      </c>
      <c r="E27" s="634">
        <f>'[3]Tasa de Falla'!E27</f>
        <v>132</v>
      </c>
      <c r="F27" s="635">
        <f>'[3]Tasa de Falla'!F27</f>
        <v>15.6</v>
      </c>
      <c r="G27" s="631">
        <f>IF('[3]Tasa de Falla'!HK27="","",'[3]Tasa de Falla'!HK27)</f>
      </c>
      <c r="H27" s="631">
        <f>IF('[3]Tasa de Falla'!HL27="","",'[3]Tasa de Falla'!HL27)</f>
      </c>
      <c r="I27" s="631">
        <f>IF('[3]Tasa de Falla'!HM27="","",'[3]Tasa de Falla'!HM27)</f>
      </c>
      <c r="J27" s="631">
        <f>IF('[3]Tasa de Falla'!HN27="","",'[3]Tasa de Falla'!HN27)</f>
      </c>
      <c r="K27" s="631">
        <f>IF('[3]Tasa de Falla'!HO27="","",'[3]Tasa de Falla'!HO27)</f>
      </c>
      <c r="L27" s="631">
        <f>IF('[3]Tasa de Falla'!HP27="","",'[3]Tasa de Falla'!HP27)</f>
      </c>
      <c r="M27" s="631">
        <f>IF('[3]Tasa de Falla'!HQ27="","",'[3]Tasa de Falla'!HQ27)</f>
      </c>
      <c r="N27" s="631">
        <f>IF('[3]Tasa de Falla'!HR27="","",'[3]Tasa de Falla'!HR27)</f>
      </c>
      <c r="O27" s="631">
        <f>IF('[3]Tasa de Falla'!HS27="","",'[3]Tasa de Falla'!HS27)</f>
      </c>
      <c r="P27" s="631">
        <f>IF('[3]Tasa de Falla'!HT27="","",'[3]Tasa de Falla'!HT27)</f>
      </c>
      <c r="Q27" s="631">
        <f>IF('[3]Tasa de Falla'!HU27="","",'[3]Tasa de Falla'!HU27)</f>
      </c>
      <c r="R27" s="631">
        <f>IF('[3]Tasa de Falla'!HV27="","",'[3]Tasa de Falla'!HV27)</f>
      </c>
      <c r="S27" s="628"/>
      <c r="T27" s="623"/>
    </row>
    <row r="28" spans="2:20" s="624" customFormat="1" ht="24.75" customHeight="1">
      <c r="B28" s="625"/>
      <c r="C28" s="630">
        <f>'[3]Tasa de Falla'!C28</f>
        <v>12</v>
      </c>
      <c r="D28" s="631" t="str">
        <f>'[3]Tasa de Falla'!D28</f>
        <v>GRAN MENDOZA - MONTE CASEROS 1</v>
      </c>
      <c r="E28" s="631">
        <f>'[3]Tasa de Falla'!E28</f>
        <v>132</v>
      </c>
      <c r="F28" s="632">
        <f>'[3]Tasa de Falla'!F28</f>
        <v>19.1</v>
      </c>
      <c r="G28" s="631">
        <f>IF('[3]Tasa de Falla'!HK28="","",'[3]Tasa de Falla'!HK28)</f>
      </c>
      <c r="H28" s="631">
        <f>IF('[3]Tasa de Falla'!HL28="","",'[3]Tasa de Falla'!HL28)</f>
      </c>
      <c r="I28" s="631">
        <f>IF('[3]Tasa de Falla'!HM28="","",'[3]Tasa de Falla'!HM28)</f>
      </c>
      <c r="J28" s="631">
        <f>IF('[3]Tasa de Falla'!HN28="","",'[3]Tasa de Falla'!HN28)</f>
      </c>
      <c r="K28" s="631">
        <f>IF('[3]Tasa de Falla'!HO28="","",'[3]Tasa de Falla'!HO28)</f>
      </c>
      <c r="L28" s="631">
        <f>IF('[3]Tasa de Falla'!HP28="","",'[3]Tasa de Falla'!HP28)</f>
      </c>
      <c r="M28" s="631">
        <f>IF('[3]Tasa de Falla'!HQ28="","",'[3]Tasa de Falla'!HQ28)</f>
      </c>
      <c r="N28" s="631">
        <f>IF('[3]Tasa de Falla'!HR28="","",'[3]Tasa de Falla'!HR28)</f>
      </c>
      <c r="O28" s="631">
        <f>IF('[3]Tasa de Falla'!HS28="","",'[3]Tasa de Falla'!HS28)</f>
        <v>1</v>
      </c>
      <c r="P28" s="631">
        <f>IF('[3]Tasa de Falla'!HT28="","",'[3]Tasa de Falla'!HT28)</f>
      </c>
      <c r="Q28" s="631">
        <f>IF('[3]Tasa de Falla'!HU28="","",'[3]Tasa de Falla'!HU28)</f>
      </c>
      <c r="R28" s="631">
        <f>IF('[3]Tasa de Falla'!HV28="","",'[3]Tasa de Falla'!HV28)</f>
      </c>
      <c r="S28" s="628"/>
      <c r="T28" s="623"/>
    </row>
    <row r="29" spans="2:20" s="624" customFormat="1" ht="24.75" customHeight="1">
      <c r="B29" s="625"/>
      <c r="C29" s="633">
        <f>'[3]Tasa de Falla'!C29</f>
        <v>13</v>
      </c>
      <c r="D29" s="634" t="str">
        <f>'[3]Tasa de Falla'!D29</f>
        <v>GRAN MENDOZA - MONTE CASEROS 2</v>
      </c>
      <c r="E29" s="634">
        <f>'[3]Tasa de Falla'!E29</f>
        <v>132</v>
      </c>
      <c r="F29" s="635">
        <f>'[3]Tasa de Falla'!F29</f>
        <v>19.1</v>
      </c>
      <c r="G29" s="631">
        <f>IF('[3]Tasa de Falla'!HK29="","",'[3]Tasa de Falla'!HK29)</f>
      </c>
      <c r="H29" s="631">
        <f>IF('[3]Tasa de Falla'!HL29="","",'[3]Tasa de Falla'!HL29)</f>
      </c>
      <c r="I29" s="631">
        <f>IF('[3]Tasa de Falla'!HM29="","",'[3]Tasa de Falla'!HM29)</f>
      </c>
      <c r="J29" s="631">
        <f>IF('[3]Tasa de Falla'!HN29="","",'[3]Tasa de Falla'!HN29)</f>
      </c>
      <c r="K29" s="631">
        <f>IF('[3]Tasa de Falla'!HO29="","",'[3]Tasa de Falla'!HO29)</f>
      </c>
      <c r="L29" s="631">
        <f>IF('[3]Tasa de Falla'!HP29="","",'[3]Tasa de Falla'!HP29)</f>
      </c>
      <c r="M29" s="631">
        <f>IF('[3]Tasa de Falla'!HQ29="","",'[3]Tasa de Falla'!HQ29)</f>
      </c>
      <c r="N29" s="631">
        <f>IF('[3]Tasa de Falla'!HR29="","",'[3]Tasa de Falla'!HR29)</f>
      </c>
      <c r="O29" s="631">
        <f>IF('[3]Tasa de Falla'!HS29="","",'[3]Tasa de Falla'!HS29)</f>
      </c>
      <c r="P29" s="631">
        <f>IF('[3]Tasa de Falla'!HT29="","",'[3]Tasa de Falla'!HT29)</f>
      </c>
      <c r="Q29" s="631">
        <f>IF('[3]Tasa de Falla'!HU29="","",'[3]Tasa de Falla'!HU29)</f>
      </c>
      <c r="R29" s="631">
        <f>IF('[3]Tasa de Falla'!HV29="","",'[3]Tasa de Falla'!HV29)</f>
      </c>
      <c r="S29" s="628"/>
      <c r="T29" s="623"/>
    </row>
    <row r="30" spans="2:20" s="624" customFormat="1" ht="24.75" customHeight="1">
      <c r="B30" s="625"/>
      <c r="C30" s="630">
        <f>'[3]Tasa de Falla'!C30</f>
        <v>14</v>
      </c>
      <c r="D30" s="631" t="str">
        <f>'[3]Tasa de Falla'!D30</f>
        <v>CRUZ DE PIEDRA - GRAN MENDOZA 1</v>
      </c>
      <c r="E30" s="631">
        <f>'[3]Tasa de Falla'!E30</f>
        <v>132</v>
      </c>
      <c r="F30" s="632">
        <f>'[3]Tasa de Falla'!F30</f>
        <v>22</v>
      </c>
      <c r="G30" s="631">
        <f>IF('[3]Tasa de Falla'!HK30="","",'[3]Tasa de Falla'!HK30)</f>
      </c>
      <c r="H30" s="631">
        <f>IF('[3]Tasa de Falla'!HL30="","",'[3]Tasa de Falla'!HL30)</f>
      </c>
      <c r="I30" s="631">
        <f>IF('[3]Tasa de Falla'!HM30="","",'[3]Tasa de Falla'!HM30)</f>
      </c>
      <c r="J30" s="631">
        <f>IF('[3]Tasa de Falla'!HN30="","",'[3]Tasa de Falla'!HN30)</f>
      </c>
      <c r="K30" s="631">
        <f>IF('[3]Tasa de Falla'!HO30="","",'[3]Tasa de Falla'!HO30)</f>
      </c>
      <c r="L30" s="631">
        <f>IF('[3]Tasa de Falla'!HP30="","",'[3]Tasa de Falla'!HP30)</f>
      </c>
      <c r="M30" s="631">
        <f>IF('[3]Tasa de Falla'!HQ30="","",'[3]Tasa de Falla'!HQ30)</f>
      </c>
      <c r="N30" s="631">
        <f>IF('[3]Tasa de Falla'!HR30="","",'[3]Tasa de Falla'!HR30)</f>
      </c>
      <c r="O30" s="631">
        <f>IF('[3]Tasa de Falla'!HS30="","",'[3]Tasa de Falla'!HS30)</f>
      </c>
      <c r="P30" s="631">
        <f>IF('[3]Tasa de Falla'!HT30="","",'[3]Tasa de Falla'!HT30)</f>
      </c>
      <c r="Q30" s="631">
        <f>IF('[3]Tasa de Falla'!HU30="","",'[3]Tasa de Falla'!HU30)</f>
      </c>
      <c r="R30" s="631">
        <f>IF('[3]Tasa de Falla'!HV30="","",'[3]Tasa de Falla'!HV30)</f>
      </c>
      <c r="S30" s="628"/>
      <c r="T30" s="623"/>
    </row>
    <row r="31" spans="2:20" s="624" customFormat="1" ht="24.75" customHeight="1">
      <c r="B31" s="625"/>
      <c r="C31" s="633">
        <f>'[3]Tasa de Falla'!C31</f>
        <v>15</v>
      </c>
      <c r="D31" s="634" t="str">
        <f>'[3]Tasa de Falla'!D31</f>
        <v>CRUZ DE PIEDRA - GRAN MENDOZA 2</v>
      </c>
      <c r="E31" s="634">
        <f>'[3]Tasa de Falla'!E31</f>
        <v>132</v>
      </c>
      <c r="F31" s="635">
        <f>'[3]Tasa de Falla'!F31</f>
        <v>22</v>
      </c>
      <c r="G31" s="631">
        <f>IF('[3]Tasa de Falla'!HK31="","",'[3]Tasa de Falla'!HK31)</f>
      </c>
      <c r="H31" s="631">
        <f>IF('[3]Tasa de Falla'!HL31="","",'[3]Tasa de Falla'!HL31)</f>
      </c>
      <c r="I31" s="631">
        <f>IF('[3]Tasa de Falla'!HM31="","",'[3]Tasa de Falla'!HM31)</f>
      </c>
      <c r="J31" s="631">
        <f>IF('[3]Tasa de Falla'!HN31="","",'[3]Tasa de Falla'!HN31)</f>
      </c>
      <c r="K31" s="631">
        <f>IF('[3]Tasa de Falla'!HO31="","",'[3]Tasa de Falla'!HO31)</f>
      </c>
      <c r="L31" s="631">
        <f>IF('[3]Tasa de Falla'!HP31="","",'[3]Tasa de Falla'!HP31)</f>
      </c>
      <c r="M31" s="631">
        <f>IF('[3]Tasa de Falla'!HQ31="","",'[3]Tasa de Falla'!HQ31)</f>
      </c>
      <c r="N31" s="631">
        <f>IF('[3]Tasa de Falla'!HR31="","",'[3]Tasa de Falla'!HR31)</f>
      </c>
      <c r="O31" s="631">
        <f>IF('[3]Tasa de Falla'!HS31="","",'[3]Tasa de Falla'!HS31)</f>
      </c>
      <c r="P31" s="631">
        <f>IF('[3]Tasa de Falla'!HT31="","",'[3]Tasa de Falla'!HT31)</f>
      </c>
      <c r="Q31" s="631">
        <f>IF('[3]Tasa de Falla'!HU31="","",'[3]Tasa de Falla'!HU31)</f>
      </c>
      <c r="R31" s="631">
        <f>IF('[3]Tasa de Falla'!HV31="","",'[3]Tasa de Falla'!HV31)</f>
      </c>
      <c r="S31" s="628"/>
      <c r="T31" s="623"/>
    </row>
    <row r="32" spans="2:20" s="624" customFormat="1" ht="24.75" customHeight="1">
      <c r="B32" s="625"/>
      <c r="C32" s="630">
        <f>'[3]Tasa de Falla'!C32</f>
        <v>16</v>
      </c>
      <c r="D32" s="631" t="str">
        <f>'[3]Tasa de Falla'!D32</f>
        <v>CRUZ DE PIEDRA - SAN JUAN</v>
      </c>
      <c r="E32" s="631">
        <f>'[3]Tasa de Falla'!E32</f>
        <v>132</v>
      </c>
      <c r="F32" s="632">
        <f>'[3]Tasa de Falla'!F32</f>
        <v>180.18</v>
      </c>
      <c r="G32" s="631" t="str">
        <f>IF('[3]Tasa de Falla'!HK32="","",'[3]Tasa de Falla'!HK32)</f>
        <v>XXXX</v>
      </c>
      <c r="H32" s="631" t="str">
        <f>IF('[3]Tasa de Falla'!HL32="","",'[3]Tasa de Falla'!HL32)</f>
        <v>XXXX</v>
      </c>
      <c r="I32" s="631" t="str">
        <f>IF('[3]Tasa de Falla'!HM32="","",'[3]Tasa de Falla'!HM32)</f>
        <v>XXXX</v>
      </c>
      <c r="J32" s="631" t="str">
        <f>IF('[3]Tasa de Falla'!HN32="","",'[3]Tasa de Falla'!HN32)</f>
        <v>XXXX</v>
      </c>
      <c r="K32" s="631" t="str">
        <f>IF('[3]Tasa de Falla'!HO32="","",'[3]Tasa de Falla'!HO32)</f>
        <v>XXXX</v>
      </c>
      <c r="L32" s="631" t="str">
        <f>IF('[3]Tasa de Falla'!HP32="","",'[3]Tasa de Falla'!HP32)</f>
        <v>XXXX</v>
      </c>
      <c r="M32" s="631" t="str">
        <f>IF('[3]Tasa de Falla'!HQ32="","",'[3]Tasa de Falla'!HQ32)</f>
        <v>XXXX</v>
      </c>
      <c r="N32" s="631" t="str">
        <f>IF('[3]Tasa de Falla'!HR32="","",'[3]Tasa de Falla'!HR32)</f>
        <v>XXXX</v>
      </c>
      <c r="O32" s="631" t="str">
        <f>IF('[3]Tasa de Falla'!HS32="","",'[3]Tasa de Falla'!HS32)</f>
        <v>XXXX</v>
      </c>
      <c r="P32" s="631" t="str">
        <f>IF('[3]Tasa de Falla'!HT32="","",'[3]Tasa de Falla'!HT32)</f>
        <v>XXXX</v>
      </c>
      <c r="Q32" s="631" t="str">
        <f>IF('[3]Tasa de Falla'!HU32="","",'[3]Tasa de Falla'!HU32)</f>
        <v>XXXX</v>
      </c>
      <c r="R32" s="631" t="str">
        <f>IF('[3]Tasa de Falla'!HV32="","",'[3]Tasa de Falla'!HV32)</f>
        <v>XXXX</v>
      </c>
      <c r="S32" s="628"/>
      <c r="T32" s="623"/>
    </row>
    <row r="33" spans="2:20" s="624" customFormat="1" ht="24.75" customHeight="1">
      <c r="B33" s="625"/>
      <c r="C33" s="633">
        <f>'[3]Tasa de Falla'!C33</f>
        <v>17</v>
      </c>
      <c r="D33" s="634" t="str">
        <f>'[3]Tasa de Falla'!D33</f>
        <v>CRUZ DE PIEDRA - LUJAN DE CUYO 1</v>
      </c>
      <c r="E33" s="634">
        <f>'[3]Tasa de Falla'!E33</f>
        <v>132</v>
      </c>
      <c r="F33" s="635">
        <f>'[3]Tasa de Falla'!F33</f>
        <v>18.1</v>
      </c>
      <c r="G33" s="631">
        <f>IF('[3]Tasa de Falla'!HK33="","",'[3]Tasa de Falla'!HK33)</f>
      </c>
      <c r="H33" s="631">
        <f>IF('[3]Tasa de Falla'!HL33="","",'[3]Tasa de Falla'!HL33)</f>
      </c>
      <c r="I33" s="631">
        <f>IF('[3]Tasa de Falla'!HM33="","",'[3]Tasa de Falla'!HM33)</f>
      </c>
      <c r="J33" s="631">
        <f>IF('[3]Tasa de Falla'!HN33="","",'[3]Tasa de Falla'!HN33)</f>
      </c>
      <c r="K33" s="631">
        <f>IF('[3]Tasa de Falla'!HO33="","",'[3]Tasa de Falla'!HO33)</f>
      </c>
      <c r="L33" s="631">
        <f>IF('[3]Tasa de Falla'!HP33="","",'[3]Tasa de Falla'!HP33)</f>
      </c>
      <c r="M33" s="631">
        <f>IF('[3]Tasa de Falla'!HQ33="","",'[3]Tasa de Falla'!HQ33)</f>
      </c>
      <c r="N33" s="631">
        <f>IF('[3]Tasa de Falla'!HR33="","",'[3]Tasa de Falla'!HR33)</f>
      </c>
      <c r="O33" s="631">
        <f>IF('[3]Tasa de Falla'!HS33="","",'[3]Tasa de Falla'!HS33)</f>
      </c>
      <c r="P33" s="631">
        <f>IF('[3]Tasa de Falla'!HT33="","",'[3]Tasa de Falla'!HT33)</f>
      </c>
      <c r="Q33" s="631">
        <f>IF('[3]Tasa de Falla'!HU33="","",'[3]Tasa de Falla'!HU33)</f>
      </c>
      <c r="R33" s="631">
        <f>IF('[3]Tasa de Falla'!HV33="","",'[3]Tasa de Falla'!HV33)</f>
      </c>
      <c r="S33" s="628"/>
      <c r="T33" s="623"/>
    </row>
    <row r="34" spans="2:20" s="624" customFormat="1" ht="24.75" customHeight="1">
      <c r="B34" s="625"/>
      <c r="C34" s="630">
        <f>'[3]Tasa de Falla'!C34</f>
        <v>18</v>
      </c>
      <c r="D34" s="631" t="str">
        <f>'[3]Tasa de Falla'!D34</f>
        <v>CRUZ DE PIEDRA - LUJAN DE CUYO 2</v>
      </c>
      <c r="E34" s="631">
        <f>'[3]Tasa de Falla'!E34</f>
        <v>132</v>
      </c>
      <c r="F34" s="632">
        <f>'[3]Tasa de Falla'!F34</f>
        <v>18.1</v>
      </c>
      <c r="G34" s="631">
        <f>IF('[3]Tasa de Falla'!HK34="","",'[3]Tasa de Falla'!HK34)</f>
      </c>
      <c r="H34" s="631">
        <f>IF('[3]Tasa de Falla'!HL34="","",'[3]Tasa de Falla'!HL34)</f>
      </c>
      <c r="I34" s="631">
        <f>IF('[3]Tasa de Falla'!HM34="","",'[3]Tasa de Falla'!HM34)</f>
      </c>
      <c r="J34" s="631">
        <f>IF('[3]Tasa de Falla'!HN34="","",'[3]Tasa de Falla'!HN34)</f>
      </c>
      <c r="K34" s="631">
        <f>IF('[3]Tasa de Falla'!HO34="","",'[3]Tasa de Falla'!HO34)</f>
      </c>
      <c r="L34" s="631">
        <f>IF('[3]Tasa de Falla'!HP34="","",'[3]Tasa de Falla'!HP34)</f>
      </c>
      <c r="M34" s="631">
        <f>IF('[3]Tasa de Falla'!HQ34="","",'[3]Tasa de Falla'!HQ34)</f>
      </c>
      <c r="N34" s="631">
        <f>IF('[3]Tasa de Falla'!HR34="","",'[3]Tasa de Falla'!HR34)</f>
      </c>
      <c r="O34" s="631">
        <f>IF('[3]Tasa de Falla'!HS34="","",'[3]Tasa de Falla'!HS34)</f>
      </c>
      <c r="P34" s="631">
        <f>IF('[3]Tasa de Falla'!HT34="","",'[3]Tasa de Falla'!HT34)</f>
      </c>
      <c r="Q34" s="631">
        <f>IF('[3]Tasa de Falla'!HU34="","",'[3]Tasa de Falla'!HU34)</f>
      </c>
      <c r="R34" s="631">
        <f>IF('[3]Tasa de Falla'!HV34="","",'[3]Tasa de Falla'!HV34)</f>
      </c>
      <c r="S34" s="628"/>
      <c r="T34" s="623"/>
    </row>
    <row r="35" spans="2:20" s="624" customFormat="1" ht="24.75" customHeight="1">
      <c r="B35" s="625"/>
      <c r="C35" s="636">
        <f>'[3]Tasa de Falla'!C35</f>
        <v>19</v>
      </c>
      <c r="D35" s="637" t="str">
        <f>'[3]Tasa de Falla'!D35</f>
        <v>C.H. NIHUIL I - PEDRO VARGAS</v>
      </c>
      <c r="E35" s="637">
        <f>'[3]Tasa de Falla'!E35</f>
        <v>132</v>
      </c>
      <c r="F35" s="638">
        <f>'[3]Tasa de Falla'!F35</f>
        <v>46.5</v>
      </c>
      <c r="G35" s="631">
        <f>IF('[3]Tasa de Falla'!HK35="","",'[3]Tasa de Falla'!HK35)</f>
      </c>
      <c r="H35" s="631">
        <f>IF('[3]Tasa de Falla'!HL35="","",'[3]Tasa de Falla'!HL35)</f>
      </c>
      <c r="I35" s="631">
        <f>IF('[3]Tasa de Falla'!HM35="","",'[3]Tasa de Falla'!HM35)</f>
      </c>
      <c r="J35" s="631">
        <f>IF('[3]Tasa de Falla'!HN35="","",'[3]Tasa de Falla'!HN35)</f>
      </c>
      <c r="K35" s="631">
        <f>IF('[3]Tasa de Falla'!HO35="","",'[3]Tasa de Falla'!HO35)</f>
      </c>
      <c r="L35" s="631">
        <f>IF('[3]Tasa de Falla'!HP35="","",'[3]Tasa de Falla'!HP35)</f>
      </c>
      <c r="M35" s="631">
        <f>IF('[3]Tasa de Falla'!HQ35="","",'[3]Tasa de Falla'!HQ35)</f>
      </c>
      <c r="N35" s="631">
        <f>IF('[3]Tasa de Falla'!HR35="","",'[3]Tasa de Falla'!HR35)</f>
      </c>
      <c r="O35" s="631">
        <f>IF('[3]Tasa de Falla'!HS35="","",'[3]Tasa de Falla'!HS35)</f>
      </c>
      <c r="P35" s="631">
        <f>IF('[3]Tasa de Falla'!HT35="","",'[3]Tasa de Falla'!HT35)</f>
      </c>
      <c r="Q35" s="631">
        <f>IF('[3]Tasa de Falla'!HU35="","",'[3]Tasa de Falla'!HU35)</f>
      </c>
      <c r="R35" s="631">
        <f>IF('[3]Tasa de Falla'!HV35="","",'[3]Tasa de Falla'!HV35)</f>
      </c>
      <c r="S35" s="628"/>
      <c r="T35" s="623"/>
    </row>
    <row r="36" spans="2:20" s="624" customFormat="1" ht="24.75" customHeight="1">
      <c r="B36" s="625"/>
      <c r="C36" s="630">
        <f>'[3]Tasa de Falla'!C36</f>
        <v>20</v>
      </c>
      <c r="D36" s="631" t="str">
        <f>'[3]Tasa de Falla'!D36</f>
        <v>N AN JUAN - SAN JUAN</v>
      </c>
      <c r="E36" s="631">
        <f>'[3]Tasa de Falla'!E36</f>
        <v>220</v>
      </c>
      <c r="F36" s="632">
        <f>'[3]Tasa de Falla'!F36</f>
        <v>4.5</v>
      </c>
      <c r="G36" s="631">
        <f>IF('[3]Tasa de Falla'!HK36="","",'[3]Tasa de Falla'!HK36)</f>
      </c>
      <c r="H36" s="631">
        <f>IF('[3]Tasa de Falla'!HL36="","",'[3]Tasa de Falla'!HL36)</f>
      </c>
      <c r="I36" s="631">
        <f>IF('[3]Tasa de Falla'!HM36="","",'[3]Tasa de Falla'!HM36)</f>
      </c>
      <c r="J36" s="631">
        <f>IF('[3]Tasa de Falla'!HN36="","",'[3]Tasa de Falla'!HN36)</f>
      </c>
      <c r="K36" s="631">
        <f>IF('[3]Tasa de Falla'!HO36="","",'[3]Tasa de Falla'!HO36)</f>
      </c>
      <c r="L36" s="631">
        <f>IF('[3]Tasa de Falla'!HP36="","",'[3]Tasa de Falla'!HP36)</f>
      </c>
      <c r="M36" s="631">
        <f>IF('[3]Tasa de Falla'!HQ36="","",'[3]Tasa de Falla'!HQ36)</f>
      </c>
      <c r="N36" s="631">
        <f>IF('[3]Tasa de Falla'!HR36="","",'[3]Tasa de Falla'!HR36)</f>
      </c>
      <c r="O36" s="631">
        <f>IF('[3]Tasa de Falla'!HS36="","",'[3]Tasa de Falla'!HS36)</f>
      </c>
      <c r="P36" s="631">
        <f>IF('[3]Tasa de Falla'!HT36="","",'[3]Tasa de Falla'!HT36)</f>
      </c>
      <c r="Q36" s="631">
        <f>IF('[3]Tasa de Falla'!HU36="","",'[3]Tasa de Falla'!HU36)</f>
      </c>
      <c r="R36" s="631">
        <f>IF('[3]Tasa de Falla'!HV36="","",'[3]Tasa de Falla'!HV36)</f>
      </c>
      <c r="S36" s="628"/>
      <c r="T36" s="623"/>
    </row>
    <row r="37" spans="2:20" s="624" customFormat="1" ht="24.75" customHeight="1">
      <c r="B37" s="625"/>
      <c r="C37" s="636">
        <f>'[3]Tasa de Falla'!C37</f>
        <v>21</v>
      </c>
      <c r="D37" s="637" t="str">
        <f>'[3]Tasa de Falla'!D37</f>
        <v>SAN JUAN - CAÑADA HONDA</v>
      </c>
      <c r="E37" s="637">
        <f>'[3]Tasa de Falla'!E37</f>
        <v>132</v>
      </c>
      <c r="F37" s="638">
        <f>'[3]Tasa de Falla'!F37</f>
        <v>54.4</v>
      </c>
      <c r="G37" s="631">
        <f>IF('[3]Tasa de Falla'!HK37="","",'[3]Tasa de Falla'!HK37)</f>
      </c>
      <c r="H37" s="631">
        <f>IF('[3]Tasa de Falla'!HL37="","",'[3]Tasa de Falla'!HL37)</f>
      </c>
      <c r="I37" s="631">
        <f>IF('[3]Tasa de Falla'!HM37="","",'[3]Tasa de Falla'!HM37)</f>
        <v>1</v>
      </c>
      <c r="J37" s="631">
        <f>IF('[3]Tasa de Falla'!HN37="","",'[3]Tasa de Falla'!HN37)</f>
        <v>1</v>
      </c>
      <c r="K37" s="631">
        <f>IF('[3]Tasa de Falla'!HO37="","",'[3]Tasa de Falla'!HO37)</f>
      </c>
      <c r="L37" s="631">
        <f>IF('[3]Tasa de Falla'!HP37="","",'[3]Tasa de Falla'!HP37)</f>
      </c>
      <c r="M37" s="631">
        <f>IF('[3]Tasa de Falla'!HQ37="","",'[3]Tasa de Falla'!HQ37)</f>
      </c>
      <c r="N37" s="631">
        <f>IF('[3]Tasa de Falla'!HR37="","",'[3]Tasa de Falla'!HR37)</f>
      </c>
      <c r="O37" s="631">
        <f>IF('[3]Tasa de Falla'!HS37="","",'[3]Tasa de Falla'!HS37)</f>
      </c>
      <c r="P37" s="631">
        <f>IF('[3]Tasa de Falla'!HT37="","",'[3]Tasa de Falla'!HT37)</f>
      </c>
      <c r="Q37" s="631">
        <f>IF('[3]Tasa de Falla'!HU37="","",'[3]Tasa de Falla'!HU37)</f>
      </c>
      <c r="R37" s="631">
        <f>IF('[3]Tasa de Falla'!HV37="","",'[3]Tasa de Falla'!HV37)</f>
      </c>
      <c r="S37" s="628"/>
      <c r="T37" s="623"/>
    </row>
    <row r="38" spans="2:20" s="624" customFormat="1" ht="24.75" customHeight="1" thickBot="1">
      <c r="B38" s="625"/>
      <c r="C38" s="639">
        <f>IF('[4]Tasa de Falla'!C36=0,"",'[4]Tasa de Falla'!C36)</f>
      </c>
      <c r="D38" s="640">
        <f>IF('[4]Tasa de Falla'!D36=0,"",'[4]Tasa de Falla'!D36)</f>
      </c>
      <c r="E38" s="641">
        <f>IF('[4]Tasa de Falla'!E36=0,"",'[4]Tasa de Falla'!E36)</f>
      </c>
      <c r="F38" s="642">
        <f>IF('[4]Tasa de Falla'!F36=0,"",'[4]Tasa de Falla'!F36)</f>
      </c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28"/>
      <c r="T38" s="623"/>
    </row>
    <row r="39" spans="2:20" s="624" customFormat="1" ht="24.75" customHeight="1" thickBot="1" thickTop="1">
      <c r="B39" s="625"/>
      <c r="C39" s="643"/>
      <c r="D39" s="644"/>
      <c r="E39" s="645" t="s">
        <v>186</v>
      </c>
      <c r="F39" s="646">
        <f>ROUND(SUM($F$17:$F$38)-SUMIF($R17:$R38,"XXXX",$F$17:$F$38),2)</f>
        <v>1250</v>
      </c>
      <c r="G39" s="647"/>
      <c r="H39" s="648"/>
      <c r="I39" s="647"/>
      <c r="J39" s="648"/>
      <c r="K39" s="647"/>
      <c r="L39" s="648"/>
      <c r="M39" s="647"/>
      <c r="N39" s="648"/>
      <c r="O39" s="647"/>
      <c r="P39" s="648"/>
      <c r="Q39" s="647"/>
      <c r="R39" s="648"/>
      <c r="S39" s="628"/>
      <c r="T39" s="623"/>
    </row>
    <row r="40" spans="2:20" s="624" customFormat="1" ht="24.75" customHeight="1" thickBot="1" thickTop="1">
      <c r="B40" s="625"/>
      <c r="C40" s="649"/>
      <c r="D40" s="650"/>
      <c r="F40" s="651" t="s">
        <v>187</v>
      </c>
      <c r="G40" s="652">
        <f aca="true" t="shared" si="0" ref="G40:R40">SUM(G17:G38)</f>
        <v>0</v>
      </c>
      <c r="H40" s="652">
        <f t="shared" si="0"/>
        <v>0</v>
      </c>
      <c r="I40" s="652">
        <f t="shared" si="0"/>
        <v>2</v>
      </c>
      <c r="J40" s="652">
        <f t="shared" si="0"/>
        <v>1</v>
      </c>
      <c r="K40" s="652">
        <f t="shared" si="0"/>
        <v>0</v>
      </c>
      <c r="L40" s="652">
        <f t="shared" si="0"/>
        <v>1</v>
      </c>
      <c r="M40" s="652">
        <f t="shared" si="0"/>
        <v>0</v>
      </c>
      <c r="N40" s="652">
        <f t="shared" si="0"/>
        <v>2</v>
      </c>
      <c r="O40" s="652">
        <f t="shared" si="0"/>
        <v>2</v>
      </c>
      <c r="P40" s="652">
        <f t="shared" si="0"/>
        <v>1</v>
      </c>
      <c r="Q40" s="652">
        <f t="shared" si="0"/>
        <v>0</v>
      </c>
      <c r="R40" s="652">
        <f t="shared" si="0"/>
        <v>4</v>
      </c>
      <c r="S40" s="628"/>
      <c r="T40" s="623"/>
    </row>
    <row r="41" spans="2:20" s="624" customFormat="1" ht="24.75" customHeight="1" thickBot="1" thickTop="1">
      <c r="B41" s="625"/>
      <c r="C41" s="649"/>
      <c r="D41" s="649"/>
      <c r="E41" s="649"/>
      <c r="F41" s="653" t="s">
        <v>188</v>
      </c>
      <c r="G41" s="654">
        <f>'[3]Tasa de Falla'!HK42</f>
        <v>0.96</v>
      </c>
      <c r="H41" s="654">
        <f>'[3]Tasa de Falla'!HL42</f>
        <v>0.88</v>
      </c>
      <c r="I41" s="654">
        <f>'[3]Tasa de Falla'!HM42</f>
        <v>0.88</v>
      </c>
      <c r="J41" s="654">
        <f>'[3]Tasa de Falla'!HN42</f>
        <v>0.88</v>
      </c>
      <c r="K41" s="654">
        <f>'[3]Tasa de Falla'!HO42</f>
        <v>0.88</v>
      </c>
      <c r="L41" s="654">
        <f>'[3]Tasa de Falla'!HP42</f>
        <v>0.8</v>
      </c>
      <c r="M41" s="654">
        <f>'[3]Tasa de Falla'!HQ42</f>
        <v>0.8</v>
      </c>
      <c r="N41" s="654">
        <f>'[3]Tasa de Falla'!HR42</f>
        <v>0.72</v>
      </c>
      <c r="O41" s="654">
        <f>'[3]Tasa de Falla'!HS42</f>
        <v>0.72</v>
      </c>
      <c r="P41" s="654">
        <f>'[3]Tasa de Falla'!HT42</f>
        <v>0.8</v>
      </c>
      <c r="Q41" s="654">
        <f>'[3]Tasa de Falla'!HU42</f>
        <v>0.88</v>
      </c>
      <c r="R41" s="654">
        <f>'[3]Tasa de Falla'!HV42</f>
        <v>0.72</v>
      </c>
      <c r="S41" s="654">
        <f>'[3]Tasa de Falla'!HW42</f>
        <v>1.04</v>
      </c>
      <c r="T41" s="623"/>
    </row>
    <row r="42" spans="2:20" ht="18.75" customHeight="1" thickBot="1" thickTop="1">
      <c r="B42" s="611"/>
      <c r="C42" s="655"/>
      <c r="D42" s="656" t="s">
        <v>189</v>
      </c>
      <c r="E42" s="657"/>
      <c r="F42" s="658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659"/>
      <c r="R42" s="659"/>
      <c r="S42" s="659"/>
      <c r="T42" s="660"/>
    </row>
    <row r="43" spans="2:20" ht="17.25" thickBot="1" thickTop="1">
      <c r="B43" s="661"/>
      <c r="C43" s="615"/>
      <c r="D43" s="615"/>
      <c r="H43" s="662" t="s">
        <v>190</v>
      </c>
      <c r="I43" s="663"/>
      <c r="J43" s="664">
        <f>S41</f>
        <v>1.04</v>
      </c>
      <c r="K43" s="665" t="s">
        <v>191</v>
      </c>
      <c r="L43" s="666"/>
      <c r="M43" s="667"/>
      <c r="N43" s="668"/>
      <c r="O43" s="668"/>
      <c r="P43" s="668"/>
      <c r="Q43" s="668"/>
      <c r="R43" s="615"/>
      <c r="S43" s="615"/>
      <c r="T43" s="616"/>
    </row>
    <row r="44" spans="2:20" ht="18.75" customHeight="1" thickBot="1" thickTop="1">
      <c r="B44" s="669"/>
      <c r="C44" s="670"/>
      <c r="D44" s="671"/>
      <c r="E44" s="671"/>
      <c r="F44" s="672"/>
      <c r="G44" s="673"/>
      <c r="H44" s="673"/>
      <c r="I44" s="673"/>
      <c r="J44" s="673"/>
      <c r="K44" s="673"/>
      <c r="L44" s="673"/>
      <c r="M44" s="673"/>
      <c r="N44" s="673"/>
      <c r="O44" s="673"/>
      <c r="P44" s="673"/>
      <c r="Q44" s="673"/>
      <c r="R44" s="673"/>
      <c r="S44" s="673"/>
      <c r="T44" s="674"/>
    </row>
    <row r="45" ht="13.5" thickTop="1">
      <c r="AA45" s="590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01" customWidth="1"/>
    <col min="2" max="2" width="9.28125" style="401" customWidth="1"/>
    <col min="3" max="3" width="11.8515625" style="401" bestFit="1" customWidth="1"/>
    <col min="4" max="4" width="9.57421875" style="401" bestFit="1" customWidth="1"/>
    <col min="5" max="5" width="14.8515625" style="401" bestFit="1" customWidth="1"/>
    <col min="6" max="6" width="64.00390625" style="401" bestFit="1" customWidth="1"/>
    <col min="7" max="16384" width="11.421875" style="401" customWidth="1"/>
  </cols>
  <sheetData>
    <row r="1" spans="1:4" ht="12.75">
      <c r="A1" s="400" t="s">
        <v>76</v>
      </c>
      <c r="B1" s="400" t="s">
        <v>76</v>
      </c>
      <c r="C1" s="400" t="s">
        <v>77</v>
      </c>
      <c r="D1" s="400" t="s">
        <v>78</v>
      </c>
    </row>
    <row r="2" spans="1:4" ht="12.75">
      <c r="A2" s="402" t="s">
        <v>60</v>
      </c>
      <c r="B2" s="403" t="s">
        <v>79</v>
      </c>
      <c r="C2" s="402">
        <v>31</v>
      </c>
      <c r="D2" s="402">
        <v>2006</v>
      </c>
    </row>
    <row r="3" spans="1:4" ht="12.75">
      <c r="A3" s="402" t="s">
        <v>61</v>
      </c>
      <c r="B3" s="403" t="s">
        <v>80</v>
      </c>
      <c r="C3" s="402">
        <f>IF(MOD(E14,4)=0,29,28)</f>
        <v>28</v>
      </c>
      <c r="D3" s="402">
        <f>+D2+1</f>
        <v>2007</v>
      </c>
    </row>
    <row r="4" spans="1:4" ht="12.75">
      <c r="A4" s="402" t="s">
        <v>62</v>
      </c>
      <c r="B4" s="403" t="s">
        <v>81</v>
      </c>
      <c r="C4" s="402">
        <v>31</v>
      </c>
      <c r="D4" s="402">
        <v>2008</v>
      </c>
    </row>
    <row r="5" spans="1:4" ht="12.75">
      <c r="A5" s="402" t="s">
        <v>63</v>
      </c>
      <c r="B5" s="403" t="s">
        <v>82</v>
      </c>
      <c r="C5" s="402">
        <v>30</v>
      </c>
      <c r="D5" s="402">
        <v>2009</v>
      </c>
    </row>
    <row r="6" spans="1:4" ht="12.75">
      <c r="A6" s="402" t="s">
        <v>64</v>
      </c>
      <c r="B6" s="403" t="s">
        <v>83</v>
      </c>
      <c r="C6" s="402">
        <v>31</v>
      </c>
      <c r="D6" s="402">
        <v>2010</v>
      </c>
    </row>
    <row r="7" spans="1:4" ht="12.75">
      <c r="A7" s="402" t="s">
        <v>65</v>
      </c>
      <c r="B7" s="403" t="s">
        <v>84</v>
      </c>
      <c r="C7" s="402">
        <v>30</v>
      </c>
      <c r="D7" s="402">
        <v>2011</v>
      </c>
    </row>
    <row r="8" spans="1:4" ht="12.75">
      <c r="A8" s="402" t="s">
        <v>66</v>
      </c>
      <c r="B8" s="403" t="s">
        <v>85</v>
      </c>
      <c r="C8" s="402">
        <v>31</v>
      </c>
      <c r="D8" s="402">
        <v>2012</v>
      </c>
    </row>
    <row r="9" spans="1:4" ht="12.75">
      <c r="A9" s="402" t="s">
        <v>67</v>
      </c>
      <c r="B9" s="403" t="s">
        <v>86</v>
      </c>
      <c r="C9" s="402">
        <v>31</v>
      </c>
      <c r="D9" s="402">
        <v>2013</v>
      </c>
    </row>
    <row r="10" spans="1:4" ht="12.75">
      <c r="A10" s="402" t="s">
        <v>68</v>
      </c>
      <c r="B10" s="403" t="s">
        <v>87</v>
      </c>
      <c r="C10" s="402">
        <v>30</v>
      </c>
      <c r="D10" s="402">
        <v>2014</v>
      </c>
    </row>
    <row r="11" spans="1:4" ht="12.75">
      <c r="A11" s="402" t="s">
        <v>69</v>
      </c>
      <c r="B11" s="403" t="s">
        <v>88</v>
      </c>
      <c r="C11" s="402">
        <v>31</v>
      </c>
      <c r="D11" s="402"/>
    </row>
    <row r="12" spans="1:4" ht="12.75">
      <c r="A12" s="402" t="s">
        <v>70</v>
      </c>
      <c r="B12" s="403" t="s">
        <v>89</v>
      </c>
      <c r="C12" s="402">
        <v>30</v>
      </c>
      <c r="D12" s="402"/>
    </row>
    <row r="13" spans="1:9" ht="12.75">
      <c r="A13" s="402" t="s">
        <v>71</v>
      </c>
      <c r="B13" s="403" t="s">
        <v>90</v>
      </c>
      <c r="C13" s="402">
        <v>31</v>
      </c>
      <c r="D13" s="402"/>
      <c r="I13" s="404" t="s">
        <v>91</v>
      </c>
    </row>
    <row r="14" spans="1:9" ht="12.75">
      <c r="A14" s="405">
        <v>9</v>
      </c>
      <c r="B14" s="406">
        <v>3</v>
      </c>
      <c r="C14" s="405" t="str">
        <f ca="1">CELL("CONTENIDO",OFFSET(A1,B14,0))</f>
        <v>marzo</v>
      </c>
      <c r="D14" s="405">
        <f ca="1">CELL("CONTENIDO",OFFSET(C1,B14,0))</f>
        <v>31</v>
      </c>
      <c r="E14" s="405">
        <f ca="1">CELL("CONTENIDO",OFFSET(D1,A14,0))</f>
        <v>2014</v>
      </c>
      <c r="F14" s="405" t="str">
        <f>"Desde el 01 al "&amp;D14&amp;" de "&amp;C14&amp;" de "&amp;E14</f>
        <v>Desde el 01 al 31 de marzo de 2014</v>
      </c>
      <c r="G14" s="405" t="str">
        <f ca="1">CELL("CONTENIDO",OFFSET(B1,B14,0))</f>
        <v>03</v>
      </c>
      <c r="H14" s="405" t="str">
        <f>RIGHT(E14,2)</f>
        <v>14</v>
      </c>
      <c r="I14" s="407" t="s">
        <v>92</v>
      </c>
    </row>
    <row r="15" spans="1:8" ht="12.75">
      <c r="A15" s="405"/>
      <c r="B15" s="408" t="str">
        <f>"\\rugor\files\Transporte\Transporte\AA PROCESO AUT ARCHIVOS J\DISTROCUYO\"&amp;E14</f>
        <v>\\rugor\files\Transporte\Transporte\AA PROCESO AUT ARCHIVOS J\DISTROCUYO\2014</v>
      </c>
      <c r="C15" s="405"/>
      <c r="D15" s="405"/>
      <c r="E15" s="405"/>
      <c r="F15" s="405"/>
      <c r="G15" s="405" t="str">
        <f>"J"&amp;G14&amp;H14&amp;"CUY"</f>
        <v>J0314CUY</v>
      </c>
      <c r="H15" s="405"/>
    </row>
    <row r="16" spans="1:8" ht="12.75">
      <c r="A16" s="405"/>
      <c r="B16" s="408" t="str">
        <f>"\\rugor\files\Transporte\transporte\AA PROCESO AUT\INTERCAMBIO\"&amp;H14&amp;G14</f>
        <v>\\rugor\files\Transporte\transporte\AA PROCESO AUT\INTERCAMBIO\1403</v>
      </c>
      <c r="C16" s="405"/>
      <c r="D16" s="405"/>
      <c r="E16" s="405"/>
      <c r="F16" s="405"/>
      <c r="G16" s="405"/>
      <c r="H16" s="405"/>
    </row>
    <row r="17" spans="1:29" s="409" customFormat="1" ht="12.75">
      <c r="A17" s="400" t="s">
        <v>93</v>
      </c>
      <c r="B17" s="400" t="s">
        <v>94</v>
      </c>
      <c r="C17" s="400" t="s">
        <v>95</v>
      </c>
      <c r="D17" s="400" t="s">
        <v>96</v>
      </c>
      <c r="E17" s="400" t="s">
        <v>97</v>
      </c>
      <c r="F17" s="400" t="s">
        <v>98</v>
      </c>
      <c r="G17" s="400" t="s">
        <v>126</v>
      </c>
      <c r="H17" s="400" t="s">
        <v>99</v>
      </c>
      <c r="I17" s="400" t="s">
        <v>100</v>
      </c>
      <c r="J17" s="400" t="s">
        <v>101</v>
      </c>
      <c r="K17" s="400" t="s">
        <v>102</v>
      </c>
      <c r="L17" s="400" t="s">
        <v>103</v>
      </c>
      <c r="M17" s="400" t="s">
        <v>104</v>
      </c>
      <c r="N17" s="400" t="s">
        <v>105</v>
      </c>
      <c r="O17" s="400" t="s">
        <v>106</v>
      </c>
      <c r="P17" s="400" t="s">
        <v>107</v>
      </c>
      <c r="Q17" s="400" t="s">
        <v>108</v>
      </c>
      <c r="R17" s="400" t="s">
        <v>109</v>
      </c>
      <c r="S17" s="400" t="s">
        <v>110</v>
      </c>
      <c r="T17" s="400" t="s">
        <v>111</v>
      </c>
      <c r="U17" s="400" t="s">
        <v>112</v>
      </c>
      <c r="V17" s="400" t="s">
        <v>113</v>
      </c>
      <c r="W17" s="400" t="s">
        <v>114</v>
      </c>
      <c r="X17" s="400" t="s">
        <v>115</v>
      </c>
      <c r="Y17" s="400" t="s">
        <v>116</v>
      </c>
      <c r="Z17" s="400" t="s">
        <v>117</v>
      </c>
      <c r="AA17" s="400" t="s">
        <v>118</v>
      </c>
      <c r="AB17" s="400" t="s">
        <v>119</v>
      </c>
      <c r="AC17" s="400" t="s">
        <v>120</v>
      </c>
    </row>
    <row r="18" spans="1:29" ht="12.75">
      <c r="A18" s="410" t="s">
        <v>121</v>
      </c>
      <c r="B18" s="410">
        <v>21</v>
      </c>
      <c r="C18" s="410">
        <v>19</v>
      </c>
      <c r="D18" s="410">
        <v>12</v>
      </c>
      <c r="E18" s="410" t="str">
        <f>"LI-"&amp;$G$14</f>
        <v>LI-03</v>
      </c>
      <c r="F18" s="410" t="s">
        <v>127</v>
      </c>
      <c r="G18" s="410">
        <v>3</v>
      </c>
      <c r="H18" s="411">
        <v>5</v>
      </c>
      <c r="I18" s="411">
        <v>4</v>
      </c>
      <c r="J18" s="410">
        <v>6</v>
      </c>
      <c r="K18" s="410">
        <v>7</v>
      </c>
      <c r="L18" s="410">
        <v>8</v>
      </c>
      <c r="M18" s="410">
        <v>0</v>
      </c>
      <c r="N18" s="410">
        <v>10</v>
      </c>
      <c r="O18" s="410">
        <v>11</v>
      </c>
      <c r="P18" s="410">
        <v>14</v>
      </c>
      <c r="Q18" s="410">
        <v>26</v>
      </c>
      <c r="R18" s="410">
        <v>0</v>
      </c>
      <c r="S18" s="410">
        <v>15</v>
      </c>
      <c r="T18" s="410">
        <v>0</v>
      </c>
      <c r="U18" s="410">
        <v>0</v>
      </c>
      <c r="V18" s="410">
        <v>0</v>
      </c>
      <c r="W18" s="410">
        <v>18</v>
      </c>
      <c r="X18" s="410">
        <v>9</v>
      </c>
      <c r="Y18" s="410">
        <v>42</v>
      </c>
      <c r="Z18" s="410">
        <v>27</v>
      </c>
      <c r="AA18" s="410">
        <v>19</v>
      </c>
      <c r="AB18" s="410">
        <v>27</v>
      </c>
      <c r="AC18" s="410">
        <v>14</v>
      </c>
    </row>
    <row r="19" spans="1:29" ht="12.75">
      <c r="A19" s="412" t="s">
        <v>122</v>
      </c>
      <c r="B19" s="412">
        <v>22</v>
      </c>
      <c r="C19" s="412">
        <v>19</v>
      </c>
      <c r="D19" s="412">
        <v>13</v>
      </c>
      <c r="E19" s="412" t="str">
        <f>"T-"&amp;$G$14</f>
        <v>T-03</v>
      </c>
      <c r="F19" s="412" t="s">
        <v>128</v>
      </c>
      <c r="G19" s="410">
        <v>3</v>
      </c>
      <c r="H19" s="411">
        <v>5</v>
      </c>
      <c r="I19" s="411">
        <v>4</v>
      </c>
      <c r="J19" s="412">
        <v>6</v>
      </c>
      <c r="K19" s="412">
        <v>7</v>
      </c>
      <c r="L19" s="412">
        <v>8</v>
      </c>
      <c r="M19" s="412">
        <v>9</v>
      </c>
      <c r="N19" s="412">
        <v>11</v>
      </c>
      <c r="O19" s="412">
        <v>12</v>
      </c>
      <c r="P19" s="412">
        <v>15</v>
      </c>
      <c r="Q19" s="412">
        <v>16</v>
      </c>
      <c r="R19" s="412">
        <v>18</v>
      </c>
      <c r="S19" s="412">
        <v>28</v>
      </c>
      <c r="T19" s="412">
        <v>17</v>
      </c>
      <c r="U19" s="412">
        <v>0</v>
      </c>
      <c r="V19" s="412">
        <v>0</v>
      </c>
      <c r="W19" s="412">
        <v>22</v>
      </c>
      <c r="X19" s="410">
        <v>9</v>
      </c>
      <c r="Y19" s="412">
        <v>43</v>
      </c>
      <c r="Z19" s="412">
        <v>29</v>
      </c>
      <c r="AA19" s="412">
        <v>20</v>
      </c>
      <c r="AB19" s="412">
        <v>29</v>
      </c>
      <c r="AC19" s="412">
        <v>15</v>
      </c>
    </row>
    <row r="20" spans="1:29" ht="12.75">
      <c r="A20" s="410" t="s">
        <v>123</v>
      </c>
      <c r="B20" s="410">
        <v>22</v>
      </c>
      <c r="C20" s="410">
        <v>19</v>
      </c>
      <c r="D20" s="410">
        <v>10</v>
      </c>
      <c r="E20" s="410" t="str">
        <f>"SA-"&amp;$G$14</f>
        <v>SA-03</v>
      </c>
      <c r="F20" s="410" t="s">
        <v>129</v>
      </c>
      <c r="G20" s="410">
        <v>3</v>
      </c>
      <c r="H20" s="411">
        <v>5</v>
      </c>
      <c r="I20" s="411">
        <v>4</v>
      </c>
      <c r="J20" s="410">
        <v>6</v>
      </c>
      <c r="K20" s="410">
        <v>7</v>
      </c>
      <c r="L20" s="410">
        <v>8</v>
      </c>
      <c r="M20" s="410">
        <v>10</v>
      </c>
      <c r="N20" s="410">
        <v>11</v>
      </c>
      <c r="O20" s="410">
        <v>14</v>
      </c>
      <c r="P20" s="410">
        <v>15</v>
      </c>
      <c r="Q20" s="410">
        <v>21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24</v>
      </c>
      <c r="X20" s="410">
        <v>9</v>
      </c>
      <c r="Y20" s="410">
        <v>43</v>
      </c>
      <c r="Z20" s="410">
        <v>22</v>
      </c>
      <c r="AA20" s="410">
        <v>20</v>
      </c>
      <c r="AB20" s="410">
        <v>22</v>
      </c>
      <c r="AC20" s="410">
        <v>14</v>
      </c>
    </row>
    <row r="21" spans="1:29" s="409" customFormat="1" ht="12.75">
      <c r="A21" s="413" t="s">
        <v>124</v>
      </c>
      <c r="B21" s="413">
        <v>19</v>
      </c>
      <c r="C21" s="413">
        <v>24</v>
      </c>
      <c r="D21" s="414">
        <v>4</v>
      </c>
      <c r="E21" s="413" t="str">
        <f>"CAUSAS-VST-"&amp;$G$14</f>
        <v>CAUSAS-VST-03</v>
      </c>
      <c r="F21" s="413" t="s">
        <v>125</v>
      </c>
      <c r="G21" s="413">
        <v>3</v>
      </c>
      <c r="H21" s="413">
        <v>4</v>
      </c>
      <c r="I21" s="413">
        <v>5</v>
      </c>
      <c r="J21" s="413">
        <v>6</v>
      </c>
      <c r="K21" s="413">
        <v>7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3">
        <v>0</v>
      </c>
      <c r="U21" s="413">
        <v>0</v>
      </c>
      <c r="V21" s="413">
        <v>0</v>
      </c>
      <c r="W21" s="413">
        <v>999</v>
      </c>
      <c r="X21" s="413">
        <v>999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2014-12-18T18:57:22Z</cp:lastPrinted>
  <dcterms:created xsi:type="dcterms:W3CDTF">1998-09-02T21:31:22Z</dcterms:created>
  <dcterms:modified xsi:type="dcterms:W3CDTF">2014-12-30T14:38:50Z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