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213" sheetId="1" r:id="rId1"/>
    <sheet name="LI-12 (1)" sheetId="2" r:id="rId2"/>
    <sheet name="T-12 (1)" sheetId="3" r:id="rId3"/>
    <sheet name="SA-12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<sst xmlns="http://schemas.openxmlformats.org/spreadsheetml/2006/main" count="249" uniqueCount="167">
  <si>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</si>
  <si>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</si>
  <si>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</si>
  <si>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</si>
  <si>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</si>
  <si>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</si>
  <si>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</si>
  <si>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</si>
  <si>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</si>
  <si>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</si>
  <si>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</si>
  <si>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</si>
  <si>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</si>
  <si>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</si>
  <si>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</si>
  <si>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</si>
  <si>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</si>
  <si>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</si>
  <si>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</si>
  <si>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</si>
  <si>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</si>
  <si>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</si>
  <si>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</si>
  <si>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</si>
  <si>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</si>
  <si>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</si>
  <si>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</si>
  <si>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</si>
  <si>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</si>
  <si>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</si>
  <si>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</si>
  <si>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</si>
  <si>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</si>
  <si>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</si>
  <si>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</si>
  <si>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</si>
  <si>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</si>
  <si>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</si>
  <si>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</si>
  <si>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</si>
  <si>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</si>
  <si>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</si>
  <si>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</si>
  <si>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</si>
  <si>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</si>
  <si>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</si>
  <si>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</si>
  <si>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</si>
  <si>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</si>
  <si>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</si>
  <si>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</si>
  <si>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</si>
  <si>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</si>
  <si>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</si>
  <si>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</si>
  <si>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</si>
  <si>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</si>
  <si>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</si>
  <si>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</si>
  <si>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</si>
  <si>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</si>
  <si>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</si>
  <si>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</si>
  <si>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</si>
  <si>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</si>
  <si>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</si>
  <si>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</si>
  <si>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</si>
  <si>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</si>
  <si>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</si>
  <si>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</si>
  <si>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</si>
  <si>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</si>
  <si>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</si>
  <si>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</si>
  <si>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</si>
  <si>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</si>
  <si>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</si>
  <si>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</si>
  <si>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</si>
  <si>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</si>
  <si>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</si>
  <si>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</si>
  <si>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</si>
  <si>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</si>
  <si>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</si>
  <si>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</si>
  <si>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</si>
  <si>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</si>
  <si>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</si>
  <si>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</si>
  <si>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</si>
  <si>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</si>
  <si>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</si>
  <si>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</si>
  <si>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</si>
  <si>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</si>
  <si>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</si>
  <si>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</si>
  <si>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</si>
  <si>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</si>
  <si>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</si>
  <si>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</si>
  <si>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</si>
  <si>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</si>
  <si>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</si>
  <si>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</si>
  <si>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</si>
  <si>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</si>
  <si>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</si>
  <si>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</si>
  <si>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</si>
  <si>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</si>
  <si>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</si>
  <si>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</si>
  <si>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</si>
  <si>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</si>
  <si>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</si>
  <si>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</si>
  <si>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</si>
  <si>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</si>
  <si>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</si>
  <si>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</si>
  <si>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</si>
  <si>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</si>
  <si>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</si>
  <si>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</si>
  <si>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</si>
  <si>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</si>
  <si>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</si>
  <si>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diciembre de 2013</t>
  </si>
  <si>
    <t>C.H. NIHUIL 1 - PEDRO VARGAS</t>
  </si>
  <si>
    <t>P</t>
  </si>
  <si>
    <t>0,000</t>
  </si>
  <si>
    <t>CRUZ DE PIEDRA - SAN JUAN</t>
  </si>
  <si>
    <t>AGUA DEL TORO - NIHUIL II</t>
  </si>
  <si>
    <t>F</t>
  </si>
  <si>
    <t>SI</t>
  </si>
  <si>
    <t>CRUZ DE PIEDRA</t>
  </si>
  <si>
    <t>TRAFO 1</t>
  </si>
  <si>
    <t>132/66/13,2</t>
  </si>
  <si>
    <t>LINEA BARRIALES</t>
  </si>
  <si>
    <t>LINEA RODEO DEL MEDIO 1</t>
  </si>
  <si>
    <t>LINEA RODEO DEL MEDIO 2</t>
  </si>
  <si>
    <t>LINEA AGRELO</t>
  </si>
  <si>
    <t>CAPIZ</t>
  </si>
  <si>
    <t>LINEA SAN CARLOS</t>
  </si>
  <si>
    <t>LINEA RODEO DE LA CRUZ</t>
  </si>
  <si>
    <t>LINEA CESPEDES</t>
  </si>
  <si>
    <t xml:space="preserve"> - </t>
  </si>
  <si>
    <t>P - PROGRAMADA  ; F - FORZADA</t>
  </si>
  <si>
    <t>Res.SE 1/03</t>
  </si>
  <si>
    <t>LINEA LC 35</t>
  </si>
  <si>
    <t>P - PROGRAMADA</t>
  </si>
  <si>
    <t>TOTAL DE PENALIZACIONES</t>
  </si>
  <si>
    <t>Valores remuneratorios según el Convenio de Renovación del Acuerdo Instrumental del Acta Acuerdo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</si>
  <si>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</si>
  <si>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</si>
  <si>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</si>
  <si>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</si>
  <si>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</si>
  <si>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</si>
  <si>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</si>
  <si>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</si>
  <si>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</si>
  <si>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Diciembre de 2013 </t>
  </si>
  <si>
    <t>ANEXO I al Memorandum D.T.E.E. N° 798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</si>
</sst>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6" fontId="1" fillId="0" borderId="15" xfId="54" applyNumberFormat="1" applyFont="1" applyBorder="1" applyAlignment="1">
      <alignment horizontal="centerContinuous"/>
      <protection/>
    </xf>
    <xf numFmtId="0" fontId="3" fillId="0" borderId="16" xfId="54" applyFont="1" applyBorder="1" applyAlignment="1" applyProtection="1">
      <alignment horizontal="centerContinuous"/>
      <protection/>
    </xf>
    <xf numFmtId="171" fontId="6" fillId="0" borderId="16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9" fillId="35" borderId="20" xfId="54" applyFont="1" applyFill="1" applyBorder="1" applyAlignment="1">
      <alignment horizontal="center" vertical="center" wrapText="1"/>
      <protection/>
    </xf>
    <xf numFmtId="0" fontId="30" fillId="33" borderId="15" xfId="54" applyFont="1" applyFill="1" applyBorder="1" applyAlignment="1" applyProtection="1">
      <alignment horizontal="centerContinuous" vertical="center" wrapText="1"/>
      <protection/>
    </xf>
    <xf numFmtId="0" fontId="7" fillId="33" borderId="21" xfId="54" applyFont="1" applyFill="1" applyBorder="1" applyAlignment="1">
      <alignment horizontal="centerContinuous"/>
      <protection/>
    </xf>
    <xf numFmtId="0" fontId="30" fillId="33" borderId="16" xfId="54" applyFont="1" applyFill="1" applyBorder="1" applyAlignment="1">
      <alignment horizontal="centerContinuous" vertical="center"/>
      <protection/>
    </xf>
    <xf numFmtId="0" fontId="28" fillId="36" borderId="15" xfId="54" applyFont="1" applyFill="1" applyBorder="1" applyAlignment="1" applyProtection="1">
      <alignment horizontal="centerContinuous" vertical="center" wrapText="1"/>
      <protection/>
    </xf>
    <xf numFmtId="0" fontId="28" fillId="36" borderId="21" xfId="54" applyFont="1" applyFill="1" applyBorder="1" applyAlignment="1">
      <alignment horizontal="centerContinuous" vertical="center"/>
      <protection/>
    </xf>
    <xf numFmtId="0" fontId="28" fillId="36" borderId="16" xfId="54" applyFont="1" applyFill="1" applyBorder="1" applyAlignment="1">
      <alignment horizontal="centerContinuous" vertical="center"/>
      <protection/>
    </xf>
    <xf numFmtId="0" fontId="31" fillId="37" borderId="20" xfId="54" applyFont="1" applyFill="1" applyBorder="1" applyAlignment="1">
      <alignment horizontal="center" vertical="center" wrapText="1"/>
      <protection/>
    </xf>
    <xf numFmtId="0" fontId="32" fillId="38" borderId="20" xfId="54" applyFont="1" applyFill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22" xfId="54" applyFont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33" fillId="33" borderId="22" xfId="54" applyFont="1" applyFill="1" applyBorder="1" applyProtection="1">
      <alignment/>
      <protection locked="0"/>
    </xf>
    <xf numFmtId="0" fontId="6" fillId="0" borderId="22" xfId="54" applyFont="1" applyBorder="1" applyAlignment="1">
      <alignment horizontal="center"/>
      <protection/>
    </xf>
    <xf numFmtId="0" fontId="34" fillId="34" borderId="22" xfId="54" applyFont="1" applyFill="1" applyBorder="1" applyProtection="1">
      <alignment/>
      <protection locked="0"/>
    </xf>
    <xf numFmtId="0" fontId="35" fillId="35" borderId="22" xfId="54" applyFont="1" applyFill="1" applyBorder="1" applyProtection="1">
      <alignment/>
      <protection locked="0"/>
    </xf>
    <xf numFmtId="0" fontId="36" fillId="33" borderId="22" xfId="54" applyFont="1" applyFill="1" applyBorder="1" applyAlignment="1" applyProtection="1">
      <alignment horizontal="center"/>
      <protection locked="0"/>
    </xf>
    <xf numFmtId="0" fontId="36" fillId="33" borderId="22" xfId="54" applyFont="1" applyFill="1" applyBorder="1" applyProtection="1">
      <alignment/>
      <protection locked="0"/>
    </xf>
    <xf numFmtId="0" fontId="34" fillId="36" borderId="22" xfId="54" applyFont="1" applyFill="1" applyBorder="1" applyProtection="1">
      <alignment/>
      <protection locked="0"/>
    </xf>
    <xf numFmtId="0" fontId="37" fillId="37" borderId="22" xfId="54" applyFont="1" applyFill="1" applyBorder="1" applyProtection="1">
      <alignment/>
      <protection locked="0"/>
    </xf>
    <xf numFmtId="0" fontId="38" fillId="38" borderId="22" xfId="54" applyFont="1" applyFill="1" applyBorder="1" applyProtection="1">
      <alignment/>
      <protection locked="0"/>
    </xf>
    <xf numFmtId="0" fontId="39" fillId="0" borderId="22" xfId="54" applyFont="1" applyBorder="1" applyAlignment="1">
      <alignment horizontal="center"/>
      <protection/>
    </xf>
    <xf numFmtId="0" fontId="6" fillId="0" borderId="23" xfId="54" applyFont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33" fillId="33" borderId="23" xfId="54" applyFont="1" applyFill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6" fillId="0" borderId="23" xfId="54" applyFont="1" applyBorder="1" applyAlignment="1">
      <alignment horizontal="center"/>
      <protection/>
    </xf>
    <xf numFmtId="0" fontId="34" fillId="34" borderId="23" xfId="54" applyFont="1" applyFill="1" applyBorder="1" applyProtection="1">
      <alignment/>
      <protection locked="0"/>
    </xf>
    <xf numFmtId="0" fontId="35" fillId="35" borderId="23" xfId="54" applyFont="1" applyFill="1" applyBorder="1" applyProtection="1">
      <alignment/>
      <protection locked="0"/>
    </xf>
    <xf numFmtId="0" fontId="36" fillId="33" borderId="23" xfId="54" applyFont="1" applyFill="1" applyBorder="1" applyAlignment="1" applyProtection="1">
      <alignment horizontal="center"/>
      <protection locked="0"/>
    </xf>
    <xf numFmtId="0" fontId="36" fillId="33" borderId="23" xfId="54" applyFont="1" applyFill="1" applyBorder="1" applyProtection="1">
      <alignment/>
      <protection locked="0"/>
    </xf>
    <xf numFmtId="0" fontId="34" fillId="36" borderId="23" xfId="54" applyFont="1" applyFill="1" applyBorder="1" applyProtection="1">
      <alignment/>
      <protection locked="0"/>
    </xf>
    <xf numFmtId="0" fontId="37" fillId="37" borderId="23" xfId="54" applyFont="1" applyFill="1" applyBorder="1" applyProtection="1">
      <alignment/>
      <protection locked="0"/>
    </xf>
    <xf numFmtId="0" fontId="38" fillId="38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2" fontId="6" fillId="0" borderId="24" xfId="54" applyNumberFormat="1" applyFont="1" applyBorder="1" applyAlignment="1" applyProtection="1">
      <alignment horizontal="center"/>
      <protection locked="0"/>
    </xf>
    <xf numFmtId="172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Border="1" applyAlignment="1" applyProtection="1">
      <alignment horizontal="center"/>
      <protection locked="0"/>
    </xf>
    <xf numFmtId="2" fontId="6" fillId="0" borderId="23" xfId="54" applyNumberFormat="1" applyFont="1" applyBorder="1" applyAlignment="1" applyProtection="1">
      <alignment horizontal="center"/>
      <protection/>
    </xf>
    <xf numFmtId="1" fontId="6" fillId="0" borderId="23" xfId="54" applyNumberFormat="1" applyFont="1" applyBorder="1" applyAlignment="1" applyProtection="1">
      <alignment horizontal="center"/>
      <protection/>
    </xf>
    <xf numFmtId="172" fontId="6" fillId="0" borderId="23" xfId="54" applyNumberFormat="1" applyFont="1" applyBorder="1" applyAlignment="1" applyProtection="1">
      <alignment horizontal="center"/>
      <protection locked="0"/>
    </xf>
    <xf numFmtId="172" fontId="6" fillId="0" borderId="23" xfId="54" applyNumberFormat="1" applyFont="1" applyBorder="1" applyAlignment="1" applyProtection="1" quotePrefix="1">
      <alignment horizontal="center"/>
      <protection locked="0"/>
    </xf>
    <xf numFmtId="2" fontId="34" fillId="34" borderId="23" xfId="54" applyNumberFormat="1" applyFont="1" applyFill="1" applyBorder="1" applyAlignment="1" applyProtection="1">
      <alignment horizontal="center"/>
      <protection locked="0"/>
    </xf>
    <xf numFmtId="2" fontId="35" fillId="35" borderId="23" xfId="54" applyNumberFormat="1" applyFont="1" applyFill="1" applyBorder="1" applyAlignment="1" applyProtection="1">
      <alignment horizontal="center"/>
      <protection locked="0"/>
    </xf>
    <xf numFmtId="172" fontId="36" fillId="33" borderId="23" xfId="54" applyNumberFormat="1" applyFont="1" applyFill="1" applyBorder="1" applyAlignment="1" applyProtection="1" quotePrefix="1">
      <alignment horizontal="center"/>
      <protection locked="0"/>
    </xf>
    <xf numFmtId="4" fontId="36" fillId="33" borderId="23" xfId="54" applyNumberFormat="1" applyFont="1" applyFill="1" applyBorder="1" applyAlignment="1" applyProtection="1">
      <alignment horizontal="center"/>
      <protection locked="0"/>
    </xf>
    <xf numFmtId="172" fontId="34" fillId="36" borderId="23" xfId="54" applyNumberFormat="1" applyFont="1" applyFill="1" applyBorder="1" applyAlignment="1" applyProtection="1" quotePrefix="1">
      <alignment horizontal="center"/>
      <protection locked="0"/>
    </xf>
    <xf numFmtId="4" fontId="34" fillId="36" borderId="23" xfId="54" applyNumberFormat="1" applyFont="1" applyFill="1" applyBorder="1" applyAlignment="1" applyProtection="1">
      <alignment horizontal="center"/>
      <protection locked="0"/>
    </xf>
    <xf numFmtId="4" fontId="37" fillId="37" borderId="23" xfId="54" applyNumberFormat="1" applyFont="1" applyFill="1" applyBorder="1" applyAlignment="1" applyProtection="1">
      <alignment horizontal="center"/>
      <protection locked="0"/>
    </xf>
    <xf numFmtId="4" fontId="38" fillId="38" borderId="23" xfId="54" applyNumberFormat="1" applyFont="1" applyFill="1" applyBorder="1" applyAlignment="1" applyProtection="1">
      <alignment horizontal="center"/>
      <protection locked="0"/>
    </xf>
    <xf numFmtId="4" fontId="6" fillId="0" borderId="23" xfId="54" applyNumberFormat="1" applyFont="1" applyBorder="1" applyAlignment="1" applyProtection="1">
      <alignment horizontal="center"/>
      <protection locked="0"/>
    </xf>
    <xf numFmtId="4" fontId="39" fillId="0" borderId="23" xfId="54" applyNumberFormat="1" applyFont="1" applyBorder="1" applyAlignment="1">
      <alignment horizontal="right"/>
      <protection/>
    </xf>
    <xf numFmtId="2" fontId="6" fillId="0" borderId="14" xfId="54" applyNumberFormat="1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25" xfId="54" applyFont="1" applyBorder="1" applyAlignment="1" applyProtection="1">
      <alignment horizontal="center"/>
      <protection locked="0"/>
    </xf>
    <xf numFmtId="0" fontId="6" fillId="0" borderId="26" xfId="54" applyFont="1" applyBorder="1" applyAlignment="1" applyProtection="1">
      <alignment horizontal="center"/>
      <protection/>
    </xf>
    <xf numFmtId="2" fontId="6" fillId="0" borderId="26" xfId="54" applyNumberFormat="1" applyFont="1" applyBorder="1" applyAlignment="1" applyProtection="1">
      <alignment horizontal="center"/>
      <protection/>
    </xf>
    <xf numFmtId="172" fontId="6" fillId="0" borderId="25" xfId="54" applyNumberFormat="1" applyFont="1" applyBorder="1" applyAlignment="1" applyProtection="1">
      <alignment horizontal="center"/>
      <protection/>
    </xf>
    <xf numFmtId="172" fontId="33" fillId="33" borderId="25" xfId="54" applyNumberFormat="1" applyFont="1" applyFill="1" applyBorder="1" applyAlignment="1" applyProtection="1">
      <alignment horizontal="center"/>
      <protection/>
    </xf>
    <xf numFmtId="22" fontId="6" fillId="0" borderId="25" xfId="54" applyNumberFormat="1" applyFont="1" applyBorder="1" applyAlignment="1">
      <alignment horizontal="center"/>
      <protection/>
    </xf>
    <xf numFmtId="172" fontId="34" fillId="34" borderId="25" xfId="54" applyNumberFormat="1" applyFont="1" applyFill="1" applyBorder="1" applyAlignment="1" applyProtection="1" quotePrefix="1">
      <alignment horizontal="center"/>
      <protection/>
    </xf>
    <xf numFmtId="172" fontId="35" fillId="35" borderId="25" xfId="54" applyNumberFormat="1" applyFont="1" applyFill="1" applyBorder="1" applyAlignment="1" applyProtection="1" quotePrefix="1">
      <alignment horizontal="center"/>
      <protection/>
    </xf>
    <xf numFmtId="172" fontId="36" fillId="33" borderId="25" xfId="54" applyNumberFormat="1" applyFont="1" applyFill="1" applyBorder="1" applyAlignment="1" applyProtection="1" quotePrefix="1">
      <alignment horizontal="center"/>
      <protection/>
    </xf>
    <xf numFmtId="4" fontId="36" fillId="33" borderId="25" xfId="54" applyNumberFormat="1" applyFont="1" applyFill="1" applyBorder="1" applyAlignment="1">
      <alignment horizontal="center"/>
      <protection/>
    </xf>
    <xf numFmtId="4" fontId="34" fillId="36" borderId="25" xfId="54" applyNumberFormat="1" applyFont="1" applyFill="1" applyBorder="1" applyAlignment="1">
      <alignment horizontal="center"/>
      <protection/>
    </xf>
    <xf numFmtId="4" fontId="37" fillId="37" borderId="25" xfId="54" applyNumberFormat="1" applyFont="1" applyFill="1" applyBorder="1" applyAlignment="1">
      <alignment horizontal="center"/>
      <protection/>
    </xf>
    <xf numFmtId="4" fontId="38" fillId="38" borderId="25" xfId="54" applyNumberFormat="1" applyFont="1" applyFill="1" applyBorder="1" applyAlignment="1">
      <alignment horizontal="center"/>
      <protection/>
    </xf>
    <xf numFmtId="4" fontId="6" fillId="0" borderId="25" xfId="54" applyNumberFormat="1" applyFont="1" applyBorder="1" applyAlignment="1">
      <alignment horizontal="center"/>
      <protection/>
    </xf>
    <xf numFmtId="7" fontId="39" fillId="0" borderId="27" xfId="54" applyNumberFormat="1" applyFont="1" applyBorder="1" applyAlignment="1">
      <alignment horizontal="center"/>
      <protection/>
    </xf>
    <xf numFmtId="0" fontId="41" fillId="0" borderId="28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/>
      <protection/>
    </xf>
    <xf numFmtId="172" fontId="6" fillId="0" borderId="0" xfId="54" applyNumberFormat="1" applyFont="1" applyBorder="1" applyAlignment="1" applyProtection="1">
      <alignment horizontal="center"/>
      <protection/>
    </xf>
    <xf numFmtId="172" fontId="6" fillId="0" borderId="0" xfId="54" applyNumberFormat="1" applyFont="1" applyBorder="1" applyAlignment="1" applyProtection="1" quotePrefix="1">
      <alignment horizontal="center"/>
      <protection/>
    </xf>
    <xf numFmtId="2" fontId="34" fillId="34" borderId="20" xfId="54" applyNumberFormat="1" applyFont="1" applyFill="1" applyBorder="1" applyAlignment="1">
      <alignment horizontal="center"/>
      <protection/>
    </xf>
    <xf numFmtId="2" fontId="35" fillId="35" borderId="20" xfId="54" applyNumberFormat="1" applyFont="1" applyFill="1" applyBorder="1" applyAlignment="1">
      <alignment horizontal="center"/>
      <protection/>
    </xf>
    <xf numFmtId="172" fontId="36" fillId="33" borderId="20" xfId="54" applyNumberFormat="1" applyFont="1" applyFill="1" applyBorder="1" applyAlignment="1" applyProtection="1" quotePrefix="1">
      <alignment horizontal="center"/>
      <protection/>
    </xf>
    <xf numFmtId="172" fontId="34" fillId="36" borderId="20" xfId="54" applyNumberFormat="1" applyFont="1" applyFill="1" applyBorder="1" applyAlignment="1" applyProtection="1" quotePrefix="1">
      <alignment horizontal="center"/>
      <protection/>
    </xf>
    <xf numFmtId="172" fontId="37" fillId="37" borderId="20" xfId="54" applyNumberFormat="1" applyFont="1" applyFill="1" applyBorder="1" applyAlignment="1" applyProtection="1" quotePrefix="1">
      <alignment horizontal="center"/>
      <protection/>
    </xf>
    <xf numFmtId="172" fontId="38" fillId="38" borderId="20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0" xfId="54" applyNumberFormat="1" applyFont="1" applyBorder="1" applyAlignment="1" applyProtection="1">
      <alignment horizontal="right"/>
      <protection locked="0"/>
    </xf>
    <xf numFmtId="2" fontId="6" fillId="0" borderId="14" xfId="54" applyNumberFormat="1" applyFont="1" applyBorder="1" applyAlignment="1">
      <alignment horizontal="center"/>
      <protection/>
    </xf>
    <xf numFmtId="0" fontId="41" fillId="0" borderId="0" xfId="54" applyFont="1">
      <alignment/>
      <protection/>
    </xf>
    <xf numFmtId="0" fontId="41" fillId="0" borderId="13" xfId="54" applyFont="1" applyBorder="1">
      <alignment/>
      <protection/>
    </xf>
    <xf numFmtId="0" fontId="41" fillId="0" borderId="0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 vertical="top"/>
      <protection/>
    </xf>
    <xf numFmtId="0" fontId="41" fillId="0" borderId="0" xfId="54" applyFont="1" applyBorder="1" applyAlignment="1" applyProtection="1">
      <alignment horizontal="center"/>
      <protection/>
    </xf>
    <xf numFmtId="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 quotePrefix="1">
      <alignment horizontal="center"/>
      <protection/>
    </xf>
    <xf numFmtId="2" fontId="43" fillId="0" borderId="0" xfId="54" applyNumberFormat="1" applyFont="1" applyBorder="1" applyAlignment="1">
      <alignment horizontal="center"/>
      <protection/>
    </xf>
    <xf numFmtId="172" fontId="44" fillId="0" borderId="0" xfId="54" applyNumberFormat="1" applyFont="1" applyBorder="1" applyAlignment="1" applyProtection="1" quotePrefix="1">
      <alignment horizontal="center"/>
      <protection/>
    </xf>
    <xf numFmtId="4" fontId="44" fillId="0" borderId="0" xfId="54" applyNumberFormat="1" applyFont="1" applyBorder="1" applyAlignment="1">
      <alignment horizontal="center"/>
      <protection/>
    </xf>
    <xf numFmtId="8" fontId="45" fillId="0" borderId="0" xfId="54" applyNumberFormat="1" applyFont="1" applyBorder="1" applyAlignment="1" applyProtection="1">
      <alignment horizontal="right"/>
      <protection locked="0"/>
    </xf>
    <xf numFmtId="2" fontId="41" fillId="0" borderId="14" xfId="54" applyNumberFormat="1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28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32" fillId="38" borderId="20" xfId="54" applyFont="1" applyFill="1" applyBorder="1" applyAlignment="1" applyProtection="1">
      <alignment horizontal="center" vertical="center"/>
      <protection/>
    </xf>
    <xf numFmtId="0" fontId="28" fillId="36" borderId="20" xfId="54" applyFont="1" applyFill="1" applyBorder="1" applyAlignment="1">
      <alignment horizontal="center" vertical="center" wrapText="1"/>
      <protection/>
    </xf>
    <xf numFmtId="0" fontId="46" fillId="39" borderId="20" xfId="54" applyFont="1" applyFill="1" applyBorder="1" applyAlignment="1">
      <alignment horizontal="center" vertical="center" wrapText="1"/>
      <protection/>
    </xf>
    <xf numFmtId="0" fontId="46" fillId="40" borderId="15" xfId="54" applyFont="1" applyFill="1" applyBorder="1" applyAlignment="1" applyProtection="1">
      <alignment horizontal="centerContinuous" vertical="center" wrapText="1"/>
      <protection/>
    </xf>
    <xf numFmtId="0" fontId="46" fillId="40" borderId="16" xfId="54" applyFont="1" applyFill="1" applyBorder="1" applyAlignment="1">
      <alignment horizontal="centerContinuous" vertical="center"/>
      <protection/>
    </xf>
    <xf numFmtId="0" fontId="47" fillId="41" borderId="15" xfId="54" applyFont="1" applyFill="1" applyBorder="1" applyAlignment="1" applyProtection="1">
      <alignment horizontal="centerContinuous" vertical="center" wrapText="1"/>
      <protection/>
    </xf>
    <xf numFmtId="0" fontId="47" fillId="41" borderId="16" xfId="54" applyFont="1" applyFill="1" applyBorder="1" applyAlignment="1">
      <alignment horizontal="centerContinuous" vertical="center"/>
      <protection/>
    </xf>
    <xf numFmtId="0" fontId="31" fillId="42" borderId="20" xfId="54" applyFont="1" applyFill="1" applyBorder="1" applyAlignment="1">
      <alignment horizontal="center" vertical="center" wrapText="1"/>
      <protection/>
    </xf>
    <xf numFmtId="0" fontId="46" fillId="43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Protection="1">
      <alignment/>
      <protection locked="0"/>
    </xf>
    <xf numFmtId="0" fontId="48" fillId="33" borderId="22" xfId="54" applyFont="1" applyFill="1" applyBorder="1" applyProtection="1">
      <alignment/>
      <protection locked="0"/>
    </xf>
    <xf numFmtId="0" fontId="6" fillId="0" borderId="22" xfId="54" applyFont="1" applyFill="1" applyBorder="1" applyAlignment="1">
      <alignment horizontal="center"/>
      <protection/>
    </xf>
    <xf numFmtId="0" fontId="49" fillId="39" borderId="22" xfId="54" applyFont="1" applyFill="1" applyBorder="1" applyProtection="1">
      <alignment/>
      <protection locked="0"/>
    </xf>
    <xf numFmtId="0" fontId="49" fillId="40" borderId="30" xfId="54" applyFont="1" applyFill="1" applyBorder="1" applyAlignment="1" applyProtection="1">
      <alignment horizontal="center"/>
      <protection locked="0"/>
    </xf>
    <xf numFmtId="0" fontId="49" fillId="40" borderId="31" xfId="54" applyFont="1" applyFill="1" applyBorder="1" applyProtection="1">
      <alignment/>
      <protection locked="0"/>
    </xf>
    <xf numFmtId="0" fontId="50" fillId="41" borderId="30" xfId="54" applyFont="1" applyFill="1" applyBorder="1" applyAlignment="1" applyProtection="1">
      <alignment horizontal="center"/>
      <protection locked="0"/>
    </xf>
    <xf numFmtId="0" fontId="50" fillId="41" borderId="31" xfId="54" applyFont="1" applyFill="1" applyBorder="1" applyProtection="1">
      <alignment/>
      <protection locked="0"/>
    </xf>
    <xf numFmtId="0" fontId="37" fillId="42" borderId="22" xfId="54" applyFont="1" applyFill="1" applyBorder="1" applyProtection="1">
      <alignment/>
      <protection locked="0"/>
    </xf>
    <xf numFmtId="0" fontId="49" fillId="43" borderId="22" xfId="54" applyFont="1" applyFill="1" applyBorder="1" applyProtection="1">
      <alignment/>
      <protection locked="0"/>
    </xf>
    <xf numFmtId="0" fontId="39" fillId="0" borderId="22" xfId="54" applyFont="1" applyFill="1" applyBorder="1" applyAlignment="1">
      <alignment horizontal="right"/>
      <protection/>
    </xf>
    <xf numFmtId="0" fontId="6" fillId="0" borderId="32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169" fontId="6" fillId="0" borderId="24" xfId="54" applyNumberFormat="1" applyFont="1" applyBorder="1" applyAlignment="1" applyProtection="1" quotePrefix="1">
      <alignment horizontal="center"/>
      <protection locked="0"/>
    </xf>
    <xf numFmtId="2" fontId="6" fillId="0" borderId="24" xfId="54" applyNumberFormat="1" applyFont="1" applyBorder="1" applyAlignment="1" applyProtection="1" quotePrefix="1">
      <alignment horizontal="center"/>
      <protection locked="0"/>
    </xf>
    <xf numFmtId="172" fontId="48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2" fontId="6" fillId="0" borderId="23" xfId="54" applyNumberFormat="1" applyFont="1" applyFill="1" applyBorder="1" applyAlignment="1" applyProtection="1">
      <alignment horizontal="center"/>
      <protection locked="0"/>
    </xf>
    <xf numFmtId="172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4" fillId="36" borderId="23" xfId="54" applyNumberFormat="1" applyFont="1" applyFill="1" applyBorder="1" applyAlignment="1" applyProtection="1">
      <alignment horizontal="center"/>
      <protection locked="0"/>
    </xf>
    <xf numFmtId="2" fontId="49" fillId="39" borderId="23" xfId="54" applyNumberFormat="1" applyFont="1" applyFill="1" applyBorder="1" applyAlignment="1" applyProtection="1">
      <alignment horizontal="center"/>
      <protection locked="0"/>
    </xf>
    <xf numFmtId="172" fontId="49" fillId="40" borderId="33" xfId="54" applyNumberFormat="1" applyFont="1" applyFill="1" applyBorder="1" applyAlignment="1" applyProtection="1" quotePrefix="1">
      <alignment horizontal="center"/>
      <protection locked="0"/>
    </xf>
    <xf numFmtId="172" fontId="49" fillId="40" borderId="34" xfId="54" applyNumberFormat="1" applyFont="1" applyFill="1" applyBorder="1" applyAlignment="1" applyProtection="1" quotePrefix="1">
      <alignment horizontal="center"/>
      <protection locked="0"/>
    </xf>
    <xf numFmtId="172" fontId="50" fillId="41" borderId="33" xfId="54" applyNumberFormat="1" applyFont="1" applyFill="1" applyBorder="1" applyAlignment="1" applyProtection="1" quotePrefix="1">
      <alignment horizontal="center"/>
      <protection locked="0"/>
    </xf>
    <xf numFmtId="172" fontId="50" fillId="41" borderId="34" xfId="54" applyNumberFormat="1" applyFont="1" applyFill="1" applyBorder="1" applyAlignment="1" applyProtection="1" quotePrefix="1">
      <alignment horizontal="center"/>
      <protection locked="0"/>
    </xf>
    <xf numFmtId="172" fontId="37" fillId="42" borderId="23" xfId="54" applyNumberFormat="1" applyFont="1" applyFill="1" applyBorder="1" applyAlignment="1" applyProtection="1" quotePrefix="1">
      <alignment horizontal="center"/>
      <protection locked="0"/>
    </xf>
    <xf numFmtId="172" fontId="49" fillId="43" borderId="24" xfId="54" applyNumberFormat="1" applyFont="1" applyFill="1" applyBorder="1" applyAlignment="1" applyProtection="1" quotePrefix="1">
      <alignment horizontal="center"/>
      <protection locked="0"/>
    </xf>
    <xf numFmtId="172" fontId="39" fillId="0" borderId="35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25" xfId="54" applyFont="1" applyFill="1" applyBorder="1">
      <alignment/>
      <protection/>
    </xf>
    <xf numFmtId="0" fontId="48" fillId="33" borderId="25" xfId="54" applyFont="1" applyFill="1" applyBorder="1">
      <alignment/>
      <protection/>
    </xf>
    <xf numFmtId="0" fontId="38" fillId="38" borderId="25" xfId="54" applyFont="1" applyFill="1" applyBorder="1">
      <alignment/>
      <protection/>
    </xf>
    <xf numFmtId="0" fontId="34" fillId="36" borderId="25" xfId="54" applyFont="1" applyFill="1" applyBorder="1">
      <alignment/>
      <protection/>
    </xf>
    <xf numFmtId="0" fontId="49" fillId="39" borderId="25" xfId="54" applyFont="1" applyFill="1" applyBorder="1">
      <alignment/>
      <protection/>
    </xf>
    <xf numFmtId="0" fontId="49" fillId="40" borderId="36" xfId="54" applyFont="1" applyFill="1" applyBorder="1">
      <alignment/>
      <protection/>
    </xf>
    <xf numFmtId="0" fontId="49" fillId="40" borderId="37" xfId="54" applyFont="1" applyFill="1" applyBorder="1">
      <alignment/>
      <protection/>
    </xf>
    <xf numFmtId="0" fontId="50" fillId="41" borderId="36" xfId="54" applyFont="1" applyFill="1" applyBorder="1">
      <alignment/>
      <protection/>
    </xf>
    <xf numFmtId="0" fontId="50" fillId="41" borderId="37" xfId="54" applyFont="1" applyFill="1" applyBorder="1">
      <alignment/>
      <protection/>
    </xf>
    <xf numFmtId="0" fontId="37" fillId="42" borderId="25" xfId="54" applyFont="1" applyFill="1" applyBorder="1">
      <alignment/>
      <protection/>
    </xf>
    <xf numFmtId="0" fontId="49" fillId="43" borderId="25" xfId="54" applyFont="1" applyFill="1" applyBorder="1">
      <alignment/>
      <protection/>
    </xf>
    <xf numFmtId="0" fontId="39" fillId="0" borderId="27" xfId="54" applyFont="1" applyFill="1" applyBorder="1" applyAlignment="1">
      <alignment horizontal="right"/>
      <protection/>
    </xf>
    <xf numFmtId="7" fontId="34" fillId="36" borderId="20" xfId="54" applyNumberFormat="1" applyFont="1" applyFill="1" applyBorder="1" applyAlignment="1">
      <alignment horizontal="center"/>
      <protection/>
    </xf>
    <xf numFmtId="7" fontId="49" fillId="39" borderId="20" xfId="54" applyNumberFormat="1" applyFont="1" applyFill="1" applyBorder="1" applyAlignment="1">
      <alignment horizontal="center"/>
      <protection/>
    </xf>
    <xf numFmtId="7" fontId="49" fillId="40" borderId="20" xfId="54" applyNumberFormat="1" applyFont="1" applyFill="1" applyBorder="1" applyAlignment="1">
      <alignment horizontal="center"/>
      <protection/>
    </xf>
    <xf numFmtId="7" fontId="49" fillId="40" borderId="38" xfId="54" applyNumberFormat="1" applyFont="1" applyFill="1" applyBorder="1" applyAlignment="1">
      <alignment horizontal="center"/>
      <protection/>
    </xf>
    <xf numFmtId="7" fontId="50" fillId="41" borderId="20" xfId="54" applyNumberFormat="1" applyFont="1" applyFill="1" applyBorder="1" applyAlignment="1">
      <alignment horizontal="center"/>
      <protection/>
    </xf>
    <xf numFmtId="7" fontId="37" fillId="42" borderId="20" xfId="54" applyNumberFormat="1" applyFont="1" applyFill="1" applyBorder="1" applyAlignment="1">
      <alignment horizontal="center"/>
      <protection/>
    </xf>
    <xf numFmtId="7" fontId="49" fillId="43" borderId="20" xfId="54" applyNumberFormat="1" applyFont="1" applyFill="1" applyBorder="1" applyAlignment="1">
      <alignment horizontal="center"/>
      <protection/>
    </xf>
    <xf numFmtId="0" fontId="6" fillId="0" borderId="39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41" fillId="0" borderId="13" xfId="54" applyFont="1" applyFill="1" applyBorder="1">
      <alignment/>
      <protection/>
    </xf>
    <xf numFmtId="0" fontId="41" fillId="0" borderId="0" xfId="54" applyFont="1" applyFill="1" applyBorder="1">
      <alignment/>
      <protection/>
    </xf>
    <xf numFmtId="7" fontId="41" fillId="0" borderId="0" xfId="54" applyNumberFormat="1" applyFont="1" applyFill="1" applyBorder="1" applyAlignment="1">
      <alignment horizontal="center"/>
      <protection/>
    </xf>
    <xf numFmtId="7" fontId="41" fillId="0" borderId="0" xfId="54" applyNumberFormat="1" applyFont="1" applyFill="1" applyBorder="1" applyAlignment="1" applyProtection="1">
      <alignment horizontal="right"/>
      <protection locked="0"/>
    </xf>
    <xf numFmtId="0" fontId="41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1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4" fontId="1" fillId="0" borderId="38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4" fontId="52" fillId="0" borderId="38" xfId="54" applyNumberFormat="1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2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46" fillId="43" borderId="20" xfId="54" applyFont="1" applyFill="1" applyBorder="1" applyAlignment="1" applyProtection="1">
      <alignment horizontal="center" vertical="center"/>
      <protection/>
    </xf>
    <xf numFmtId="0" fontId="53" fillId="42" borderId="20" xfId="54" applyFont="1" applyFill="1" applyBorder="1" applyAlignment="1">
      <alignment horizontal="center" vertical="center" wrapText="1"/>
      <protection/>
    </xf>
    <xf numFmtId="0" fontId="46" fillId="41" borderId="15" xfId="54" applyFont="1" applyFill="1" applyBorder="1" applyAlignment="1" applyProtection="1">
      <alignment horizontal="centerContinuous" vertical="center" wrapText="1"/>
      <protection/>
    </xf>
    <xf numFmtId="0" fontId="46" fillId="41" borderId="16" xfId="54" applyFont="1" applyFill="1" applyBorder="1" applyAlignment="1">
      <alignment horizontal="centerContinuous" vertical="center"/>
      <protection/>
    </xf>
    <xf numFmtId="0" fontId="28" fillId="44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3" fillId="33" borderId="22" xfId="54" applyFont="1" applyFill="1" applyBorder="1" applyAlignment="1" applyProtection="1">
      <alignment horizontal="center"/>
      <protection locked="0"/>
    </xf>
    <xf numFmtId="0" fontId="6" fillId="0" borderId="35" xfId="54" applyFont="1" applyFill="1" applyBorder="1" applyAlignment="1" applyProtection="1">
      <alignment horizontal="center"/>
      <protection locked="0"/>
    </xf>
    <xf numFmtId="0" fontId="54" fillId="43" borderId="22" xfId="54" applyFont="1" applyFill="1" applyBorder="1" applyAlignment="1" applyProtection="1">
      <alignment horizontal="center"/>
      <protection locked="0"/>
    </xf>
    <xf numFmtId="0" fontId="55" fillId="42" borderId="22" xfId="54" applyFont="1" applyFill="1" applyBorder="1" applyAlignment="1" applyProtection="1">
      <alignment horizontal="center"/>
      <protection locked="0"/>
    </xf>
    <xf numFmtId="172" fontId="49" fillId="41" borderId="30" xfId="54" applyNumberFormat="1" applyFont="1" applyFill="1" applyBorder="1" applyAlignment="1" applyProtection="1" quotePrefix="1">
      <alignment horizontal="center"/>
      <protection locked="0"/>
    </xf>
    <xf numFmtId="172" fontId="49" fillId="41" borderId="40" xfId="54" applyNumberFormat="1" applyFont="1" applyFill="1" applyBorder="1" applyAlignment="1" applyProtection="1" quotePrefix="1">
      <alignment horizontal="center"/>
      <protection locked="0"/>
    </xf>
    <xf numFmtId="172" fontId="34" fillId="44" borderId="22" xfId="54" applyNumberFormat="1" applyFont="1" applyFill="1" applyBorder="1" applyAlignment="1" applyProtection="1" quotePrefix="1">
      <alignment horizontal="center"/>
      <protection locked="0"/>
    </xf>
    <xf numFmtId="0" fontId="6" fillId="0" borderId="32" xfId="54" applyFont="1" applyFill="1" applyBorder="1" applyAlignment="1" applyProtection="1">
      <alignment horizontal="left"/>
      <protection locked="0"/>
    </xf>
    <xf numFmtId="0" fontId="39" fillId="0" borderId="23" xfId="54" applyFont="1" applyFill="1" applyBorder="1" applyAlignment="1">
      <alignment horizontal="center"/>
      <protection/>
    </xf>
    <xf numFmtId="0" fontId="56" fillId="0" borderId="32" xfId="54" applyFont="1" applyFill="1" applyBorder="1" applyAlignment="1" applyProtection="1">
      <alignment horizontal="center"/>
      <protection locked="0"/>
    </xf>
    <xf numFmtId="175" fontId="5" fillId="0" borderId="23" xfId="54" applyNumberFormat="1" applyFont="1" applyFill="1" applyBorder="1" applyAlignment="1" applyProtection="1">
      <alignment horizontal="center"/>
      <protection locked="0"/>
    </xf>
    <xf numFmtId="174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2" fontId="6" fillId="0" borderId="34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54" fillId="43" borderId="23" xfId="54" applyNumberFormat="1" applyFont="1" applyFill="1" applyBorder="1" applyAlignment="1" applyProtection="1">
      <alignment horizontal="center"/>
      <protection locked="0"/>
    </xf>
    <xf numFmtId="2" fontId="55" fillId="42" borderId="23" xfId="54" applyNumberFormat="1" applyFont="1" applyFill="1" applyBorder="1" applyAlignment="1" applyProtection="1">
      <alignment horizontal="center"/>
      <protection locked="0"/>
    </xf>
    <xf numFmtId="172" fontId="49" fillId="41" borderId="33" xfId="54" applyNumberFormat="1" applyFont="1" applyFill="1" applyBorder="1" applyAlignment="1" applyProtection="1" quotePrefix="1">
      <alignment horizontal="center"/>
      <protection locked="0"/>
    </xf>
    <xf numFmtId="172" fontId="49" fillId="41" borderId="34" xfId="54" applyNumberFormat="1" applyFont="1" applyFill="1" applyBorder="1" applyAlignment="1" applyProtection="1" quotePrefix="1">
      <alignment horizontal="center"/>
      <protection locked="0"/>
    </xf>
    <xf numFmtId="172" fontId="34" fillId="44" borderId="23" xfId="54" applyNumberFormat="1" applyFont="1" applyFill="1" applyBorder="1" applyAlignment="1" applyProtection="1" quotePrefix="1">
      <alignment horizontal="center"/>
      <protection locked="0"/>
    </xf>
    <xf numFmtId="172" fontId="6" fillId="0" borderId="32" xfId="54" applyNumberFormat="1" applyFont="1" applyFill="1" applyBorder="1" applyAlignment="1" applyProtection="1">
      <alignment horizontal="center"/>
      <protection locked="0"/>
    </xf>
    <xf numFmtId="172" fontId="39" fillId="0" borderId="23" xfId="54" applyNumberFormat="1" applyFont="1" applyFill="1" applyBorder="1" applyAlignment="1">
      <alignment horizontal="center"/>
      <protection/>
    </xf>
    <xf numFmtId="175" fontId="5" fillId="0" borderId="23" xfId="54" applyNumberFormat="1" applyFont="1" applyFill="1" applyBorder="1" applyAlignment="1" applyProtection="1" quotePrefix="1">
      <alignment horizontal="center"/>
      <protection locked="0"/>
    </xf>
    <xf numFmtId="172" fontId="39" fillId="0" borderId="23" xfId="54" applyNumberFormat="1" applyFont="1" applyFill="1" applyBorder="1" applyAlignment="1">
      <alignment horizontal="right"/>
      <protection/>
    </xf>
    <xf numFmtId="0" fontId="33" fillId="33" borderId="25" xfId="54" applyFont="1" applyFill="1" applyBorder="1">
      <alignment/>
      <protection/>
    </xf>
    <xf numFmtId="0" fontId="54" fillId="43" borderId="25" xfId="54" applyFont="1" applyFill="1" applyBorder="1">
      <alignment/>
      <protection/>
    </xf>
    <xf numFmtId="0" fontId="55" fillId="42" borderId="25" xfId="54" applyFont="1" applyFill="1" applyBorder="1">
      <alignment/>
      <protection/>
    </xf>
    <xf numFmtId="0" fontId="49" fillId="41" borderId="36" xfId="54" applyFont="1" applyFill="1" applyBorder="1">
      <alignment/>
      <protection/>
    </xf>
    <xf numFmtId="0" fontId="49" fillId="41" borderId="37" xfId="54" applyFont="1" applyFill="1" applyBorder="1">
      <alignment/>
      <protection/>
    </xf>
    <xf numFmtId="0" fontId="34" fillId="44" borderId="25" xfId="54" applyFont="1" applyFill="1" applyBorder="1">
      <alignment/>
      <protection/>
    </xf>
    <xf numFmtId="0" fontId="39" fillId="0" borderId="27" xfId="54" applyFont="1" applyFill="1" applyBorder="1">
      <alignment/>
      <protection/>
    </xf>
    <xf numFmtId="2" fontId="55" fillId="42" borderId="20" xfId="54" applyNumberFormat="1" applyFont="1" applyFill="1" applyBorder="1" applyAlignment="1">
      <alignment horizontal="center"/>
      <protection/>
    </xf>
    <xf numFmtId="2" fontId="49" fillId="41" borderId="20" xfId="54" applyNumberFormat="1" applyFont="1" applyFill="1" applyBorder="1" applyAlignment="1">
      <alignment horizontal="center"/>
      <protection/>
    </xf>
    <xf numFmtId="2" fontId="34" fillId="44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45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7" fillId="0" borderId="0" xfId="54" applyFont="1" applyAlignment="1">
      <alignment horizontal="right" vertical="top"/>
      <protection/>
    </xf>
    <xf numFmtId="0" fontId="57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8" fillId="0" borderId="0" xfId="54" applyNumberFormat="1" applyFont="1" applyBorder="1" applyAlignment="1">
      <alignment horizontal="left"/>
      <protection/>
    </xf>
    <xf numFmtId="0" fontId="6" fillId="0" borderId="32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4" applyNumberFormat="1" applyFont="1" applyBorder="1" applyAlignment="1">
      <alignment horizontal="center"/>
      <protection/>
    </xf>
    <xf numFmtId="0" fontId="54" fillId="0" borderId="0" xfId="54" applyFont="1" applyBorder="1">
      <alignment/>
      <protection/>
    </xf>
    <xf numFmtId="0" fontId="54" fillId="0" borderId="0" xfId="54" applyFont="1" applyFill="1" applyBorder="1">
      <alignment/>
      <protection/>
    </xf>
    <xf numFmtId="0" fontId="63" fillId="0" borderId="0" xfId="54" applyFont="1" applyBorder="1" applyAlignment="1">
      <alignment horizontal="left"/>
      <protection/>
    </xf>
    <xf numFmtId="0" fontId="1" fillId="0" borderId="0" xfId="55">
      <alignment/>
      <protection/>
    </xf>
    <xf numFmtId="0" fontId="57" fillId="0" borderId="0" xfId="55" applyFont="1" applyAlignment="1">
      <alignment horizontal="right" vertical="top"/>
      <protection/>
    </xf>
    <xf numFmtId="0" fontId="64" fillId="0" borderId="0" xfId="55" applyFont="1">
      <alignment/>
      <protection/>
    </xf>
    <xf numFmtId="0" fontId="65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60" fillId="0" borderId="0" xfId="55" applyFont="1" applyAlignment="1">
      <alignment horizontal="centerContinuous" vertical="center"/>
      <protection/>
    </xf>
    <xf numFmtId="0" fontId="60" fillId="0" borderId="0" xfId="55" applyFont="1">
      <alignment/>
      <protection/>
    </xf>
    <xf numFmtId="0" fontId="66" fillId="0" borderId="0" xfId="55" applyFont="1" applyBorder="1" applyAlignment="1">
      <alignment horizontal="centerContinuous"/>
      <protection/>
    </xf>
    <xf numFmtId="0" fontId="67" fillId="0" borderId="0" xfId="55" applyFont="1" applyBorder="1" applyAlignment="1" applyProtection="1">
      <alignment horizontal="left"/>
      <protection/>
    </xf>
    <xf numFmtId="0" fontId="68" fillId="0" borderId="0" xfId="55" applyFont="1" applyBorder="1" applyAlignment="1">
      <alignment horizontal="centerContinuous"/>
      <protection/>
    </xf>
    <xf numFmtId="0" fontId="69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69" fillId="0" borderId="0" xfId="55" applyFont="1" applyAlignment="1">
      <alignment horizontal="centerContinuous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70" fillId="0" borderId="11" xfId="55" applyFont="1" applyBorder="1">
      <alignment/>
      <protection/>
    </xf>
    <xf numFmtId="0" fontId="1" fillId="0" borderId="12" xfId="55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70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13" xfId="55" applyBorder="1">
      <alignment/>
      <protection/>
    </xf>
    <xf numFmtId="0" fontId="1" fillId="0" borderId="43" xfId="55" applyBorder="1">
      <alignment/>
      <protection/>
    </xf>
    <xf numFmtId="0" fontId="70" fillId="0" borderId="0" xfId="55" applyFont="1" applyBorder="1" applyAlignment="1" applyProtection="1">
      <alignment horizontal="center"/>
      <protection/>
    </xf>
    <xf numFmtId="0" fontId="70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71" fillId="0" borderId="0" xfId="55" applyFont="1" applyAlignment="1">
      <alignment horizontal="centerContinuous" vertical="center"/>
      <protection/>
    </xf>
    <xf numFmtId="0" fontId="71" fillId="0" borderId="13" xfId="55" applyFont="1" applyBorder="1" applyAlignment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 wrapText="1"/>
      <protection/>
    </xf>
    <xf numFmtId="172" fontId="71" fillId="46" borderId="20" xfId="55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5" applyNumberFormat="1" applyFont="1" applyFill="1" applyBorder="1" applyAlignment="1">
      <alignment horizontal="center" vertical="center"/>
      <protection/>
    </xf>
    <xf numFmtId="0" fontId="71" fillId="0" borderId="14" xfId="55" applyFont="1" applyBorder="1" applyAlignment="1">
      <alignment vertical="center"/>
      <protection/>
    </xf>
    <xf numFmtId="0" fontId="71" fillId="0" borderId="0" xfId="55" applyFont="1" applyAlignment="1">
      <alignment vertical="center"/>
      <protection/>
    </xf>
    <xf numFmtId="0" fontId="71" fillId="0" borderId="13" xfId="55" applyFont="1" applyBorder="1" applyAlignment="1">
      <alignment vertical="center"/>
      <protection/>
    </xf>
    <xf numFmtId="0" fontId="71" fillId="0" borderId="32" xfId="55" applyFont="1" applyBorder="1" applyAlignment="1">
      <alignment vertical="center"/>
      <protection/>
    </xf>
    <xf numFmtId="0" fontId="71" fillId="0" borderId="45" xfId="55" applyFont="1" applyBorder="1" applyAlignment="1">
      <alignment vertical="center"/>
      <protection/>
    </xf>
    <xf numFmtId="0" fontId="71" fillId="0" borderId="27" xfId="55" applyFont="1" applyBorder="1" applyAlignment="1">
      <alignment vertical="center"/>
      <protection/>
    </xf>
    <xf numFmtId="0" fontId="71" fillId="0" borderId="46" xfId="55" applyFont="1" applyBorder="1" applyAlignment="1">
      <alignment vertical="center"/>
      <protection/>
    </xf>
    <xf numFmtId="0" fontId="71" fillId="47" borderId="32" xfId="55" applyFont="1" applyFill="1" applyBorder="1" applyAlignment="1">
      <alignment horizontal="center" vertical="center"/>
      <protection/>
    </xf>
    <xf numFmtId="0" fontId="71" fillId="47" borderId="47" xfId="55" applyFont="1" applyFill="1" applyBorder="1" applyAlignment="1" applyProtection="1">
      <alignment horizontal="center" vertical="center"/>
      <protection/>
    </xf>
    <xf numFmtId="2" fontId="71" fillId="47" borderId="24" xfId="55" applyNumberFormat="1" applyFont="1" applyFill="1" applyBorder="1" applyAlignment="1" applyProtection="1">
      <alignment horizontal="center" vertical="center"/>
      <protection/>
    </xf>
    <xf numFmtId="0" fontId="71" fillId="48" borderId="32" xfId="55" applyFont="1" applyFill="1" applyBorder="1" applyAlignment="1">
      <alignment horizontal="center" vertical="center"/>
      <protection/>
    </xf>
    <xf numFmtId="0" fontId="71" fillId="48" borderId="47" xfId="55" applyFont="1" applyFill="1" applyBorder="1" applyAlignment="1" applyProtection="1">
      <alignment horizontal="center" vertical="center"/>
      <protection/>
    </xf>
    <xf numFmtId="2" fontId="71" fillId="48" borderId="24" xfId="55" applyNumberFormat="1" applyFont="1" applyFill="1" applyBorder="1" applyAlignment="1" applyProtection="1">
      <alignment horizontal="center" vertical="center"/>
      <protection/>
    </xf>
    <xf numFmtId="0" fontId="71" fillId="48" borderId="24" xfId="55" applyFont="1" applyFill="1" applyBorder="1" applyAlignment="1">
      <alignment horizontal="center" vertical="center"/>
      <protection/>
    </xf>
    <xf numFmtId="0" fontId="71" fillId="48" borderId="48" xfId="55" applyFont="1" applyFill="1" applyBorder="1" applyAlignment="1" applyProtection="1">
      <alignment horizontal="center" vertical="center"/>
      <protection/>
    </xf>
    <xf numFmtId="2" fontId="71" fillId="48" borderId="49" xfId="55" applyNumberFormat="1" applyFont="1" applyFill="1" applyBorder="1" applyAlignment="1" applyProtection="1">
      <alignment horizontal="center" vertical="center"/>
      <protection/>
    </xf>
    <xf numFmtId="0" fontId="71" fillId="0" borderId="50" xfId="55" applyFont="1" applyBorder="1" applyAlignment="1">
      <alignment horizontal="center" vertical="center"/>
      <protection/>
    </xf>
    <xf numFmtId="0" fontId="71" fillId="0" borderId="51" xfId="55" applyFont="1" applyBorder="1" applyAlignment="1" applyProtection="1">
      <alignment horizontal="left" vertical="center"/>
      <protection/>
    </xf>
    <xf numFmtId="0" fontId="71" fillId="0" borderId="51" xfId="55" applyFont="1" applyBorder="1" applyAlignment="1" applyProtection="1">
      <alignment horizontal="center" vertical="center"/>
      <protection/>
    </xf>
    <xf numFmtId="2" fontId="71" fillId="0" borderId="26" xfId="55" applyNumberFormat="1" applyFont="1" applyBorder="1" applyAlignment="1" applyProtection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71" fillId="0" borderId="0" xfId="55" applyFont="1" applyBorder="1" applyAlignment="1" applyProtection="1">
      <alignment horizontal="left" vertical="center"/>
      <protection/>
    </xf>
    <xf numFmtId="0" fontId="72" fillId="0" borderId="28" xfId="55" applyFont="1" applyBorder="1" applyAlignment="1" applyProtection="1">
      <alignment horizontal="right" vertical="center"/>
      <protection/>
    </xf>
    <xf numFmtId="172" fontId="72" fillId="0" borderId="26" xfId="55" applyNumberFormat="1" applyFont="1" applyBorder="1" applyAlignment="1" applyProtection="1">
      <alignment horizontal="center" vertical="center"/>
      <protection/>
    </xf>
    <xf numFmtId="1" fontId="71" fillId="0" borderId="20" xfId="55" applyNumberFormat="1" applyFont="1" applyFill="1" applyBorder="1" applyAlignment="1">
      <alignment horizontal="center" vertical="center"/>
      <protection/>
    </xf>
    <xf numFmtId="1" fontId="71" fillId="0" borderId="20" xfId="55" applyNumberFormat="1" applyFont="1" applyBorder="1" applyAlignment="1">
      <alignment horizontal="center" vertical="center"/>
      <protection/>
    </xf>
    <xf numFmtId="0" fontId="71" fillId="0" borderId="0" xfId="55" applyFont="1" applyBorder="1" applyAlignment="1">
      <alignment vertical="center"/>
      <protection/>
    </xf>
    <xf numFmtId="0" fontId="71" fillId="0" borderId="0" xfId="55" applyFont="1" applyBorder="1" applyAlignment="1" applyProtection="1">
      <alignment horizontal="center" vertical="center"/>
      <protection/>
    </xf>
    <xf numFmtId="0" fontId="72" fillId="0" borderId="0" xfId="55" applyFont="1" applyAlignment="1">
      <alignment horizontal="right" vertical="center"/>
      <protection/>
    </xf>
    <xf numFmtId="1" fontId="71" fillId="0" borderId="20" xfId="55" applyNumberFormat="1" applyFont="1" applyBorder="1" applyAlignment="1" applyProtection="1">
      <alignment horizontal="center" vertical="center"/>
      <protection/>
    </xf>
    <xf numFmtId="17" fontId="72" fillId="0" borderId="0" xfId="55" applyNumberFormat="1" applyFont="1" applyBorder="1" applyAlignment="1">
      <alignment horizontal="right" vertical="center"/>
      <protection/>
    </xf>
    <xf numFmtId="2" fontId="72" fillId="49" borderId="26" xfId="56" applyNumberFormat="1" applyFont="1" applyFill="1" applyBorder="1" applyAlignment="1">
      <alignment horizontal="center" vertical="center"/>
      <protection/>
    </xf>
    <xf numFmtId="2" fontId="72" fillId="50" borderId="52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4" xfId="55" applyNumberFormat="1" applyBorder="1" applyAlignment="1">
      <alignment horizontal="center"/>
      <protection/>
    </xf>
    <xf numFmtId="0" fontId="73" fillId="0" borderId="13" xfId="55" applyFont="1" applyBorder="1">
      <alignment/>
      <protection/>
    </xf>
    <xf numFmtId="0" fontId="1" fillId="0" borderId="15" xfId="55" applyFont="1" applyBorder="1">
      <alignment/>
      <protection/>
    </xf>
    <xf numFmtId="0" fontId="74" fillId="0" borderId="21" xfId="55" applyFont="1" applyBorder="1" applyAlignment="1">
      <alignment horizontal="center"/>
      <protection/>
    </xf>
    <xf numFmtId="2" fontId="75" fillId="0" borderId="21" xfId="55" applyNumberFormat="1" applyFont="1" applyBorder="1" applyAlignment="1">
      <alignment horizontal="center"/>
      <protection/>
    </xf>
    <xf numFmtId="0" fontId="76" fillId="0" borderId="21" xfId="55" applyFont="1" applyBorder="1">
      <alignment/>
      <protection/>
    </xf>
    <xf numFmtId="0" fontId="1" fillId="0" borderId="21" xfId="55" applyBorder="1">
      <alignment/>
      <protection/>
    </xf>
    <xf numFmtId="0" fontId="1" fillId="0" borderId="16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73" fillId="0" borderId="17" xfId="55" applyFont="1" applyBorder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1181100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905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1123950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H15">
            <v>41244</v>
          </cell>
          <cell r="HI15">
            <v>41275</v>
          </cell>
          <cell r="HJ15">
            <v>41306</v>
          </cell>
          <cell r="HK15">
            <v>41334</v>
          </cell>
          <cell r="HL15">
            <v>41365</v>
          </cell>
          <cell r="HM15">
            <v>41395</v>
          </cell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M20">
            <v>1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HI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HI31">
            <v>1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H32" t="str">
            <v>XXXX</v>
          </cell>
          <cell r="HI32" t="str">
            <v>XXXX</v>
          </cell>
          <cell r="HJ32" t="str">
            <v>XXXX</v>
          </cell>
          <cell r="HK32" t="str">
            <v>XXXX</v>
          </cell>
          <cell r="HL32" t="str">
            <v>XXXX</v>
          </cell>
          <cell r="HM32" t="str">
            <v>XXXX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M37">
            <v>1</v>
          </cell>
          <cell r="HN37">
            <v>1</v>
          </cell>
        </row>
        <row r="42">
          <cell r="HH42">
            <v>1.04</v>
          </cell>
          <cell r="HI42">
            <v>0.88</v>
          </cell>
          <cell r="HJ42">
            <v>0.96</v>
          </cell>
          <cell r="HK42">
            <v>0.96</v>
          </cell>
          <cell r="HL42">
            <v>0.88</v>
          </cell>
          <cell r="HM42">
            <v>0.88</v>
          </cell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86"/>
    </row>
    <row r="2" spans="2:10" s="6" customFormat="1" ht="26.25">
      <c r="B2" s="7" t="s">
        <v>166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496" t="s">
        <v>3</v>
      </c>
      <c r="B4" s="49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496" t="s">
        <v>4</v>
      </c>
      <c r="B5" s="49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154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'LI-12 (1)'!AA42</f>
        <v>17298.33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'T-12 (1)'!AC41</f>
        <v>65.83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'SA-12 (1)'!V43</f>
        <v>5583.25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22947.410000000003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88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89" t="s">
        <v>155</v>
      </c>
      <c r="D30" s="41"/>
      <c r="F30" s="388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0" zoomScaleNormal="70" zoomScalePageLayoutView="0" workbookViewId="0" topLeftCell="A1">
      <selection activeCell="C30" sqref="C30"/>
    </sheetView>
  </sheetViews>
  <sheetFormatPr defaultColWidth="11.421875" defaultRowHeight="12.75"/>
  <cols>
    <col min="1" max="1" width="21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86"/>
    </row>
    <row r="2" spans="2:28" s="6" customFormat="1" ht="26.25">
      <c r="B2" s="68" t="str">
        <f>+'TOT-1213'!B2</f>
        <v>ANEXO I al Memorandum D.T.E.E. N° 798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+'TOT-1213'!B14</f>
        <v>Desde el 01 al 31 de diciembre de 2013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413.185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394.823</v>
      </c>
      <c r="H15" s="90"/>
      <c r="I15" s="12"/>
      <c r="J15" s="91"/>
      <c r="K15" s="92" t="s">
        <v>18</v>
      </c>
      <c r="L15" s="93">
        <f>30*'TOT-1213'!B13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149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08">
        <v>4</v>
      </c>
      <c r="E17" s="408">
        <v>5</v>
      </c>
      <c r="F17" s="408">
        <v>6</v>
      </c>
      <c r="G17" s="408">
        <v>7</v>
      </c>
      <c r="H17" s="408">
        <v>8</v>
      </c>
      <c r="I17" s="408">
        <v>9</v>
      </c>
      <c r="J17" s="408">
        <v>10</v>
      </c>
      <c r="K17" s="408">
        <v>11</v>
      </c>
      <c r="L17" s="408">
        <v>12</v>
      </c>
      <c r="M17" s="408">
        <v>13</v>
      </c>
      <c r="N17" s="408">
        <v>14</v>
      </c>
      <c r="O17" s="408">
        <v>15</v>
      </c>
      <c r="P17" s="408">
        <v>16</v>
      </c>
      <c r="Q17" s="408">
        <v>17</v>
      </c>
      <c r="R17" s="408">
        <v>18</v>
      </c>
      <c r="S17" s="408">
        <v>19</v>
      </c>
      <c r="T17" s="408">
        <v>20</v>
      </c>
      <c r="U17" s="408">
        <v>21</v>
      </c>
      <c r="V17" s="408">
        <v>22</v>
      </c>
      <c r="W17" s="408">
        <v>23</v>
      </c>
      <c r="X17" s="408">
        <v>24</v>
      </c>
      <c r="Y17" s="408">
        <v>25</v>
      </c>
      <c r="Z17" s="408">
        <v>26</v>
      </c>
      <c r="AA17" s="408">
        <v>27</v>
      </c>
      <c r="AB17" s="49"/>
    </row>
    <row r="18" spans="2:28" s="96" customFormat="1" ht="34.5" customHeight="1" thickBot="1" thickTop="1">
      <c r="B18" s="97"/>
      <c r="C18" s="391" t="s">
        <v>20</v>
      </c>
      <c r="D18" s="391" t="s">
        <v>74</v>
      </c>
      <c r="E18" s="391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268216</v>
      </c>
      <c r="E21" s="128">
        <v>716</v>
      </c>
      <c r="F21" s="126" t="s">
        <v>131</v>
      </c>
      <c r="G21" s="126">
        <v>132</v>
      </c>
      <c r="H21" s="138">
        <v>46.45000076293945</v>
      </c>
      <c r="I21" s="139">
        <f aca="true" t="shared" si="0" ref="I21:I40">IF(G21=220,$G$14*IF(H21&gt;25,H21,25),IF(G21=132,$G$15*IF(H21&gt;25,+H21,25),$G$16*IF(H21&gt;25,H21,25)))/100</f>
        <v>183.39528651226044</v>
      </c>
      <c r="J21" s="140">
        <v>41609.34444444445</v>
      </c>
      <c r="K21" s="140">
        <v>41609.62847222222</v>
      </c>
      <c r="L21" s="141">
        <f aca="true" t="shared" si="1" ref="L21:L40">IF(F21="","",(K21-J21)*24)</f>
        <v>6.816666666534729</v>
      </c>
      <c r="M21" s="142">
        <f aca="true" t="shared" si="2" ref="M21:M40">IF(F21="","",ROUND((K21-J21)*24*60,0))</f>
        <v>409</v>
      </c>
      <c r="N21" s="143" t="s">
        <v>132</v>
      </c>
      <c r="O21" s="143" t="s">
        <v>133</v>
      </c>
      <c r="P21" s="145">
        <f aca="true" t="shared" si="3" ref="P21:P40">IF(N21="P",ROUND(M21/60,2)*I21*$L$15*0.01,"--")</f>
        <v>375.2267562040849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375.2267562040849</v>
      </c>
      <c r="AB21" s="155"/>
    </row>
    <row r="22" spans="2:28" s="10" customFormat="1" ht="16.5" customHeight="1">
      <c r="B22" s="44"/>
      <c r="C22" s="128">
        <v>2</v>
      </c>
      <c r="D22" s="128">
        <v>268896</v>
      </c>
      <c r="E22" s="128">
        <v>706</v>
      </c>
      <c r="F22" s="126" t="s">
        <v>134</v>
      </c>
      <c r="G22" s="126">
        <v>220</v>
      </c>
      <c r="H22" s="138">
        <v>171.60000610351562</v>
      </c>
      <c r="I22" s="139">
        <f t="shared" si="0"/>
        <v>709.0254852188111</v>
      </c>
      <c r="J22" s="140">
        <v>41622.32916666667</v>
      </c>
      <c r="K22" s="140">
        <v>41623.61666666667</v>
      </c>
      <c r="L22" s="141">
        <f t="shared" si="1"/>
        <v>30.899999999965075</v>
      </c>
      <c r="M22" s="142">
        <f t="shared" si="2"/>
        <v>1854</v>
      </c>
      <c r="N22" s="143" t="s">
        <v>132</v>
      </c>
      <c r="O22" s="143" t="s">
        <v>133</v>
      </c>
      <c r="P22" s="145">
        <f t="shared" si="3"/>
        <v>6572.666247978379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6572.666247978379</v>
      </c>
      <c r="AB22" s="155"/>
    </row>
    <row r="23" spans="2:28" s="10" customFormat="1" ht="16.5" customHeight="1">
      <c r="B23" s="44"/>
      <c r="C23" s="128">
        <v>3</v>
      </c>
      <c r="D23" s="128">
        <v>269111</v>
      </c>
      <c r="E23" s="128">
        <v>698</v>
      </c>
      <c r="F23" s="126" t="s">
        <v>135</v>
      </c>
      <c r="G23" s="126">
        <v>220</v>
      </c>
      <c r="H23" s="138">
        <v>53.4900016784668</v>
      </c>
      <c r="I23" s="139">
        <f t="shared" si="0"/>
        <v>221.01266343517307</v>
      </c>
      <c r="J23" s="140">
        <v>41628.01597222222</v>
      </c>
      <c r="K23" s="140">
        <v>41628.02777777778</v>
      </c>
      <c r="L23" s="141">
        <f t="shared" si="1"/>
        <v>0.28333333338378</v>
      </c>
      <c r="M23" s="142">
        <f t="shared" si="2"/>
        <v>17</v>
      </c>
      <c r="N23" s="143" t="s">
        <v>136</v>
      </c>
      <c r="O23" s="143" t="s">
        <v>133</v>
      </c>
      <c r="P23" s="145" t="str">
        <f t="shared" si="3"/>
        <v>--</v>
      </c>
      <c r="Q23" s="146" t="str">
        <f t="shared" si="4"/>
        <v>--</v>
      </c>
      <c r="R23" s="147">
        <f t="shared" si="5"/>
        <v>6630.379903055192</v>
      </c>
      <c r="S23" s="147">
        <f t="shared" si="6"/>
        <v>1856.506372855454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8486.886275910645</v>
      </c>
      <c r="AB23" s="155"/>
    </row>
    <row r="24" spans="2:28" s="10" customFormat="1" ht="16.5" customHeight="1">
      <c r="B24" s="44"/>
      <c r="C24" s="128">
        <v>4</v>
      </c>
      <c r="D24" s="128">
        <v>269112</v>
      </c>
      <c r="E24" s="128">
        <v>698</v>
      </c>
      <c r="F24" s="126" t="s">
        <v>135</v>
      </c>
      <c r="G24" s="126">
        <v>220</v>
      </c>
      <c r="H24" s="138">
        <v>53.4900016784668</v>
      </c>
      <c r="I24" s="139">
        <f t="shared" si="0"/>
        <v>221.01266343517307</v>
      </c>
      <c r="J24" s="140">
        <v>41629.33263888889</v>
      </c>
      <c r="K24" s="140">
        <v>41629.63888888889</v>
      </c>
      <c r="L24" s="141">
        <f t="shared" si="1"/>
        <v>7.350000000034925</v>
      </c>
      <c r="M24" s="142">
        <f t="shared" si="2"/>
        <v>441</v>
      </c>
      <c r="N24" s="143" t="s">
        <v>132</v>
      </c>
      <c r="O24" s="143" t="s">
        <v>133</v>
      </c>
      <c r="P24" s="145">
        <f t="shared" si="3"/>
        <v>487.33292287455663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487.33292287455663</v>
      </c>
      <c r="AB24" s="155"/>
    </row>
    <row r="25" spans="2:28" s="10" customFormat="1" ht="16.5" customHeight="1">
      <c r="B25" s="44"/>
      <c r="C25" s="128">
        <v>5</v>
      </c>
      <c r="D25" s="128">
        <v>269113</v>
      </c>
      <c r="E25" s="128">
        <v>706</v>
      </c>
      <c r="F25" s="126" t="s">
        <v>134</v>
      </c>
      <c r="G25" s="126">
        <v>220</v>
      </c>
      <c r="H25" s="138">
        <v>171.60000610351562</v>
      </c>
      <c r="I25" s="139">
        <f t="shared" si="0"/>
        <v>709.0254852188111</v>
      </c>
      <c r="J25" s="140">
        <v>41630.334027777775</v>
      </c>
      <c r="K25" s="140">
        <v>41630.603472222225</v>
      </c>
      <c r="L25" s="141">
        <f t="shared" si="1"/>
        <v>6.466666666790843</v>
      </c>
      <c r="M25" s="142">
        <f t="shared" si="2"/>
        <v>388</v>
      </c>
      <c r="N25" s="143" t="s">
        <v>132</v>
      </c>
      <c r="O25" s="143" t="s">
        <v>133</v>
      </c>
      <c r="P25" s="145">
        <f t="shared" si="3"/>
        <v>1376.2184668097125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1376.2184668097125</v>
      </c>
      <c r="AB25" s="155"/>
    </row>
    <row r="26" spans="2:28" s="10" customFormat="1" ht="16.5" customHeight="1">
      <c r="B26" s="44"/>
      <c r="C26" s="128"/>
      <c r="D26" s="128"/>
      <c r="E26" s="128"/>
      <c r="F26" s="126"/>
      <c r="G26" s="126"/>
      <c r="H26" s="138"/>
      <c r="I26" s="139" t="e">
        <f t="shared" si="0"/>
        <v>#VALUE!</v>
      </c>
      <c r="J26" s="140"/>
      <c r="K26" s="140"/>
      <c r="L26" s="141">
        <f t="shared" si="1"/>
      </c>
      <c r="M26" s="142">
        <f t="shared" si="2"/>
      </c>
      <c r="N26" s="140"/>
      <c r="O26" s="144">
        <f aca="true" t="shared" si="15" ref="O26:O40">IF(F26="","","--")</f>
      </c>
      <c r="P26" s="145" t="str">
        <f t="shared" si="3"/>
        <v>--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>
        <f t="shared" si="13"/>
      </c>
      <c r="AA26" s="154">
        <f t="shared" si="14"/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 t="e">
        <f t="shared" si="0"/>
        <v>#VALUE!</v>
      </c>
      <c r="J27" s="140"/>
      <c r="K27" s="140"/>
      <c r="L27" s="141">
        <f t="shared" si="1"/>
      </c>
      <c r="M27" s="142">
        <f t="shared" si="2"/>
      </c>
      <c r="N27" s="140"/>
      <c r="O27" s="144">
        <f t="shared" si="15"/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>
        <f t="shared" si="13"/>
      </c>
      <c r="AA27" s="154">
        <f t="shared" si="14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 t="e">
        <f t="shared" si="0"/>
        <v>#VALUE!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5"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10" t="s">
        <v>150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8811.444393866734</v>
      </c>
      <c r="Q42" s="177">
        <f t="shared" si="16"/>
        <v>0</v>
      </c>
      <c r="R42" s="178">
        <f t="shared" si="16"/>
        <v>6630.379903055192</v>
      </c>
      <c r="S42" s="178">
        <f t="shared" si="16"/>
        <v>1856.506372855454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17298.33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1968503937007874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AD44"/>
  <sheetViews>
    <sheetView zoomScale="70" zoomScaleNormal="70" zoomScalePageLayoutView="0" workbookViewId="0" topLeftCell="A10">
      <selection activeCell="AC21" sqref="AC21"/>
    </sheetView>
  </sheetViews>
  <sheetFormatPr defaultColWidth="11.421875" defaultRowHeight="12.75"/>
  <cols>
    <col min="1" max="1" width="21.0039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25.8515625" style="1" customWidth="1"/>
    <col min="7" max="7" width="25.28125" style="1" customWidth="1"/>
    <col min="8" max="8" width="7.28125" style="1" customWidth="1"/>
    <col min="9" max="9" width="12.00390625" style="1" customWidth="1"/>
    <col min="10" max="10" width="7.710937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87"/>
    </row>
    <row r="2" spans="2:30" s="6" customFormat="1" ht="26.25">
      <c r="B2" s="68" t="str">
        <f>+'TOT-1213'!B2</f>
        <v>ANEXO I al Memorandum D.T.E.E. N° 798 / 2014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+'TOT-1213'!B14</f>
        <v>Desde el 01 al 31 de diciembre de 2013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1.38</v>
      </c>
      <c r="J16" s="208"/>
      <c r="K16" s="233">
        <v>0.155</v>
      </c>
      <c r="L16" s="64" t="s">
        <v>151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30*'TOT-1213'!B13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09">
        <v>4</v>
      </c>
      <c r="E18" s="409">
        <v>5</v>
      </c>
      <c r="F18" s="409">
        <v>6</v>
      </c>
      <c r="G18" s="409">
        <v>7</v>
      </c>
      <c r="H18" s="409">
        <v>8</v>
      </c>
      <c r="I18" s="409">
        <v>9</v>
      </c>
      <c r="J18" s="409">
        <v>10</v>
      </c>
      <c r="K18" s="409">
        <v>11</v>
      </c>
      <c r="L18" s="409">
        <v>12</v>
      </c>
      <c r="M18" s="409">
        <v>13</v>
      </c>
      <c r="N18" s="409">
        <v>14</v>
      </c>
      <c r="O18" s="409">
        <v>15</v>
      </c>
      <c r="P18" s="409">
        <v>16</v>
      </c>
      <c r="Q18" s="409">
        <v>17</v>
      </c>
      <c r="R18" s="409">
        <v>18</v>
      </c>
      <c r="S18" s="409">
        <v>19</v>
      </c>
      <c r="T18" s="409">
        <v>20</v>
      </c>
      <c r="U18" s="409">
        <v>21</v>
      </c>
      <c r="V18" s="409">
        <v>22</v>
      </c>
      <c r="W18" s="409">
        <v>23</v>
      </c>
      <c r="X18" s="409">
        <v>24</v>
      </c>
      <c r="Y18" s="409">
        <v>25</v>
      </c>
      <c r="Z18" s="409">
        <v>26</v>
      </c>
      <c r="AA18" s="409">
        <v>27</v>
      </c>
      <c r="AB18" s="409">
        <v>28</v>
      </c>
      <c r="AC18" s="409">
        <v>29</v>
      </c>
      <c r="AD18" s="218"/>
    </row>
    <row r="19" spans="2:30" s="239" customFormat="1" ht="34.5" customHeight="1" thickBot="1" thickTop="1">
      <c r="B19" s="240"/>
      <c r="C19" s="391" t="s">
        <v>20</v>
      </c>
      <c r="D19" s="391" t="s">
        <v>74</v>
      </c>
      <c r="E19" s="391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>
        <v>7</v>
      </c>
      <c r="D21" s="269">
        <v>269114</v>
      </c>
      <c r="E21" s="269">
        <v>862</v>
      </c>
      <c r="F21" s="126" t="s">
        <v>138</v>
      </c>
      <c r="G21" s="128" t="s">
        <v>139</v>
      </c>
      <c r="H21" s="273">
        <v>60</v>
      </c>
      <c r="I21" s="138" t="s">
        <v>140</v>
      </c>
      <c r="J21" s="275">
        <f aca="true" t="shared" si="0" ref="J21:J39">H21*$I$16</f>
        <v>82.8</v>
      </c>
      <c r="K21" s="276">
        <v>41627.24652777778</v>
      </c>
      <c r="L21" s="276">
        <v>41627.356944444444</v>
      </c>
      <c r="M21" s="277">
        <f aca="true" t="shared" si="1" ref="M21:M39">IF(F21="","",(L21-K21)*24)</f>
        <v>2.6499999999068677</v>
      </c>
      <c r="N21" s="278">
        <f aca="true" t="shared" si="2" ref="N21:N39">IF(F21="","",ROUND((L21-K21)*24*60,0))</f>
        <v>159</v>
      </c>
      <c r="O21" s="279" t="s">
        <v>132</v>
      </c>
      <c r="P21" s="280" t="str">
        <f aca="true" t="shared" si="3" ref="P21:P39">IF(F21="","",IF(OR(O21="P",O21="RP"),"--","NO"))</f>
        <v>--</v>
      </c>
      <c r="Q21" s="279" t="s">
        <v>133</v>
      </c>
      <c r="R21" s="279" t="str">
        <f aca="true" t="shared" si="4" ref="R21:R39">IF(F21="","","NO")</f>
        <v>NO</v>
      </c>
      <c r="S21" s="152">
        <f aca="true" t="shared" si="5" ref="S21:S39">$I$17*IF(OR(O21="P",O21="RP"),0.1,1)*IF(R21="SI",1,0.1)</f>
        <v>0.30000000000000004</v>
      </c>
      <c r="T21" s="281">
        <f aca="true" t="shared" si="6" ref="T21:T39">IF(O21="P",J21*S21*ROUND(N21/60,2),"--")</f>
        <v>65.82600000000001</v>
      </c>
      <c r="U21" s="282" t="str">
        <f aca="true" t="shared" si="7" ref="U21:U39">IF(O21="RP",J21*S21*ROUND(N21/60,2)*Q21/100,"--")</f>
        <v>--</v>
      </c>
      <c r="V21" s="283" t="str">
        <f aca="true" t="shared" si="8" ref="V21:V39">IF(AND(O21="F",P21="NO"),J21*S21,"--")</f>
        <v>--</v>
      </c>
      <c r="W21" s="284" t="str">
        <f aca="true" t="shared" si="9" ref="W21:W39">IF(O21="F",J21*S21*ROUND(N21/60,2),"--")</f>
        <v>--</v>
      </c>
      <c r="X21" s="285" t="str">
        <f aca="true" t="shared" si="10" ref="X21:X39">IF(AND(O21="R",P21="NO"),J21*S21*Q21/100,"--")</f>
        <v>--</v>
      </c>
      <c r="Y21" s="286" t="str">
        <f aca="true" t="shared" si="11" ref="Y21:Y39">IF(O21="R",J21*S21*ROUND(N21/60,2)*Q21/100,"--")</f>
        <v>--</v>
      </c>
      <c r="Z21" s="287" t="str">
        <f aca="true" t="shared" si="12" ref="Z21:Z39">IF(O21="RF",J21*S21*ROUND(N21/60,2),"--")</f>
        <v>--</v>
      </c>
      <c r="AA21" s="288" t="str">
        <f aca="true" t="shared" si="13" ref="AA21:AA39">IF(O21="RR",J21*S21*ROUND(N21/60,2)*Q21/100,"--")</f>
        <v>--</v>
      </c>
      <c r="AB21" s="279" t="s">
        <v>137</v>
      </c>
      <c r="AC21" s="289">
        <f aca="true" t="shared" si="14" ref="AC21:AC39">IF(F21="","",SUM(T21:AA21)*IF(AB21="SI",1,2))</f>
        <v>65.82600000000001</v>
      </c>
      <c r="AD21" s="290"/>
    </row>
    <row r="22" spans="2:30" s="10" customFormat="1" ht="16.5" customHeight="1">
      <c r="B22" s="217"/>
      <c r="C22" s="269"/>
      <c r="D22" s="269"/>
      <c r="E22" s="269"/>
      <c r="F22" s="126"/>
      <c r="G22" s="128"/>
      <c r="H22" s="273"/>
      <c r="I22" s="274"/>
      <c r="J22" s="275">
        <f t="shared" si="0"/>
        <v>0</v>
      </c>
      <c r="K22" s="276"/>
      <c r="L22" s="276"/>
      <c r="M22" s="277">
        <f t="shared" si="1"/>
      </c>
      <c r="N22" s="278">
        <f t="shared" si="2"/>
      </c>
      <c r="O22" s="279"/>
      <c r="P22" s="280">
        <f t="shared" si="3"/>
      </c>
      <c r="Q22" s="280">
        <f aca="true" t="shared" si="15" ref="Q22:Q39">IF(F22="","","--")</f>
      </c>
      <c r="R22" s="279">
        <f t="shared" si="4"/>
      </c>
      <c r="S22" s="152">
        <f t="shared" si="5"/>
        <v>3</v>
      </c>
      <c r="T22" s="281" t="str">
        <f t="shared" si="6"/>
        <v>--</v>
      </c>
      <c r="U22" s="282" t="str">
        <f t="shared" si="7"/>
        <v>--</v>
      </c>
      <c r="V22" s="283" t="str">
        <f t="shared" si="8"/>
        <v>--</v>
      </c>
      <c r="W22" s="284" t="str">
        <f t="shared" si="9"/>
        <v>--</v>
      </c>
      <c r="X22" s="285" t="str">
        <f t="shared" si="10"/>
        <v>--</v>
      </c>
      <c r="Y22" s="286" t="str">
        <f t="shared" si="11"/>
        <v>--</v>
      </c>
      <c r="Z22" s="287" t="str">
        <f t="shared" si="12"/>
        <v>--</v>
      </c>
      <c r="AA22" s="288" t="str">
        <f t="shared" si="13"/>
        <v>--</v>
      </c>
      <c r="AB22" s="279">
        <f aca="true" t="shared" si="16" ref="AB22:AB39">IF(F22="","","SI")</f>
      </c>
      <c r="AC22" s="289">
        <f t="shared" si="14"/>
      </c>
      <c r="AD22" s="218"/>
    </row>
    <row r="23" spans="2:30" s="10" customFormat="1" ht="16.5" customHeight="1">
      <c r="B23" s="217"/>
      <c r="C23" s="269"/>
      <c r="D23" s="269"/>
      <c r="E23" s="269"/>
      <c r="F23" s="126"/>
      <c r="G23" s="128"/>
      <c r="H23" s="273"/>
      <c r="I23" s="274"/>
      <c r="J23" s="275">
        <f t="shared" si="0"/>
        <v>0</v>
      </c>
      <c r="K23" s="276"/>
      <c r="L23" s="276"/>
      <c r="M23" s="277">
        <f t="shared" si="1"/>
      </c>
      <c r="N23" s="278">
        <f t="shared" si="2"/>
      </c>
      <c r="O23" s="279"/>
      <c r="P23" s="280">
        <f t="shared" si="3"/>
      </c>
      <c r="Q23" s="280">
        <f t="shared" si="15"/>
      </c>
      <c r="R23" s="279">
        <f t="shared" si="4"/>
      </c>
      <c r="S23" s="152">
        <f t="shared" si="5"/>
        <v>3</v>
      </c>
      <c r="T23" s="281" t="str">
        <f t="shared" si="6"/>
        <v>--</v>
      </c>
      <c r="U23" s="282" t="str">
        <f t="shared" si="7"/>
        <v>--</v>
      </c>
      <c r="V23" s="283" t="str">
        <f t="shared" si="8"/>
        <v>--</v>
      </c>
      <c r="W23" s="284" t="str">
        <f t="shared" si="9"/>
        <v>--</v>
      </c>
      <c r="X23" s="285" t="str">
        <f t="shared" si="10"/>
        <v>--</v>
      </c>
      <c r="Y23" s="286" t="str">
        <f t="shared" si="11"/>
        <v>--</v>
      </c>
      <c r="Z23" s="287" t="str">
        <f t="shared" si="12"/>
        <v>--</v>
      </c>
      <c r="AA23" s="288" t="str">
        <f t="shared" si="13"/>
        <v>--</v>
      </c>
      <c r="AB23" s="279">
        <f t="shared" si="16"/>
      </c>
      <c r="AC23" s="289">
        <f t="shared" si="14"/>
      </c>
      <c r="AD23" s="218"/>
    </row>
    <row r="24" spans="2:30" s="10" customFormat="1" ht="16.5" customHeight="1">
      <c r="B24" s="217"/>
      <c r="C24" s="269"/>
      <c r="D24" s="269"/>
      <c r="E24" s="269"/>
      <c r="F24" s="126"/>
      <c r="G24" s="128"/>
      <c r="H24" s="273"/>
      <c r="I24" s="274"/>
      <c r="J24" s="275">
        <f t="shared" si="0"/>
        <v>0</v>
      </c>
      <c r="K24" s="276"/>
      <c r="L24" s="276"/>
      <c r="M24" s="277">
        <f t="shared" si="1"/>
      </c>
      <c r="N24" s="278">
        <f t="shared" si="2"/>
      </c>
      <c r="O24" s="279"/>
      <c r="P24" s="280">
        <f t="shared" si="3"/>
      </c>
      <c r="Q24" s="280">
        <f t="shared" si="15"/>
      </c>
      <c r="R24" s="279">
        <f t="shared" si="4"/>
      </c>
      <c r="S24" s="152">
        <f t="shared" si="5"/>
        <v>3</v>
      </c>
      <c r="T24" s="281" t="str">
        <f t="shared" si="6"/>
        <v>--</v>
      </c>
      <c r="U24" s="282" t="str">
        <f t="shared" si="7"/>
        <v>--</v>
      </c>
      <c r="V24" s="283" t="str">
        <f t="shared" si="8"/>
        <v>--</v>
      </c>
      <c r="W24" s="284" t="str">
        <f t="shared" si="9"/>
        <v>--</v>
      </c>
      <c r="X24" s="285" t="str">
        <f t="shared" si="10"/>
        <v>--</v>
      </c>
      <c r="Y24" s="286" t="str">
        <f t="shared" si="11"/>
        <v>--</v>
      </c>
      <c r="Z24" s="287" t="str">
        <f t="shared" si="12"/>
        <v>--</v>
      </c>
      <c r="AA24" s="288" t="str">
        <f t="shared" si="13"/>
        <v>--</v>
      </c>
      <c r="AB24" s="279">
        <f t="shared" si="16"/>
      </c>
      <c r="AC24" s="289">
        <f t="shared" si="14"/>
      </c>
      <c r="AD24" s="218"/>
    </row>
    <row r="25" spans="2:30" s="10" customFormat="1" ht="16.5" customHeight="1">
      <c r="B25" s="217"/>
      <c r="C25" s="269"/>
      <c r="D25" s="269"/>
      <c r="E25" s="269"/>
      <c r="F25" s="126"/>
      <c r="G25" s="128"/>
      <c r="H25" s="273"/>
      <c r="I25" s="274"/>
      <c r="J25" s="275">
        <f t="shared" si="0"/>
        <v>0</v>
      </c>
      <c r="K25" s="276"/>
      <c r="L25" s="276"/>
      <c r="M25" s="277">
        <f t="shared" si="1"/>
      </c>
      <c r="N25" s="278">
        <f t="shared" si="2"/>
      </c>
      <c r="O25" s="279"/>
      <c r="P25" s="280">
        <f t="shared" si="3"/>
      </c>
      <c r="Q25" s="280">
        <f t="shared" si="15"/>
      </c>
      <c r="R25" s="279">
        <f t="shared" si="4"/>
      </c>
      <c r="S25" s="152">
        <f t="shared" si="5"/>
        <v>3</v>
      </c>
      <c r="T25" s="281" t="str">
        <f t="shared" si="6"/>
        <v>--</v>
      </c>
      <c r="U25" s="282" t="str">
        <f t="shared" si="7"/>
        <v>--</v>
      </c>
      <c r="V25" s="283" t="str">
        <f t="shared" si="8"/>
        <v>--</v>
      </c>
      <c r="W25" s="284" t="str">
        <f t="shared" si="9"/>
        <v>--</v>
      </c>
      <c r="X25" s="285" t="str">
        <f t="shared" si="10"/>
        <v>--</v>
      </c>
      <c r="Y25" s="286" t="str">
        <f t="shared" si="11"/>
        <v>--</v>
      </c>
      <c r="Z25" s="287" t="str">
        <f t="shared" si="12"/>
        <v>--</v>
      </c>
      <c r="AA25" s="288" t="str">
        <f t="shared" si="13"/>
        <v>--</v>
      </c>
      <c r="AB25" s="279">
        <f t="shared" si="16"/>
      </c>
      <c r="AC25" s="289">
        <f t="shared" si="14"/>
      </c>
      <c r="AD25" s="218"/>
    </row>
    <row r="26" spans="2:30" s="10" customFormat="1" ht="16.5" customHeight="1">
      <c r="B26" s="217"/>
      <c r="C26" s="269"/>
      <c r="D26" s="269"/>
      <c r="E26" s="269"/>
      <c r="F26" s="126"/>
      <c r="G26" s="128"/>
      <c r="H26" s="273"/>
      <c r="I26" s="274"/>
      <c r="J26" s="275">
        <f t="shared" si="0"/>
        <v>0</v>
      </c>
      <c r="K26" s="276"/>
      <c r="L26" s="276"/>
      <c r="M26" s="277">
        <f t="shared" si="1"/>
      </c>
      <c r="N26" s="278">
        <f t="shared" si="2"/>
      </c>
      <c r="O26" s="279"/>
      <c r="P26" s="280">
        <f t="shared" si="3"/>
      </c>
      <c r="Q26" s="280">
        <f t="shared" si="15"/>
      </c>
      <c r="R26" s="279">
        <f t="shared" si="4"/>
      </c>
      <c r="S26" s="152">
        <f t="shared" si="5"/>
        <v>3</v>
      </c>
      <c r="T26" s="281" t="str">
        <f t="shared" si="6"/>
        <v>--</v>
      </c>
      <c r="U26" s="282" t="str">
        <f t="shared" si="7"/>
        <v>--</v>
      </c>
      <c r="V26" s="283" t="str">
        <f t="shared" si="8"/>
        <v>--</v>
      </c>
      <c r="W26" s="284" t="str">
        <f t="shared" si="9"/>
        <v>--</v>
      </c>
      <c r="X26" s="285" t="str">
        <f t="shared" si="10"/>
        <v>--</v>
      </c>
      <c r="Y26" s="286" t="str">
        <f t="shared" si="11"/>
        <v>--</v>
      </c>
      <c r="Z26" s="287" t="str">
        <f t="shared" si="12"/>
        <v>--</v>
      </c>
      <c r="AA26" s="288" t="str">
        <f t="shared" si="13"/>
        <v>--</v>
      </c>
      <c r="AB26" s="279">
        <f t="shared" si="16"/>
      </c>
      <c r="AC26" s="289">
        <f t="shared" si="14"/>
      </c>
      <c r="AD26" s="218"/>
    </row>
    <row r="27" spans="2:30" s="10" customFormat="1" ht="16.5" customHeight="1">
      <c r="B27" s="217"/>
      <c r="C27" s="269"/>
      <c r="D27" s="269"/>
      <c r="E27" s="269"/>
      <c r="F27" s="126"/>
      <c r="G27" s="128"/>
      <c r="H27" s="273"/>
      <c r="I27" s="274"/>
      <c r="J27" s="275">
        <f t="shared" si="0"/>
        <v>0</v>
      </c>
      <c r="K27" s="276"/>
      <c r="L27" s="276"/>
      <c r="M27" s="277">
        <f t="shared" si="1"/>
      </c>
      <c r="N27" s="278">
        <f t="shared" si="2"/>
      </c>
      <c r="O27" s="279"/>
      <c r="P27" s="280">
        <f t="shared" si="3"/>
      </c>
      <c r="Q27" s="280">
        <f t="shared" si="15"/>
      </c>
      <c r="R27" s="279">
        <f t="shared" si="4"/>
      </c>
      <c r="S27" s="152">
        <f t="shared" si="5"/>
        <v>3</v>
      </c>
      <c r="T27" s="281" t="str">
        <f t="shared" si="6"/>
        <v>--</v>
      </c>
      <c r="U27" s="282" t="str">
        <f t="shared" si="7"/>
        <v>--</v>
      </c>
      <c r="V27" s="283" t="str">
        <f t="shared" si="8"/>
        <v>--</v>
      </c>
      <c r="W27" s="284" t="str">
        <f t="shared" si="9"/>
        <v>--</v>
      </c>
      <c r="X27" s="285" t="str">
        <f t="shared" si="10"/>
        <v>--</v>
      </c>
      <c r="Y27" s="286" t="str">
        <f t="shared" si="11"/>
        <v>--</v>
      </c>
      <c r="Z27" s="287" t="str">
        <f t="shared" si="12"/>
        <v>--</v>
      </c>
      <c r="AA27" s="288" t="str">
        <f t="shared" si="13"/>
        <v>--</v>
      </c>
      <c r="AB27" s="279">
        <f t="shared" si="16"/>
      </c>
      <c r="AC27" s="289">
        <f t="shared" si="14"/>
      </c>
      <c r="AD27" s="218"/>
    </row>
    <row r="28" spans="2:30" s="10" customFormat="1" ht="16.5" customHeight="1">
      <c r="B28" s="217"/>
      <c r="C28" s="269"/>
      <c r="D28" s="269"/>
      <c r="E28" s="269"/>
      <c r="F28" s="126"/>
      <c r="G28" s="128"/>
      <c r="H28" s="273"/>
      <c r="I28" s="274"/>
      <c r="J28" s="275">
        <f t="shared" si="0"/>
        <v>0</v>
      </c>
      <c r="K28" s="276"/>
      <c r="L28" s="276"/>
      <c r="M28" s="277">
        <f t="shared" si="1"/>
      </c>
      <c r="N28" s="278">
        <f t="shared" si="2"/>
      </c>
      <c r="O28" s="279"/>
      <c r="P28" s="280">
        <f t="shared" si="3"/>
      </c>
      <c r="Q28" s="280">
        <f t="shared" si="15"/>
      </c>
      <c r="R28" s="279">
        <f t="shared" si="4"/>
      </c>
      <c r="S28" s="152">
        <f t="shared" si="5"/>
        <v>3</v>
      </c>
      <c r="T28" s="281" t="str">
        <f t="shared" si="6"/>
        <v>--</v>
      </c>
      <c r="U28" s="282" t="str">
        <f t="shared" si="7"/>
        <v>--</v>
      </c>
      <c r="V28" s="283" t="str">
        <f t="shared" si="8"/>
        <v>--</v>
      </c>
      <c r="W28" s="284" t="str">
        <f t="shared" si="9"/>
        <v>--</v>
      </c>
      <c r="X28" s="285" t="str">
        <f t="shared" si="10"/>
        <v>--</v>
      </c>
      <c r="Y28" s="286" t="str">
        <f t="shared" si="11"/>
        <v>--</v>
      </c>
      <c r="Z28" s="287" t="str">
        <f t="shared" si="12"/>
        <v>--</v>
      </c>
      <c r="AA28" s="288" t="str">
        <f t="shared" si="13"/>
        <v>--</v>
      </c>
      <c r="AB28" s="279">
        <f t="shared" si="16"/>
      </c>
      <c r="AC28" s="289">
        <f t="shared" si="14"/>
      </c>
      <c r="AD28" s="218"/>
    </row>
    <row r="29" spans="2:30" s="10" customFormat="1" ht="16.5" customHeight="1">
      <c r="B29" s="217"/>
      <c r="C29" s="269"/>
      <c r="D29" s="269"/>
      <c r="E29" s="269"/>
      <c r="F29" s="126"/>
      <c r="G29" s="128"/>
      <c r="H29" s="273"/>
      <c r="I29" s="274"/>
      <c r="J29" s="275">
        <f t="shared" si="0"/>
        <v>0</v>
      </c>
      <c r="K29" s="276"/>
      <c r="L29" s="276"/>
      <c r="M29" s="277">
        <f t="shared" si="1"/>
      </c>
      <c r="N29" s="278">
        <f t="shared" si="2"/>
      </c>
      <c r="O29" s="279"/>
      <c r="P29" s="280">
        <f t="shared" si="3"/>
      </c>
      <c r="Q29" s="280">
        <f t="shared" si="15"/>
      </c>
      <c r="R29" s="279">
        <f t="shared" si="4"/>
      </c>
      <c r="S29" s="152">
        <f t="shared" si="5"/>
        <v>3</v>
      </c>
      <c r="T29" s="281" t="str">
        <f t="shared" si="6"/>
        <v>--</v>
      </c>
      <c r="U29" s="282" t="str">
        <f t="shared" si="7"/>
        <v>--</v>
      </c>
      <c r="V29" s="283" t="str">
        <f t="shared" si="8"/>
        <v>--</v>
      </c>
      <c r="W29" s="284" t="str">
        <f t="shared" si="9"/>
        <v>--</v>
      </c>
      <c r="X29" s="285" t="str">
        <f t="shared" si="10"/>
        <v>--</v>
      </c>
      <c r="Y29" s="286" t="str">
        <f t="shared" si="11"/>
        <v>--</v>
      </c>
      <c r="Z29" s="287" t="str">
        <f t="shared" si="12"/>
        <v>--</v>
      </c>
      <c r="AA29" s="288" t="str">
        <f t="shared" si="13"/>
        <v>--</v>
      </c>
      <c r="AB29" s="279">
        <f t="shared" si="16"/>
      </c>
      <c r="AC29" s="289">
        <f t="shared" si="14"/>
      </c>
      <c r="AD29" s="218"/>
    </row>
    <row r="30" spans="2:30" s="10" customFormat="1" ht="16.5" customHeight="1">
      <c r="B30" s="217"/>
      <c r="C30" s="269"/>
      <c r="D30" s="269"/>
      <c r="E30" s="269"/>
      <c r="F30" s="126"/>
      <c r="G30" s="128"/>
      <c r="H30" s="273"/>
      <c r="I30" s="274"/>
      <c r="J30" s="275">
        <f t="shared" si="0"/>
        <v>0</v>
      </c>
      <c r="K30" s="276"/>
      <c r="L30" s="276"/>
      <c r="M30" s="277">
        <f t="shared" si="1"/>
      </c>
      <c r="N30" s="278">
        <f t="shared" si="2"/>
      </c>
      <c r="O30" s="279"/>
      <c r="P30" s="280">
        <f t="shared" si="3"/>
      </c>
      <c r="Q30" s="280">
        <f t="shared" si="15"/>
      </c>
      <c r="R30" s="279">
        <f t="shared" si="4"/>
      </c>
      <c r="S30" s="152">
        <f t="shared" si="5"/>
        <v>3</v>
      </c>
      <c r="T30" s="281" t="str">
        <f t="shared" si="6"/>
        <v>--</v>
      </c>
      <c r="U30" s="282" t="str">
        <f t="shared" si="7"/>
        <v>--</v>
      </c>
      <c r="V30" s="283" t="str">
        <f t="shared" si="8"/>
        <v>--</v>
      </c>
      <c r="W30" s="284" t="str">
        <f t="shared" si="9"/>
        <v>--</v>
      </c>
      <c r="X30" s="285" t="str">
        <f t="shared" si="10"/>
        <v>--</v>
      </c>
      <c r="Y30" s="286" t="str">
        <f t="shared" si="11"/>
        <v>--</v>
      </c>
      <c r="Z30" s="287" t="str">
        <f t="shared" si="12"/>
        <v>--</v>
      </c>
      <c r="AA30" s="288" t="str">
        <f t="shared" si="13"/>
        <v>--</v>
      </c>
      <c r="AB30" s="279">
        <f t="shared" si="16"/>
      </c>
      <c r="AC30" s="289">
        <f t="shared" si="14"/>
      </c>
      <c r="AD30" s="218"/>
    </row>
    <row r="31" spans="2:30" s="10" customFormat="1" ht="16.5" customHeight="1">
      <c r="B31" s="217"/>
      <c r="C31" s="269"/>
      <c r="D31" s="269"/>
      <c r="E31" s="269"/>
      <c r="F31" s="126"/>
      <c r="G31" s="128"/>
      <c r="H31" s="273"/>
      <c r="I31" s="274"/>
      <c r="J31" s="275">
        <f t="shared" si="0"/>
        <v>0</v>
      </c>
      <c r="K31" s="276"/>
      <c r="L31" s="276"/>
      <c r="M31" s="277">
        <f t="shared" si="1"/>
      </c>
      <c r="N31" s="278">
        <f t="shared" si="2"/>
      </c>
      <c r="O31" s="279"/>
      <c r="P31" s="280">
        <f t="shared" si="3"/>
      </c>
      <c r="Q31" s="280">
        <f t="shared" si="15"/>
      </c>
      <c r="R31" s="279">
        <f t="shared" si="4"/>
      </c>
      <c r="S31" s="152">
        <f t="shared" si="5"/>
        <v>3</v>
      </c>
      <c r="T31" s="281" t="str">
        <f t="shared" si="6"/>
        <v>--</v>
      </c>
      <c r="U31" s="282" t="str">
        <f t="shared" si="7"/>
        <v>--</v>
      </c>
      <c r="V31" s="283" t="str">
        <f t="shared" si="8"/>
        <v>--</v>
      </c>
      <c r="W31" s="284" t="str">
        <f t="shared" si="9"/>
        <v>--</v>
      </c>
      <c r="X31" s="285" t="str">
        <f t="shared" si="10"/>
        <v>--</v>
      </c>
      <c r="Y31" s="286" t="str">
        <f t="shared" si="11"/>
        <v>--</v>
      </c>
      <c r="Z31" s="287" t="str">
        <f t="shared" si="12"/>
        <v>--</v>
      </c>
      <c r="AA31" s="288" t="str">
        <f t="shared" si="13"/>
        <v>--</v>
      </c>
      <c r="AB31" s="279">
        <f t="shared" si="16"/>
      </c>
      <c r="AC31" s="289">
        <f t="shared" si="14"/>
      </c>
      <c r="AD31" s="218"/>
    </row>
    <row r="32" spans="2:30" s="10" customFormat="1" ht="16.5" customHeight="1">
      <c r="B32" s="217"/>
      <c r="C32" s="269"/>
      <c r="D32" s="269"/>
      <c r="E32" s="269"/>
      <c r="F32" s="126"/>
      <c r="G32" s="128"/>
      <c r="H32" s="273"/>
      <c r="I32" s="274"/>
      <c r="J32" s="275">
        <f t="shared" si="0"/>
        <v>0</v>
      </c>
      <c r="K32" s="276"/>
      <c r="L32" s="276"/>
      <c r="M32" s="277">
        <f t="shared" si="1"/>
      </c>
      <c r="N32" s="278">
        <f t="shared" si="2"/>
      </c>
      <c r="O32" s="279"/>
      <c r="P32" s="280">
        <f t="shared" si="3"/>
      </c>
      <c r="Q32" s="280">
        <f t="shared" si="15"/>
      </c>
      <c r="R32" s="279">
        <f t="shared" si="4"/>
      </c>
      <c r="S32" s="152">
        <f t="shared" si="5"/>
        <v>3</v>
      </c>
      <c r="T32" s="281" t="str">
        <f t="shared" si="6"/>
        <v>--</v>
      </c>
      <c r="U32" s="282" t="str">
        <f t="shared" si="7"/>
        <v>--</v>
      </c>
      <c r="V32" s="283" t="str">
        <f t="shared" si="8"/>
        <v>--</v>
      </c>
      <c r="W32" s="284" t="str">
        <f t="shared" si="9"/>
        <v>--</v>
      </c>
      <c r="X32" s="285" t="str">
        <f t="shared" si="10"/>
        <v>--</v>
      </c>
      <c r="Y32" s="286" t="str">
        <f t="shared" si="11"/>
        <v>--</v>
      </c>
      <c r="Z32" s="287" t="str">
        <f t="shared" si="12"/>
        <v>--</v>
      </c>
      <c r="AA32" s="288" t="str">
        <f t="shared" si="13"/>
        <v>--</v>
      </c>
      <c r="AB32" s="279">
        <f t="shared" si="16"/>
      </c>
      <c r="AC32" s="289">
        <f t="shared" si="14"/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73"/>
      <c r="I33" s="274"/>
      <c r="J33" s="275">
        <f t="shared" si="0"/>
        <v>0</v>
      </c>
      <c r="K33" s="276"/>
      <c r="L33" s="276"/>
      <c r="M33" s="277">
        <f t="shared" si="1"/>
      </c>
      <c r="N33" s="278">
        <f t="shared" si="2"/>
      </c>
      <c r="O33" s="279"/>
      <c r="P33" s="280">
        <f t="shared" si="3"/>
      </c>
      <c r="Q33" s="280">
        <f t="shared" si="15"/>
      </c>
      <c r="R33" s="279">
        <f t="shared" si="4"/>
      </c>
      <c r="S33" s="152">
        <f t="shared" si="5"/>
        <v>3</v>
      </c>
      <c r="T33" s="281" t="str">
        <f t="shared" si="6"/>
        <v>--</v>
      </c>
      <c r="U33" s="282" t="str">
        <f t="shared" si="7"/>
        <v>--</v>
      </c>
      <c r="V33" s="283" t="str">
        <f t="shared" si="8"/>
        <v>--</v>
      </c>
      <c r="W33" s="284" t="str">
        <f t="shared" si="9"/>
        <v>--</v>
      </c>
      <c r="X33" s="285" t="str">
        <f t="shared" si="10"/>
        <v>--</v>
      </c>
      <c r="Y33" s="286" t="str">
        <f t="shared" si="11"/>
        <v>--</v>
      </c>
      <c r="Z33" s="287" t="str">
        <f t="shared" si="12"/>
        <v>--</v>
      </c>
      <c r="AA33" s="288" t="str">
        <f t="shared" si="13"/>
        <v>--</v>
      </c>
      <c r="AB33" s="279">
        <f t="shared" si="16"/>
      </c>
      <c r="AC33" s="289">
        <f t="shared" si="14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73"/>
      <c r="I34" s="274"/>
      <c r="J34" s="275">
        <f t="shared" si="0"/>
        <v>0</v>
      </c>
      <c r="K34" s="276"/>
      <c r="L34" s="276"/>
      <c r="M34" s="277">
        <f t="shared" si="1"/>
      </c>
      <c r="N34" s="278">
        <f t="shared" si="2"/>
      </c>
      <c r="O34" s="279"/>
      <c r="P34" s="280">
        <f t="shared" si="3"/>
      </c>
      <c r="Q34" s="280">
        <f t="shared" si="15"/>
      </c>
      <c r="R34" s="279">
        <f t="shared" si="4"/>
      </c>
      <c r="S34" s="152">
        <f t="shared" si="5"/>
        <v>3</v>
      </c>
      <c r="T34" s="281" t="str">
        <f t="shared" si="6"/>
        <v>--</v>
      </c>
      <c r="U34" s="282" t="str">
        <f t="shared" si="7"/>
        <v>--</v>
      </c>
      <c r="V34" s="283" t="str">
        <f t="shared" si="8"/>
        <v>--</v>
      </c>
      <c r="W34" s="284" t="str">
        <f t="shared" si="9"/>
        <v>--</v>
      </c>
      <c r="X34" s="285" t="str">
        <f t="shared" si="10"/>
        <v>--</v>
      </c>
      <c r="Y34" s="286" t="str">
        <f t="shared" si="11"/>
        <v>--</v>
      </c>
      <c r="Z34" s="287" t="str">
        <f t="shared" si="12"/>
        <v>--</v>
      </c>
      <c r="AA34" s="288" t="str">
        <f t="shared" si="13"/>
        <v>--</v>
      </c>
      <c r="AB34" s="279">
        <f t="shared" si="16"/>
      </c>
      <c r="AC34" s="289">
        <f t="shared" si="14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73"/>
      <c r="I35" s="274"/>
      <c r="J35" s="275">
        <f t="shared" si="0"/>
        <v>0</v>
      </c>
      <c r="K35" s="276"/>
      <c r="L35" s="276"/>
      <c r="M35" s="277">
        <f t="shared" si="1"/>
      </c>
      <c r="N35" s="278">
        <f t="shared" si="2"/>
      </c>
      <c r="O35" s="279"/>
      <c r="P35" s="280">
        <f t="shared" si="3"/>
      </c>
      <c r="Q35" s="280">
        <f t="shared" si="15"/>
      </c>
      <c r="R35" s="279">
        <f t="shared" si="4"/>
      </c>
      <c r="S35" s="152">
        <f t="shared" si="5"/>
        <v>3</v>
      </c>
      <c r="T35" s="281" t="str">
        <f t="shared" si="6"/>
        <v>--</v>
      </c>
      <c r="U35" s="282" t="str">
        <f t="shared" si="7"/>
        <v>--</v>
      </c>
      <c r="V35" s="283" t="str">
        <f t="shared" si="8"/>
        <v>--</v>
      </c>
      <c r="W35" s="284" t="str">
        <f t="shared" si="9"/>
        <v>--</v>
      </c>
      <c r="X35" s="285" t="str">
        <f t="shared" si="10"/>
        <v>--</v>
      </c>
      <c r="Y35" s="286" t="str">
        <f t="shared" si="11"/>
        <v>--</v>
      </c>
      <c r="Z35" s="287" t="str">
        <f t="shared" si="12"/>
        <v>--</v>
      </c>
      <c r="AA35" s="288" t="str">
        <f t="shared" si="13"/>
        <v>--</v>
      </c>
      <c r="AB35" s="279">
        <f t="shared" si="16"/>
      </c>
      <c r="AC35" s="289">
        <f t="shared" si="14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73"/>
      <c r="I36" s="274"/>
      <c r="J36" s="275">
        <f t="shared" si="0"/>
        <v>0</v>
      </c>
      <c r="K36" s="276"/>
      <c r="L36" s="276"/>
      <c r="M36" s="277">
        <f t="shared" si="1"/>
      </c>
      <c r="N36" s="278">
        <f t="shared" si="2"/>
      </c>
      <c r="O36" s="279"/>
      <c r="P36" s="280">
        <f t="shared" si="3"/>
      </c>
      <c r="Q36" s="280">
        <f t="shared" si="15"/>
      </c>
      <c r="R36" s="279">
        <f t="shared" si="4"/>
      </c>
      <c r="S36" s="152">
        <f t="shared" si="5"/>
        <v>3</v>
      </c>
      <c r="T36" s="281" t="str">
        <f t="shared" si="6"/>
        <v>--</v>
      </c>
      <c r="U36" s="282" t="str">
        <f t="shared" si="7"/>
        <v>--</v>
      </c>
      <c r="V36" s="283" t="str">
        <f t="shared" si="8"/>
        <v>--</v>
      </c>
      <c r="W36" s="284" t="str">
        <f t="shared" si="9"/>
        <v>--</v>
      </c>
      <c r="X36" s="285" t="str">
        <f t="shared" si="10"/>
        <v>--</v>
      </c>
      <c r="Y36" s="286" t="str">
        <f t="shared" si="11"/>
        <v>--</v>
      </c>
      <c r="Z36" s="287" t="str">
        <f t="shared" si="12"/>
        <v>--</v>
      </c>
      <c r="AA36" s="288" t="str">
        <f t="shared" si="13"/>
        <v>--</v>
      </c>
      <c r="AB36" s="279">
        <f t="shared" si="16"/>
      </c>
      <c r="AC36" s="289">
        <f t="shared" si="14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73"/>
      <c r="I37" s="274"/>
      <c r="J37" s="275">
        <f t="shared" si="0"/>
        <v>0</v>
      </c>
      <c r="K37" s="276"/>
      <c r="L37" s="276"/>
      <c r="M37" s="277">
        <f t="shared" si="1"/>
      </c>
      <c r="N37" s="278">
        <f t="shared" si="2"/>
      </c>
      <c r="O37" s="279"/>
      <c r="P37" s="280">
        <f t="shared" si="3"/>
      </c>
      <c r="Q37" s="280">
        <f t="shared" si="15"/>
      </c>
      <c r="R37" s="279">
        <f t="shared" si="4"/>
      </c>
      <c r="S37" s="152">
        <f t="shared" si="5"/>
        <v>3</v>
      </c>
      <c r="T37" s="281" t="str">
        <f t="shared" si="6"/>
        <v>--</v>
      </c>
      <c r="U37" s="282" t="str">
        <f t="shared" si="7"/>
        <v>--</v>
      </c>
      <c r="V37" s="283" t="str">
        <f t="shared" si="8"/>
        <v>--</v>
      </c>
      <c r="W37" s="284" t="str">
        <f t="shared" si="9"/>
        <v>--</v>
      </c>
      <c r="X37" s="285" t="str">
        <f t="shared" si="10"/>
        <v>--</v>
      </c>
      <c r="Y37" s="286" t="str">
        <f t="shared" si="11"/>
        <v>--</v>
      </c>
      <c r="Z37" s="287" t="str">
        <f t="shared" si="12"/>
        <v>--</v>
      </c>
      <c r="AA37" s="288" t="str">
        <f t="shared" si="13"/>
        <v>--</v>
      </c>
      <c r="AB37" s="279">
        <f t="shared" si="16"/>
      </c>
      <c r="AC37" s="289">
        <f t="shared" si="14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73"/>
      <c r="I38" s="274"/>
      <c r="J38" s="275">
        <f t="shared" si="0"/>
        <v>0</v>
      </c>
      <c r="K38" s="276"/>
      <c r="L38" s="276"/>
      <c r="M38" s="277">
        <f t="shared" si="1"/>
      </c>
      <c r="N38" s="278">
        <f t="shared" si="2"/>
      </c>
      <c r="O38" s="279"/>
      <c r="P38" s="280">
        <f t="shared" si="3"/>
      </c>
      <c r="Q38" s="280">
        <f t="shared" si="15"/>
      </c>
      <c r="R38" s="279">
        <f t="shared" si="4"/>
      </c>
      <c r="S38" s="152">
        <f t="shared" si="5"/>
        <v>3</v>
      </c>
      <c r="T38" s="281" t="str">
        <f t="shared" si="6"/>
        <v>--</v>
      </c>
      <c r="U38" s="282" t="str">
        <f t="shared" si="7"/>
        <v>--</v>
      </c>
      <c r="V38" s="283" t="str">
        <f t="shared" si="8"/>
        <v>--</v>
      </c>
      <c r="W38" s="284" t="str">
        <f t="shared" si="9"/>
        <v>--</v>
      </c>
      <c r="X38" s="285" t="str">
        <f t="shared" si="10"/>
        <v>--</v>
      </c>
      <c r="Y38" s="286" t="str">
        <f t="shared" si="11"/>
        <v>--</v>
      </c>
      <c r="Z38" s="287" t="str">
        <f t="shared" si="12"/>
        <v>--</v>
      </c>
      <c r="AA38" s="288" t="str">
        <f t="shared" si="13"/>
        <v>--</v>
      </c>
      <c r="AB38" s="279">
        <f t="shared" si="16"/>
      </c>
      <c r="AC38" s="289">
        <f t="shared" si="14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73"/>
      <c r="I39" s="274"/>
      <c r="J39" s="275">
        <f t="shared" si="0"/>
        <v>0</v>
      </c>
      <c r="K39" s="276"/>
      <c r="L39" s="276"/>
      <c r="M39" s="277">
        <f t="shared" si="1"/>
      </c>
      <c r="N39" s="278">
        <f t="shared" si="2"/>
      </c>
      <c r="O39" s="279"/>
      <c r="P39" s="280">
        <f t="shared" si="3"/>
      </c>
      <c r="Q39" s="280">
        <f t="shared" si="15"/>
      </c>
      <c r="R39" s="279">
        <f t="shared" si="4"/>
      </c>
      <c r="S39" s="152">
        <f t="shared" si="5"/>
        <v>3</v>
      </c>
      <c r="T39" s="281" t="str">
        <f t="shared" si="6"/>
        <v>--</v>
      </c>
      <c r="U39" s="282" t="str">
        <f t="shared" si="7"/>
        <v>--</v>
      </c>
      <c r="V39" s="283" t="str">
        <f t="shared" si="8"/>
        <v>--</v>
      </c>
      <c r="W39" s="284" t="str">
        <f t="shared" si="9"/>
        <v>--</v>
      </c>
      <c r="X39" s="285" t="str">
        <f t="shared" si="10"/>
        <v>--</v>
      </c>
      <c r="Y39" s="286" t="str">
        <f t="shared" si="11"/>
        <v>--</v>
      </c>
      <c r="Z39" s="287" t="str">
        <f t="shared" si="12"/>
        <v>--</v>
      </c>
      <c r="AA39" s="288" t="str">
        <f t="shared" si="13"/>
        <v>--</v>
      </c>
      <c r="AB39" s="279">
        <f t="shared" si="16"/>
      </c>
      <c r="AC39" s="289">
        <f t="shared" si="14"/>
      </c>
      <c r="AD39" s="218"/>
    </row>
    <row r="40" spans="2:30" s="10" customFormat="1" ht="16.5" customHeight="1" thickBot="1">
      <c r="B40" s="217"/>
      <c r="C40" s="291"/>
      <c r="D40" s="291"/>
      <c r="E40" s="291"/>
      <c r="F40" s="291"/>
      <c r="G40" s="291"/>
      <c r="H40" s="291"/>
      <c r="I40" s="291"/>
      <c r="J40" s="292"/>
      <c r="K40" s="291"/>
      <c r="L40" s="291"/>
      <c r="M40" s="291"/>
      <c r="N40" s="291"/>
      <c r="O40" s="291"/>
      <c r="P40" s="291"/>
      <c r="Q40" s="291"/>
      <c r="R40" s="291"/>
      <c r="S40" s="293"/>
      <c r="T40" s="294"/>
      <c r="U40" s="295"/>
      <c r="V40" s="296"/>
      <c r="W40" s="297"/>
      <c r="X40" s="298"/>
      <c r="Y40" s="299"/>
      <c r="Z40" s="300"/>
      <c r="AA40" s="301"/>
      <c r="AB40" s="291"/>
      <c r="AC40" s="302"/>
      <c r="AD40" s="218"/>
    </row>
    <row r="41" spans="2:30" s="10" customFormat="1" ht="16.5" customHeight="1" thickBot="1" thickTop="1">
      <c r="B41" s="217"/>
      <c r="C41" s="172" t="s">
        <v>73</v>
      </c>
      <c r="D41" s="410" t="s">
        <v>153</v>
      </c>
      <c r="E41" s="187"/>
      <c r="F41" s="17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303">
        <f>SUM(T20:T40)</f>
        <v>65.82600000000001</v>
      </c>
      <c r="U41" s="304">
        <f>SUM(U20:U40)</f>
        <v>0</v>
      </c>
      <c r="V41" s="305">
        <f>SUM(V20:V40)</f>
        <v>0</v>
      </c>
      <c r="W41" s="306">
        <f>SUM(W21:W40)</f>
        <v>0</v>
      </c>
      <c r="X41" s="307">
        <f>SUM(X20:X40)</f>
        <v>0</v>
      </c>
      <c r="Y41" s="307">
        <f>SUM(Y21:Y40)</f>
        <v>0</v>
      </c>
      <c r="Z41" s="308">
        <f>SUM(Z20:Z40)</f>
        <v>0</v>
      </c>
      <c r="AA41" s="309">
        <f>SUM(AA21:AA40)</f>
        <v>0</v>
      </c>
      <c r="AB41" s="310"/>
      <c r="AC41" s="311">
        <f>ROUND(SUM(AC20:AC40),2)</f>
        <v>65.83</v>
      </c>
      <c r="AD41" s="218"/>
    </row>
    <row r="42" spans="2:30" s="185" customFormat="1" ht="9.75" thickTop="1">
      <c r="B42" s="312"/>
      <c r="C42" s="187"/>
      <c r="D42" s="187"/>
      <c r="E42" s="187"/>
      <c r="F42" s="188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4"/>
      <c r="U42" s="314"/>
      <c r="V42" s="314"/>
      <c r="W42" s="314"/>
      <c r="X42" s="314"/>
      <c r="Y42" s="314"/>
      <c r="Z42" s="314"/>
      <c r="AA42" s="314"/>
      <c r="AB42" s="313"/>
      <c r="AC42" s="315"/>
      <c r="AD42" s="316"/>
    </row>
    <row r="43" spans="2:30" s="10" customFormat="1" ht="16.5" customHeight="1" thickBot="1"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9"/>
    </row>
    <row r="44" spans="2:30" ht="16.5" customHeight="1" thickTop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20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0" zoomScaleNormal="70" zoomScalePageLayoutView="0" workbookViewId="0" topLeftCell="A13">
      <selection activeCell="Z26" sqref="Z26"/>
    </sheetView>
  </sheetViews>
  <sheetFormatPr defaultColWidth="11.421875" defaultRowHeight="12.75"/>
  <cols>
    <col min="1" max="1" width="21.14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1"/>
      <c r="W1" s="386"/>
    </row>
    <row r="2" spans="1:23" s="6" customFormat="1" ht="26.25">
      <c r="A2" s="321"/>
      <c r="B2" s="68" t="str">
        <f>+'TOT-1213'!B2</f>
        <v>ANEXO I al Memorandum D.T.E.E. N° 798 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22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23"/>
    </row>
    <row r="5" spans="1:2" s="13" customFormat="1" ht="11.25">
      <c r="A5" s="205" t="s">
        <v>4</v>
      </c>
      <c r="B5" s="323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24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+'TOT-1213'!B14</f>
        <v>Desde el 01 al 31 de diciembre de 2013</v>
      </c>
      <c r="C12" s="325"/>
      <c r="D12" s="325"/>
      <c r="E12" s="325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26" t="s">
        <v>54</v>
      </c>
      <c r="G14" s="327">
        <v>33.884</v>
      </c>
      <c r="H14" s="328">
        <f>60*'TOT-1213'!B13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26" t="s">
        <v>55</v>
      </c>
      <c r="G15" s="327">
        <v>16.943</v>
      </c>
      <c r="H15" s="328">
        <f>50*'TOT-1213'!B13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29"/>
      <c r="W15" s="49"/>
    </row>
    <row r="16" spans="2:23" s="10" customFormat="1" ht="16.5" customHeight="1" thickBot="1" thickTop="1">
      <c r="B16" s="44"/>
      <c r="C16" s="12"/>
      <c r="D16" s="12"/>
      <c r="E16" s="12"/>
      <c r="F16" s="330" t="s">
        <v>56</v>
      </c>
      <c r="G16" s="331">
        <v>12.711</v>
      </c>
      <c r="H16" s="332">
        <f>25*'TOT-1213'!B13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33"/>
      <c r="Q16" s="334"/>
      <c r="R16" s="4"/>
      <c r="S16" s="12"/>
      <c r="T16" s="12"/>
      <c r="U16" s="12"/>
      <c r="V16" s="329"/>
      <c r="W16" s="49"/>
    </row>
    <row r="17" spans="2:23" s="10" customFormat="1" ht="16.5" customHeight="1" thickBot="1" thickTop="1">
      <c r="B17" s="44"/>
      <c r="C17" s="12"/>
      <c r="D17" s="12"/>
      <c r="E17" s="12"/>
      <c r="F17" s="335" t="s">
        <v>57</v>
      </c>
      <c r="G17" s="407">
        <v>12.711</v>
      </c>
      <c r="H17" s="336">
        <f>20*'TOT-1213'!B13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33"/>
      <c r="Q17" s="334"/>
      <c r="R17" s="4"/>
      <c r="S17" s="12"/>
      <c r="T17" s="12"/>
      <c r="U17" s="12"/>
      <c r="V17" s="329"/>
      <c r="W17" s="49"/>
    </row>
    <row r="18" spans="2:23" s="10" customFormat="1" ht="16.5" customHeight="1" thickBot="1" thickTop="1">
      <c r="B18" s="44"/>
      <c r="C18" s="12"/>
      <c r="D18" s="408">
        <v>4</v>
      </c>
      <c r="E18" s="408">
        <v>5</v>
      </c>
      <c r="F18" s="408">
        <v>6</v>
      </c>
      <c r="G18" s="408">
        <v>7</v>
      </c>
      <c r="H18" s="408">
        <v>8</v>
      </c>
      <c r="I18" s="408">
        <v>9</v>
      </c>
      <c r="J18" s="408">
        <v>10</v>
      </c>
      <c r="K18" s="408">
        <v>11</v>
      </c>
      <c r="L18" s="408">
        <v>12</v>
      </c>
      <c r="M18" s="408">
        <v>13</v>
      </c>
      <c r="N18" s="408">
        <v>14</v>
      </c>
      <c r="O18" s="408">
        <v>15</v>
      </c>
      <c r="P18" s="408">
        <v>16</v>
      </c>
      <c r="Q18" s="408">
        <v>17</v>
      </c>
      <c r="R18" s="408">
        <v>18</v>
      </c>
      <c r="S18" s="408">
        <v>19</v>
      </c>
      <c r="T18" s="408">
        <v>20</v>
      </c>
      <c r="U18" s="408">
        <v>21</v>
      </c>
      <c r="V18" s="408">
        <v>22</v>
      </c>
      <c r="W18" s="49"/>
    </row>
    <row r="19" spans="2:23" s="337" customFormat="1" ht="34.5" customHeight="1" thickBot="1" thickTop="1">
      <c r="B19" s="338"/>
      <c r="C19" s="391" t="s">
        <v>20</v>
      </c>
      <c r="D19" s="391" t="s">
        <v>74</v>
      </c>
      <c r="E19" s="391" t="s">
        <v>75</v>
      </c>
      <c r="F19" s="241" t="s">
        <v>41</v>
      </c>
      <c r="G19" s="339" t="s">
        <v>42</v>
      </c>
      <c r="H19" s="340" t="s">
        <v>21</v>
      </c>
      <c r="I19" s="100" t="s">
        <v>23</v>
      </c>
      <c r="J19" s="242" t="s">
        <v>24</v>
      </c>
      <c r="K19" s="339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41" t="s">
        <v>58</v>
      </c>
      <c r="Q19" s="342" t="s">
        <v>59</v>
      </c>
      <c r="R19" s="343" t="s">
        <v>49</v>
      </c>
      <c r="S19" s="344"/>
      <c r="T19" s="345" t="s">
        <v>33</v>
      </c>
      <c r="U19" s="244" t="s">
        <v>35</v>
      </c>
      <c r="V19" s="244" t="s">
        <v>36</v>
      </c>
      <c r="W19" s="346"/>
    </row>
    <row r="20" spans="2:23" s="10" customFormat="1" ht="16.5" customHeight="1" thickTop="1">
      <c r="B20" s="44"/>
      <c r="C20" s="270"/>
      <c r="D20" s="390"/>
      <c r="E20" s="390"/>
      <c r="F20" s="269"/>
      <c r="G20" s="269"/>
      <c r="H20" s="347"/>
      <c r="I20" s="348"/>
      <c r="J20" s="271"/>
      <c r="K20" s="349"/>
      <c r="L20" s="272"/>
      <c r="M20" s="272"/>
      <c r="N20" s="271"/>
      <c r="O20" s="271"/>
      <c r="P20" s="350"/>
      <c r="Q20" s="351"/>
      <c r="R20" s="352"/>
      <c r="S20" s="353"/>
      <c r="T20" s="354"/>
      <c r="U20" s="355"/>
      <c r="V20" s="356"/>
      <c r="W20" s="218"/>
    </row>
    <row r="21" spans="2:23" s="10" customFormat="1" ht="16.5" customHeight="1">
      <c r="B21" s="44"/>
      <c r="C21" s="271"/>
      <c r="D21" s="269"/>
      <c r="E21" s="269"/>
      <c r="F21" s="357"/>
      <c r="G21" s="357"/>
      <c r="H21" s="358"/>
      <c r="I21" s="359"/>
      <c r="J21" s="360"/>
      <c r="K21" s="361"/>
      <c r="L21" s="277"/>
      <c r="M21" s="362"/>
      <c r="N21" s="279"/>
      <c r="O21" s="279"/>
      <c r="P21" s="363"/>
      <c r="Q21" s="364"/>
      <c r="R21" s="365"/>
      <c r="S21" s="366"/>
      <c r="T21" s="367"/>
      <c r="U21" s="368"/>
      <c r="V21" s="369"/>
      <c r="W21" s="218"/>
    </row>
    <row r="22" spans="2:23" s="10" customFormat="1" ht="16.5" customHeight="1">
      <c r="B22" s="44"/>
      <c r="C22" s="271">
        <v>8</v>
      </c>
      <c r="D22" s="269">
        <v>268490</v>
      </c>
      <c r="E22" s="269">
        <v>892</v>
      </c>
      <c r="F22" s="357" t="s">
        <v>138</v>
      </c>
      <c r="G22" s="357" t="s">
        <v>141</v>
      </c>
      <c r="H22" s="370">
        <v>66</v>
      </c>
      <c r="I22" s="359">
        <f aca="true" t="shared" si="0" ref="I22:I41">IF(H22=220,$G$14,IF(AND(H22&lt;=132,H22&gt;=66),$G$15,IF(AND(H22&lt;66,H22&gt;=33),$G$16,$G$17)))</f>
        <v>16.943</v>
      </c>
      <c r="J22" s="360">
        <v>41615.71319444444</v>
      </c>
      <c r="K22" s="361">
        <v>41615.714583333334</v>
      </c>
      <c r="L22" s="277">
        <f aca="true" t="shared" si="1" ref="L22:L41">IF(F22="","",(K22-J22)*24)</f>
        <v>0.033333333441987634</v>
      </c>
      <c r="M22" s="362">
        <f aca="true" t="shared" si="2" ref="M22:M41">IF(F22="","",ROUND((K22-J22)*24*60,0))</f>
        <v>2</v>
      </c>
      <c r="N22" s="279" t="s">
        <v>136</v>
      </c>
      <c r="O22" s="279" t="str">
        <f>IF(F22="","",IF(OR(N22="P",N22="RP"),"--","NO"))</f>
        <v>NO</v>
      </c>
      <c r="P22" s="363">
        <f aca="true" t="shared" si="3" ref="P22:P41">IF(H22=220,$H$14,IF(AND(H22&lt;=132,H22&gt;=66),$H$15,IF(AND(H22&lt;66,H22&gt;13.2),$H$16,$H$17)))</f>
        <v>50</v>
      </c>
      <c r="Q22" s="364" t="str">
        <f aca="true" t="shared" si="4" ref="Q22:Q41">IF(N22="P",I22*P22*ROUND(M22/60,2)*0.1,"--")</f>
        <v>--</v>
      </c>
      <c r="R22" s="365">
        <f aca="true" t="shared" si="5" ref="R22:R41">IF(AND(N22="F",O22="NO"),I22*P22,"--")</f>
        <v>847.1500000000001</v>
      </c>
      <c r="S22" s="366">
        <f aca="true" t="shared" si="6" ref="S22:S41">IF(N22="F",I22*P22*ROUND(M22/60,2),"--")</f>
        <v>25.4145</v>
      </c>
      <c r="T22" s="367" t="str">
        <f aca="true" t="shared" si="7" ref="T22:T41">IF(N22="RF",I22*P22*ROUND(M22/60,2),"--")</f>
        <v>--</v>
      </c>
      <c r="U22" s="368" t="s">
        <v>137</v>
      </c>
      <c r="V22" s="371">
        <f aca="true" t="shared" si="8" ref="V22:V41">IF(F22="","",SUM(Q22:T22)*IF(U22="SI",1,2)*IF(H22="500/220",0,1))</f>
        <v>872.5645000000001</v>
      </c>
      <c r="W22" s="290"/>
    </row>
    <row r="23" spans="2:23" s="10" customFormat="1" ht="16.5" customHeight="1">
      <c r="B23" s="44"/>
      <c r="C23" s="271">
        <v>9</v>
      </c>
      <c r="D23" s="269">
        <v>268491</v>
      </c>
      <c r="E23" s="269">
        <v>893</v>
      </c>
      <c r="F23" s="357" t="s">
        <v>138</v>
      </c>
      <c r="G23" s="357" t="s">
        <v>152</v>
      </c>
      <c r="H23" s="358">
        <v>66</v>
      </c>
      <c r="I23" s="359">
        <f t="shared" si="0"/>
        <v>16.943</v>
      </c>
      <c r="J23" s="360">
        <v>41615.71319444444</v>
      </c>
      <c r="K23" s="361">
        <v>41615.714583333334</v>
      </c>
      <c r="L23" s="277">
        <f t="shared" si="1"/>
        <v>0.033333333441987634</v>
      </c>
      <c r="M23" s="362">
        <f t="shared" si="2"/>
        <v>2</v>
      </c>
      <c r="N23" s="279" t="s">
        <v>136</v>
      </c>
      <c r="O23" s="279" t="str">
        <f aca="true" t="shared" si="9" ref="O23:O41">IF(F23="","",IF(OR(N23="P",N23="RP"),"--","NO"))</f>
        <v>NO</v>
      </c>
      <c r="P23" s="363">
        <f t="shared" si="3"/>
        <v>50</v>
      </c>
      <c r="Q23" s="364" t="str">
        <f t="shared" si="4"/>
        <v>--</v>
      </c>
      <c r="R23" s="365">
        <f t="shared" si="5"/>
        <v>847.1500000000001</v>
      </c>
      <c r="S23" s="366">
        <f t="shared" si="6"/>
        <v>25.4145</v>
      </c>
      <c r="T23" s="367" t="str">
        <f t="shared" si="7"/>
        <v>--</v>
      </c>
      <c r="U23" s="368" t="s">
        <v>137</v>
      </c>
      <c r="V23" s="371">
        <f t="shared" si="8"/>
        <v>872.5645000000001</v>
      </c>
      <c r="W23" s="290"/>
    </row>
    <row r="24" spans="2:23" s="10" customFormat="1" ht="16.5" customHeight="1">
      <c r="B24" s="44"/>
      <c r="C24" s="271">
        <v>10</v>
      </c>
      <c r="D24" s="269">
        <v>268492</v>
      </c>
      <c r="E24" s="269">
        <v>894</v>
      </c>
      <c r="F24" s="357" t="s">
        <v>138</v>
      </c>
      <c r="G24" s="357" t="s">
        <v>142</v>
      </c>
      <c r="H24" s="358">
        <v>66</v>
      </c>
      <c r="I24" s="359">
        <f t="shared" si="0"/>
        <v>16.943</v>
      </c>
      <c r="J24" s="360">
        <v>41615.71319444444</v>
      </c>
      <c r="K24" s="361">
        <v>41615.71527777778</v>
      </c>
      <c r="L24" s="277">
        <f t="shared" si="1"/>
        <v>0.05000000016298145</v>
      </c>
      <c r="M24" s="362">
        <f t="shared" si="2"/>
        <v>3</v>
      </c>
      <c r="N24" s="279" t="s">
        <v>136</v>
      </c>
      <c r="O24" s="279" t="str">
        <f t="shared" si="9"/>
        <v>NO</v>
      </c>
      <c r="P24" s="363">
        <f t="shared" si="3"/>
        <v>50</v>
      </c>
      <c r="Q24" s="364" t="str">
        <f t="shared" si="4"/>
        <v>--</v>
      </c>
      <c r="R24" s="365">
        <f t="shared" si="5"/>
        <v>847.1500000000001</v>
      </c>
      <c r="S24" s="366">
        <f t="shared" si="6"/>
        <v>42.35750000000001</v>
      </c>
      <c r="T24" s="367" t="str">
        <f t="shared" si="7"/>
        <v>--</v>
      </c>
      <c r="U24" s="368" t="s">
        <v>137</v>
      </c>
      <c r="V24" s="371">
        <f t="shared" si="8"/>
        <v>889.5075</v>
      </c>
      <c r="W24" s="290"/>
    </row>
    <row r="25" spans="2:23" s="10" customFormat="1" ht="16.5" customHeight="1">
      <c r="B25" s="44"/>
      <c r="C25" s="271">
        <v>11</v>
      </c>
      <c r="D25" s="269">
        <v>268493</v>
      </c>
      <c r="E25" s="269">
        <v>895</v>
      </c>
      <c r="F25" s="357" t="s">
        <v>138</v>
      </c>
      <c r="G25" s="357" t="s">
        <v>143</v>
      </c>
      <c r="H25" s="358">
        <v>66</v>
      </c>
      <c r="I25" s="359">
        <f t="shared" si="0"/>
        <v>16.943</v>
      </c>
      <c r="J25" s="360">
        <v>41615.71319444444</v>
      </c>
      <c r="K25" s="361">
        <v>41615.71527777778</v>
      </c>
      <c r="L25" s="277">
        <f t="shared" si="1"/>
        <v>0.05000000016298145</v>
      </c>
      <c r="M25" s="362">
        <f t="shared" si="2"/>
        <v>3</v>
      </c>
      <c r="N25" s="279" t="s">
        <v>136</v>
      </c>
      <c r="O25" s="279" t="str">
        <f t="shared" si="9"/>
        <v>NO</v>
      </c>
      <c r="P25" s="363">
        <f t="shared" si="3"/>
        <v>50</v>
      </c>
      <c r="Q25" s="364" t="str">
        <f t="shared" si="4"/>
        <v>--</v>
      </c>
      <c r="R25" s="365">
        <f t="shared" si="5"/>
        <v>847.1500000000001</v>
      </c>
      <c r="S25" s="366">
        <f t="shared" si="6"/>
        <v>42.35750000000001</v>
      </c>
      <c r="T25" s="367" t="str">
        <f t="shared" si="7"/>
        <v>--</v>
      </c>
      <c r="U25" s="368" t="s">
        <v>137</v>
      </c>
      <c r="V25" s="371">
        <f t="shared" si="8"/>
        <v>889.5075</v>
      </c>
      <c r="W25" s="290"/>
    </row>
    <row r="26" spans="2:23" s="10" customFormat="1" ht="16.5" customHeight="1">
      <c r="B26" s="44"/>
      <c r="C26" s="271">
        <v>12</v>
      </c>
      <c r="D26" s="269">
        <v>268494</v>
      </c>
      <c r="E26" s="269">
        <v>897</v>
      </c>
      <c r="F26" s="357" t="s">
        <v>138</v>
      </c>
      <c r="G26" s="357" t="s">
        <v>144</v>
      </c>
      <c r="H26" s="358">
        <v>66</v>
      </c>
      <c r="I26" s="359">
        <f t="shared" si="0"/>
        <v>16.943</v>
      </c>
      <c r="J26" s="360">
        <v>41615.71319444444</v>
      </c>
      <c r="K26" s="361">
        <v>41615.71527777778</v>
      </c>
      <c r="L26" s="277">
        <f t="shared" si="1"/>
        <v>0.05000000016298145</v>
      </c>
      <c r="M26" s="362">
        <f t="shared" si="2"/>
        <v>3</v>
      </c>
      <c r="N26" s="279" t="s">
        <v>136</v>
      </c>
      <c r="O26" s="279" t="str">
        <f t="shared" si="9"/>
        <v>NO</v>
      </c>
      <c r="P26" s="363">
        <f t="shared" si="3"/>
        <v>50</v>
      </c>
      <c r="Q26" s="364" t="str">
        <f t="shared" si="4"/>
        <v>--</v>
      </c>
      <c r="R26" s="365">
        <f t="shared" si="5"/>
        <v>847.1500000000001</v>
      </c>
      <c r="S26" s="366">
        <f t="shared" si="6"/>
        <v>42.35750000000001</v>
      </c>
      <c r="T26" s="367" t="str">
        <f t="shared" si="7"/>
        <v>--</v>
      </c>
      <c r="U26" s="368" t="s">
        <v>137</v>
      </c>
      <c r="V26" s="371">
        <f t="shared" si="8"/>
        <v>889.5075</v>
      </c>
      <c r="W26" s="290"/>
    </row>
    <row r="27" spans="2:23" s="10" customFormat="1" ht="16.5" customHeight="1">
      <c r="B27" s="44"/>
      <c r="C27" s="271">
        <v>13</v>
      </c>
      <c r="D27" s="269">
        <v>268895</v>
      </c>
      <c r="E27" s="269">
        <v>887</v>
      </c>
      <c r="F27" s="357" t="s">
        <v>145</v>
      </c>
      <c r="G27" s="357" t="s">
        <v>146</v>
      </c>
      <c r="H27" s="358">
        <v>66</v>
      </c>
      <c r="I27" s="359">
        <f t="shared" si="0"/>
        <v>16.943</v>
      </c>
      <c r="J27" s="360">
        <v>41620.65416666667</v>
      </c>
      <c r="K27" s="361">
        <v>41620.70277777778</v>
      </c>
      <c r="L27" s="277">
        <f t="shared" si="1"/>
        <v>1.1666666666278616</v>
      </c>
      <c r="M27" s="362">
        <f t="shared" si="2"/>
        <v>70</v>
      </c>
      <c r="N27" s="279" t="s">
        <v>132</v>
      </c>
      <c r="O27" s="279" t="str">
        <f t="shared" si="9"/>
        <v>--</v>
      </c>
      <c r="P27" s="363">
        <f t="shared" si="3"/>
        <v>50</v>
      </c>
      <c r="Q27" s="364">
        <f t="shared" si="4"/>
        <v>99.11655000000002</v>
      </c>
      <c r="R27" s="365" t="str">
        <f t="shared" si="5"/>
        <v>--</v>
      </c>
      <c r="S27" s="366" t="str">
        <f t="shared" si="6"/>
        <v>--</v>
      </c>
      <c r="T27" s="367" t="str">
        <f t="shared" si="7"/>
        <v>--</v>
      </c>
      <c r="U27" s="368" t="s">
        <v>137</v>
      </c>
      <c r="V27" s="371">
        <f t="shared" si="8"/>
        <v>99.11655000000002</v>
      </c>
      <c r="W27" s="290"/>
    </row>
    <row r="28" spans="2:23" s="10" customFormat="1" ht="16.5" customHeight="1">
      <c r="B28" s="44"/>
      <c r="C28" s="271">
        <v>14</v>
      </c>
      <c r="D28" s="269">
        <v>268897</v>
      </c>
      <c r="E28" s="269">
        <v>891</v>
      </c>
      <c r="F28" s="357" t="s">
        <v>138</v>
      </c>
      <c r="G28" s="357" t="s">
        <v>147</v>
      </c>
      <c r="H28" s="358">
        <v>132</v>
      </c>
      <c r="I28" s="359">
        <f t="shared" si="0"/>
        <v>16.943</v>
      </c>
      <c r="J28" s="360">
        <v>41623.336805555555</v>
      </c>
      <c r="K28" s="361">
        <v>41623.825694444444</v>
      </c>
      <c r="L28" s="277">
        <f t="shared" si="1"/>
        <v>11.733333333337214</v>
      </c>
      <c r="M28" s="362">
        <f t="shared" si="2"/>
        <v>704</v>
      </c>
      <c r="N28" s="279" t="s">
        <v>132</v>
      </c>
      <c r="O28" s="279" t="str">
        <f t="shared" si="9"/>
        <v>--</v>
      </c>
      <c r="P28" s="363">
        <f t="shared" si="3"/>
        <v>50</v>
      </c>
      <c r="Q28" s="364">
        <f t="shared" si="4"/>
        <v>993.7069500000002</v>
      </c>
      <c r="R28" s="365" t="str">
        <f t="shared" si="5"/>
        <v>--</v>
      </c>
      <c r="S28" s="366" t="str">
        <f t="shared" si="6"/>
        <v>--</v>
      </c>
      <c r="T28" s="367" t="str">
        <f t="shared" si="7"/>
        <v>--</v>
      </c>
      <c r="U28" s="368" t="s">
        <v>137</v>
      </c>
      <c r="V28" s="371">
        <f t="shared" si="8"/>
        <v>993.7069500000002</v>
      </c>
      <c r="W28" s="290"/>
    </row>
    <row r="29" spans="2:23" s="10" customFormat="1" ht="16.5" customHeight="1">
      <c r="B29" s="44"/>
      <c r="C29" s="271">
        <v>15</v>
      </c>
      <c r="D29" s="269">
        <v>269394</v>
      </c>
      <c r="E29" s="269">
        <v>902</v>
      </c>
      <c r="F29" s="357" t="s">
        <v>138</v>
      </c>
      <c r="G29" s="357" t="s">
        <v>148</v>
      </c>
      <c r="H29" s="358">
        <v>13.199999809265137</v>
      </c>
      <c r="I29" s="359">
        <f t="shared" si="0"/>
        <v>12.711</v>
      </c>
      <c r="J29" s="360">
        <v>41635.39236111111</v>
      </c>
      <c r="K29" s="361">
        <v>41635.518055555556</v>
      </c>
      <c r="L29" s="277">
        <f t="shared" si="1"/>
        <v>3.016666666720994</v>
      </c>
      <c r="M29" s="362">
        <f t="shared" si="2"/>
        <v>181</v>
      </c>
      <c r="N29" s="279" t="s">
        <v>132</v>
      </c>
      <c r="O29" s="279" t="str">
        <f t="shared" si="9"/>
        <v>--</v>
      </c>
      <c r="P29" s="363">
        <f t="shared" si="3"/>
        <v>20</v>
      </c>
      <c r="Q29" s="364">
        <f t="shared" si="4"/>
        <v>76.77444000000001</v>
      </c>
      <c r="R29" s="365" t="str">
        <f t="shared" si="5"/>
        <v>--</v>
      </c>
      <c r="S29" s="366" t="str">
        <f t="shared" si="6"/>
        <v>--</v>
      </c>
      <c r="T29" s="367" t="str">
        <f t="shared" si="7"/>
        <v>--</v>
      </c>
      <c r="U29" s="368" t="s">
        <v>137</v>
      </c>
      <c r="V29" s="371">
        <f t="shared" si="8"/>
        <v>76.77444000000001</v>
      </c>
      <c r="W29" s="290"/>
    </row>
    <row r="30" spans="2:23" s="10" customFormat="1" ht="16.5" customHeight="1">
      <c r="B30" s="44"/>
      <c r="C30" s="271"/>
      <c r="D30" s="269"/>
      <c r="E30" s="269"/>
      <c r="F30" s="357"/>
      <c r="G30" s="357"/>
      <c r="H30" s="358"/>
      <c r="I30" s="359">
        <f t="shared" si="0"/>
        <v>12.711</v>
      </c>
      <c r="J30" s="360"/>
      <c r="K30" s="361"/>
      <c r="L30" s="277">
        <f t="shared" si="1"/>
      </c>
      <c r="M30" s="362">
        <f t="shared" si="2"/>
      </c>
      <c r="N30" s="279"/>
      <c r="O30" s="279">
        <f t="shared" si="9"/>
      </c>
      <c r="P30" s="363">
        <f t="shared" si="3"/>
        <v>20</v>
      </c>
      <c r="Q30" s="364" t="str">
        <f t="shared" si="4"/>
        <v>--</v>
      </c>
      <c r="R30" s="365" t="str">
        <f t="shared" si="5"/>
        <v>--</v>
      </c>
      <c r="S30" s="366" t="str">
        <f t="shared" si="6"/>
        <v>--</v>
      </c>
      <c r="T30" s="367" t="str">
        <f t="shared" si="7"/>
        <v>--</v>
      </c>
      <c r="U30" s="368">
        <f aca="true" t="shared" si="10" ref="U30:U41">IF(F30="","","SI")</f>
      </c>
      <c r="V30" s="371">
        <f t="shared" si="8"/>
      </c>
      <c r="W30" s="290"/>
    </row>
    <row r="31" spans="2:23" s="10" customFormat="1" ht="16.5" customHeight="1">
      <c r="B31" s="44"/>
      <c r="C31" s="271"/>
      <c r="D31" s="269"/>
      <c r="E31" s="269"/>
      <c r="F31" s="357"/>
      <c r="G31" s="357"/>
      <c r="H31" s="358"/>
      <c r="I31" s="359">
        <f t="shared" si="0"/>
        <v>12.711</v>
      </c>
      <c r="J31" s="360"/>
      <c r="K31" s="361"/>
      <c r="L31" s="277">
        <f t="shared" si="1"/>
      </c>
      <c r="M31" s="362">
        <f t="shared" si="2"/>
      </c>
      <c r="N31" s="279"/>
      <c r="O31" s="279">
        <f t="shared" si="9"/>
      </c>
      <c r="P31" s="363">
        <f t="shared" si="3"/>
        <v>20</v>
      </c>
      <c r="Q31" s="364" t="str">
        <f t="shared" si="4"/>
        <v>--</v>
      </c>
      <c r="R31" s="365" t="str">
        <f t="shared" si="5"/>
        <v>--</v>
      </c>
      <c r="S31" s="366" t="str">
        <f t="shared" si="6"/>
        <v>--</v>
      </c>
      <c r="T31" s="367" t="str">
        <f t="shared" si="7"/>
        <v>--</v>
      </c>
      <c r="U31" s="368">
        <f t="shared" si="10"/>
      </c>
      <c r="V31" s="371">
        <f t="shared" si="8"/>
      </c>
      <c r="W31" s="290"/>
    </row>
    <row r="32" spans="2:23" s="10" customFormat="1" ht="16.5" customHeight="1">
      <c r="B32" s="44"/>
      <c r="C32" s="271"/>
      <c r="D32" s="269"/>
      <c r="E32" s="269"/>
      <c r="F32" s="357"/>
      <c r="G32" s="357"/>
      <c r="H32" s="358"/>
      <c r="I32" s="359">
        <f t="shared" si="0"/>
        <v>12.711</v>
      </c>
      <c r="J32" s="360"/>
      <c r="K32" s="361"/>
      <c r="L32" s="277">
        <f t="shared" si="1"/>
      </c>
      <c r="M32" s="362">
        <f t="shared" si="2"/>
      </c>
      <c r="N32" s="279"/>
      <c r="O32" s="279">
        <f t="shared" si="9"/>
      </c>
      <c r="P32" s="363">
        <f t="shared" si="3"/>
        <v>20</v>
      </c>
      <c r="Q32" s="364" t="str">
        <f t="shared" si="4"/>
        <v>--</v>
      </c>
      <c r="R32" s="365" t="str">
        <f t="shared" si="5"/>
        <v>--</v>
      </c>
      <c r="S32" s="366" t="str">
        <f t="shared" si="6"/>
        <v>--</v>
      </c>
      <c r="T32" s="367" t="str">
        <f t="shared" si="7"/>
        <v>--</v>
      </c>
      <c r="U32" s="368">
        <f t="shared" si="10"/>
      </c>
      <c r="V32" s="371">
        <f t="shared" si="8"/>
      </c>
      <c r="W32" s="290"/>
    </row>
    <row r="33" spans="2:23" s="10" customFormat="1" ht="16.5" customHeight="1">
      <c r="B33" s="44"/>
      <c r="C33" s="271"/>
      <c r="D33" s="269"/>
      <c r="E33" s="269"/>
      <c r="F33" s="357"/>
      <c r="G33" s="357"/>
      <c r="H33" s="358"/>
      <c r="I33" s="359">
        <f t="shared" si="0"/>
        <v>12.711</v>
      </c>
      <c r="J33" s="360"/>
      <c r="K33" s="361"/>
      <c r="L33" s="277">
        <f t="shared" si="1"/>
      </c>
      <c r="M33" s="362">
        <f t="shared" si="2"/>
      </c>
      <c r="N33" s="279"/>
      <c r="O33" s="279">
        <f t="shared" si="9"/>
      </c>
      <c r="P33" s="363">
        <f t="shared" si="3"/>
        <v>20</v>
      </c>
      <c r="Q33" s="364" t="str">
        <f t="shared" si="4"/>
        <v>--</v>
      </c>
      <c r="R33" s="365" t="str">
        <f t="shared" si="5"/>
        <v>--</v>
      </c>
      <c r="S33" s="366" t="str">
        <f t="shared" si="6"/>
        <v>--</v>
      </c>
      <c r="T33" s="367" t="str">
        <f t="shared" si="7"/>
        <v>--</v>
      </c>
      <c r="U33" s="368">
        <f t="shared" si="10"/>
      </c>
      <c r="V33" s="371">
        <f t="shared" si="8"/>
      </c>
      <c r="W33" s="290"/>
    </row>
    <row r="34" spans="2:23" s="10" customFormat="1" ht="16.5" customHeight="1">
      <c r="B34" s="44"/>
      <c r="C34" s="271"/>
      <c r="D34" s="269"/>
      <c r="E34" s="269"/>
      <c r="F34" s="357"/>
      <c r="G34" s="357"/>
      <c r="H34" s="358"/>
      <c r="I34" s="359">
        <f t="shared" si="0"/>
        <v>12.711</v>
      </c>
      <c r="J34" s="360"/>
      <c r="K34" s="361"/>
      <c r="L34" s="277">
        <f t="shared" si="1"/>
      </c>
      <c r="M34" s="362">
        <f t="shared" si="2"/>
      </c>
      <c r="N34" s="279"/>
      <c r="O34" s="279">
        <f t="shared" si="9"/>
      </c>
      <c r="P34" s="363">
        <f t="shared" si="3"/>
        <v>20</v>
      </c>
      <c r="Q34" s="364" t="str">
        <f t="shared" si="4"/>
        <v>--</v>
      </c>
      <c r="R34" s="365" t="str">
        <f t="shared" si="5"/>
        <v>--</v>
      </c>
      <c r="S34" s="366" t="str">
        <f t="shared" si="6"/>
        <v>--</v>
      </c>
      <c r="T34" s="367" t="str">
        <f t="shared" si="7"/>
        <v>--</v>
      </c>
      <c r="U34" s="368">
        <f t="shared" si="10"/>
      </c>
      <c r="V34" s="371">
        <f t="shared" si="8"/>
      </c>
      <c r="W34" s="290"/>
    </row>
    <row r="35" spans="2:23" s="10" customFormat="1" ht="16.5" customHeight="1">
      <c r="B35" s="44"/>
      <c r="C35" s="271"/>
      <c r="D35" s="269"/>
      <c r="E35" s="269"/>
      <c r="F35" s="357"/>
      <c r="G35" s="357"/>
      <c r="H35" s="358"/>
      <c r="I35" s="359">
        <f t="shared" si="0"/>
        <v>12.711</v>
      </c>
      <c r="J35" s="360"/>
      <c r="K35" s="361"/>
      <c r="L35" s="277">
        <f t="shared" si="1"/>
      </c>
      <c r="M35" s="362">
        <f t="shared" si="2"/>
      </c>
      <c r="N35" s="279"/>
      <c r="O35" s="279">
        <f t="shared" si="9"/>
      </c>
      <c r="P35" s="363">
        <f t="shared" si="3"/>
        <v>20</v>
      </c>
      <c r="Q35" s="364" t="str">
        <f t="shared" si="4"/>
        <v>--</v>
      </c>
      <c r="R35" s="365" t="str">
        <f t="shared" si="5"/>
        <v>--</v>
      </c>
      <c r="S35" s="366" t="str">
        <f t="shared" si="6"/>
        <v>--</v>
      </c>
      <c r="T35" s="367" t="str">
        <f t="shared" si="7"/>
        <v>--</v>
      </c>
      <c r="U35" s="368">
        <f t="shared" si="10"/>
      </c>
      <c r="V35" s="371">
        <f t="shared" si="8"/>
      </c>
      <c r="W35" s="290"/>
    </row>
    <row r="36" spans="2:23" s="10" customFormat="1" ht="16.5" customHeight="1">
      <c r="B36" s="44"/>
      <c r="C36" s="271"/>
      <c r="D36" s="269"/>
      <c r="E36" s="269"/>
      <c r="F36" s="357"/>
      <c r="G36" s="357"/>
      <c r="H36" s="358"/>
      <c r="I36" s="359">
        <f t="shared" si="0"/>
        <v>12.711</v>
      </c>
      <c r="J36" s="360"/>
      <c r="K36" s="361"/>
      <c r="L36" s="277">
        <f t="shared" si="1"/>
      </c>
      <c r="M36" s="362">
        <f t="shared" si="2"/>
      </c>
      <c r="N36" s="279"/>
      <c r="O36" s="279">
        <f t="shared" si="9"/>
      </c>
      <c r="P36" s="363">
        <f t="shared" si="3"/>
        <v>20</v>
      </c>
      <c r="Q36" s="364" t="str">
        <f t="shared" si="4"/>
        <v>--</v>
      </c>
      <c r="R36" s="365" t="str">
        <f t="shared" si="5"/>
        <v>--</v>
      </c>
      <c r="S36" s="366" t="str">
        <f t="shared" si="6"/>
        <v>--</v>
      </c>
      <c r="T36" s="367" t="str">
        <f t="shared" si="7"/>
        <v>--</v>
      </c>
      <c r="U36" s="368">
        <f t="shared" si="10"/>
      </c>
      <c r="V36" s="371">
        <f t="shared" si="8"/>
      </c>
      <c r="W36" s="290"/>
    </row>
    <row r="37" spans="2:23" s="10" customFormat="1" ht="16.5" customHeight="1">
      <c r="B37" s="44"/>
      <c r="C37" s="271"/>
      <c r="D37" s="269"/>
      <c r="E37" s="269"/>
      <c r="F37" s="357"/>
      <c r="G37" s="357"/>
      <c r="H37" s="358"/>
      <c r="I37" s="359">
        <f t="shared" si="0"/>
        <v>12.711</v>
      </c>
      <c r="J37" s="360"/>
      <c r="K37" s="361"/>
      <c r="L37" s="277">
        <f t="shared" si="1"/>
      </c>
      <c r="M37" s="362">
        <f t="shared" si="2"/>
      </c>
      <c r="N37" s="279"/>
      <c r="O37" s="279">
        <f t="shared" si="9"/>
      </c>
      <c r="P37" s="363">
        <f t="shared" si="3"/>
        <v>20</v>
      </c>
      <c r="Q37" s="364" t="str">
        <f t="shared" si="4"/>
        <v>--</v>
      </c>
      <c r="R37" s="365" t="str">
        <f t="shared" si="5"/>
        <v>--</v>
      </c>
      <c r="S37" s="366" t="str">
        <f t="shared" si="6"/>
        <v>--</v>
      </c>
      <c r="T37" s="367" t="str">
        <f t="shared" si="7"/>
        <v>--</v>
      </c>
      <c r="U37" s="368">
        <f t="shared" si="10"/>
      </c>
      <c r="V37" s="371">
        <f t="shared" si="8"/>
      </c>
      <c r="W37" s="290"/>
    </row>
    <row r="38" spans="2:23" s="10" customFormat="1" ht="16.5" customHeight="1">
      <c r="B38" s="44"/>
      <c r="C38" s="271"/>
      <c r="D38" s="269"/>
      <c r="E38" s="269"/>
      <c r="F38" s="357"/>
      <c r="G38" s="357"/>
      <c r="H38" s="358"/>
      <c r="I38" s="359">
        <f t="shared" si="0"/>
        <v>12.711</v>
      </c>
      <c r="J38" s="360"/>
      <c r="K38" s="361"/>
      <c r="L38" s="277">
        <f t="shared" si="1"/>
      </c>
      <c r="M38" s="362">
        <f t="shared" si="2"/>
      </c>
      <c r="N38" s="279"/>
      <c r="O38" s="279">
        <f t="shared" si="9"/>
      </c>
      <c r="P38" s="363">
        <f t="shared" si="3"/>
        <v>20</v>
      </c>
      <c r="Q38" s="364" t="str">
        <f t="shared" si="4"/>
        <v>--</v>
      </c>
      <c r="R38" s="365" t="str">
        <f t="shared" si="5"/>
        <v>--</v>
      </c>
      <c r="S38" s="366" t="str">
        <f t="shared" si="6"/>
        <v>--</v>
      </c>
      <c r="T38" s="367" t="str">
        <f t="shared" si="7"/>
        <v>--</v>
      </c>
      <c r="U38" s="368">
        <f t="shared" si="10"/>
      </c>
      <c r="V38" s="371">
        <f t="shared" si="8"/>
      </c>
      <c r="W38" s="290"/>
    </row>
    <row r="39" spans="2:23" s="10" customFormat="1" ht="16.5" customHeight="1">
      <c r="B39" s="44"/>
      <c r="C39" s="271"/>
      <c r="D39" s="269"/>
      <c r="E39" s="269"/>
      <c r="F39" s="357"/>
      <c r="G39" s="357"/>
      <c r="H39" s="358"/>
      <c r="I39" s="359">
        <f t="shared" si="0"/>
        <v>12.711</v>
      </c>
      <c r="J39" s="360"/>
      <c r="K39" s="361"/>
      <c r="L39" s="277">
        <f t="shared" si="1"/>
      </c>
      <c r="M39" s="362">
        <f t="shared" si="2"/>
      </c>
      <c r="N39" s="279"/>
      <c r="O39" s="279">
        <f t="shared" si="9"/>
      </c>
      <c r="P39" s="363">
        <f t="shared" si="3"/>
        <v>20</v>
      </c>
      <c r="Q39" s="364" t="str">
        <f t="shared" si="4"/>
        <v>--</v>
      </c>
      <c r="R39" s="365" t="str">
        <f t="shared" si="5"/>
        <v>--</v>
      </c>
      <c r="S39" s="366" t="str">
        <f t="shared" si="6"/>
        <v>--</v>
      </c>
      <c r="T39" s="367" t="str">
        <f t="shared" si="7"/>
        <v>--</v>
      </c>
      <c r="U39" s="368">
        <f t="shared" si="10"/>
      </c>
      <c r="V39" s="371">
        <f t="shared" si="8"/>
      </c>
      <c r="W39" s="290"/>
    </row>
    <row r="40" spans="2:23" s="10" customFormat="1" ht="16.5" customHeight="1">
      <c r="B40" s="44"/>
      <c r="C40" s="271"/>
      <c r="D40" s="269"/>
      <c r="E40" s="269"/>
      <c r="F40" s="357"/>
      <c r="G40" s="357"/>
      <c r="H40" s="358"/>
      <c r="I40" s="359">
        <f t="shared" si="0"/>
        <v>12.711</v>
      </c>
      <c r="J40" s="360"/>
      <c r="K40" s="361"/>
      <c r="L40" s="277">
        <f t="shared" si="1"/>
      </c>
      <c r="M40" s="362">
        <f t="shared" si="2"/>
      </c>
      <c r="N40" s="279"/>
      <c r="O40" s="279">
        <f t="shared" si="9"/>
      </c>
      <c r="P40" s="363">
        <f t="shared" si="3"/>
        <v>20</v>
      </c>
      <c r="Q40" s="364" t="str">
        <f t="shared" si="4"/>
        <v>--</v>
      </c>
      <c r="R40" s="365" t="str">
        <f t="shared" si="5"/>
        <v>--</v>
      </c>
      <c r="S40" s="366" t="str">
        <f t="shared" si="6"/>
        <v>--</v>
      </c>
      <c r="T40" s="367" t="str">
        <f t="shared" si="7"/>
        <v>--</v>
      </c>
      <c r="U40" s="368">
        <f t="shared" si="10"/>
      </c>
      <c r="V40" s="371">
        <f t="shared" si="8"/>
      </c>
      <c r="W40" s="290"/>
    </row>
    <row r="41" spans="2:23" s="10" customFormat="1" ht="16.5" customHeight="1">
      <c r="B41" s="44"/>
      <c r="C41" s="271"/>
      <c r="D41" s="269"/>
      <c r="E41" s="269"/>
      <c r="F41" s="357"/>
      <c r="G41" s="357"/>
      <c r="H41" s="358"/>
      <c r="I41" s="359">
        <f t="shared" si="0"/>
        <v>12.711</v>
      </c>
      <c r="J41" s="360"/>
      <c r="K41" s="361"/>
      <c r="L41" s="277">
        <f t="shared" si="1"/>
      </c>
      <c r="M41" s="362">
        <f t="shared" si="2"/>
      </c>
      <c r="N41" s="279"/>
      <c r="O41" s="279">
        <f t="shared" si="9"/>
      </c>
      <c r="P41" s="363">
        <f t="shared" si="3"/>
        <v>20</v>
      </c>
      <c r="Q41" s="364" t="str">
        <f t="shared" si="4"/>
        <v>--</v>
      </c>
      <c r="R41" s="365" t="str">
        <f t="shared" si="5"/>
        <v>--</v>
      </c>
      <c r="S41" s="366" t="str">
        <f t="shared" si="6"/>
        <v>--</v>
      </c>
      <c r="T41" s="367" t="str">
        <f t="shared" si="7"/>
        <v>--</v>
      </c>
      <c r="U41" s="368">
        <f t="shared" si="10"/>
      </c>
      <c r="V41" s="371">
        <f t="shared" si="8"/>
      </c>
      <c r="W41" s="290"/>
    </row>
    <row r="42" spans="2:23" s="10" customFormat="1" ht="16.5" customHeight="1" thickBot="1">
      <c r="B42" s="44"/>
      <c r="C42" s="291"/>
      <c r="D42" s="291"/>
      <c r="E42" s="291"/>
      <c r="F42" s="291"/>
      <c r="G42" s="291"/>
      <c r="H42" s="291"/>
      <c r="I42" s="372"/>
      <c r="J42" s="291"/>
      <c r="K42" s="291"/>
      <c r="L42" s="291"/>
      <c r="M42" s="291"/>
      <c r="N42" s="291"/>
      <c r="O42" s="291"/>
      <c r="P42" s="373"/>
      <c r="Q42" s="374"/>
      <c r="R42" s="375"/>
      <c r="S42" s="376"/>
      <c r="T42" s="377"/>
      <c r="U42" s="291"/>
      <c r="V42" s="378"/>
      <c r="W42" s="290"/>
    </row>
    <row r="43" spans="2:23" s="10" customFormat="1" ht="16.5" customHeight="1" thickBot="1" thickTop="1">
      <c r="B43" s="44"/>
      <c r="C43" s="172" t="s">
        <v>73</v>
      </c>
      <c r="D43" s="410" t="s">
        <v>150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79">
        <f>SUM(Q20:Q42)</f>
        <v>1169.59794</v>
      </c>
      <c r="R43" s="380">
        <f>SUM(R20:R42)</f>
        <v>4235.75</v>
      </c>
      <c r="S43" s="380">
        <f>SUM(S20:S42)</f>
        <v>177.90150000000003</v>
      </c>
      <c r="T43" s="381">
        <f>SUM(T20:T42)</f>
        <v>0</v>
      </c>
      <c r="U43" s="382"/>
      <c r="V43" s="383">
        <f>ROUND(SUM(V20:V42),2)</f>
        <v>5583.25</v>
      </c>
      <c r="W43" s="290"/>
    </row>
    <row r="44" spans="2:23" s="185" customFormat="1" ht="9.75" thickTop="1">
      <c r="B44" s="186"/>
      <c r="C44" s="187"/>
      <c r="D44" s="187"/>
      <c r="E44" s="187"/>
      <c r="F44" s="188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4"/>
      <c r="V44" s="384"/>
      <c r="W44" s="316"/>
    </row>
    <row r="45" spans="2:23" s="10" customFormat="1" ht="16.5" customHeight="1" thickBot="1">
      <c r="B45" s="19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9"/>
    </row>
    <row r="46" spans="2:23" ht="16.5" customHeight="1" thickTop="1"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</row>
    <row r="47" spans="3:6" ht="16.5" customHeight="1">
      <c r="C47" s="385"/>
      <c r="D47" s="385"/>
      <c r="E47" s="385"/>
      <c r="F47" s="385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1968503937007874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">
      <selection activeCell="Z26" sqref="Z26"/>
    </sheetView>
  </sheetViews>
  <sheetFormatPr defaultColWidth="11.421875" defaultRowHeight="12.75"/>
  <cols>
    <col min="1" max="1" width="22.7109375" style="411" customWidth="1"/>
    <col min="2" max="2" width="15.7109375" style="411" customWidth="1"/>
    <col min="3" max="3" width="5.7109375" style="411" customWidth="1"/>
    <col min="4" max="4" width="56.421875" style="411" customWidth="1"/>
    <col min="5" max="5" width="10.421875" style="411" customWidth="1"/>
    <col min="6" max="6" width="14.140625" style="411" customWidth="1"/>
    <col min="7" max="7" width="11.7109375" style="411" customWidth="1"/>
    <col min="8" max="8" width="12.57421875" style="411" customWidth="1"/>
    <col min="9" max="10" width="10.7109375" style="411" customWidth="1"/>
    <col min="11" max="11" width="14.28125" style="411" customWidth="1"/>
    <col min="12" max="12" width="10.7109375" style="411" customWidth="1"/>
    <col min="13" max="13" width="11.421875" style="411" customWidth="1"/>
    <col min="14" max="19" width="10.7109375" style="411" customWidth="1"/>
    <col min="20" max="20" width="15.7109375" style="411" customWidth="1"/>
    <col min="21" max="16384" width="11.421875" style="411" customWidth="1"/>
  </cols>
  <sheetData>
    <row r="1" ht="38.25" customHeight="1">
      <c r="T1" s="412"/>
    </row>
    <row r="2" spans="2:20" s="413" customFormat="1" ht="40.5" customHeight="1">
      <c r="B2" s="414" t="str">
        <f>'TOT-1213'!B2</f>
        <v>ANEXO I al Memorandum D.T.E.E. N° 798 / 2014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</row>
    <row r="3" spans="1:2" s="417" customFormat="1" ht="11.25" customHeight="1">
      <c r="A3" s="415" t="s">
        <v>3</v>
      </c>
      <c r="B3" s="416"/>
    </row>
    <row r="4" spans="1:4" s="417" customFormat="1" ht="11.25" customHeight="1">
      <c r="A4" s="415" t="s">
        <v>4</v>
      </c>
      <c r="B4" s="416"/>
      <c r="D4" s="418"/>
    </row>
    <row r="5" spans="1:4" ht="10.5" customHeight="1">
      <c r="A5" s="419"/>
      <c r="D5" s="420"/>
    </row>
    <row r="6" spans="1:20" ht="26.25">
      <c r="A6" s="419"/>
      <c r="B6" s="421" t="s">
        <v>156</v>
      </c>
      <c r="C6" s="422"/>
      <c r="D6" s="420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</row>
    <row r="7" spans="1:4" ht="18.75" customHeight="1">
      <c r="A7" s="419"/>
      <c r="D7" s="420"/>
    </row>
    <row r="8" spans="1:20" ht="26.25">
      <c r="A8" s="419"/>
      <c r="B8" s="423" t="s">
        <v>1</v>
      </c>
      <c r="C8" s="422"/>
      <c r="D8" s="420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</row>
    <row r="9" spans="1:4" ht="18.75" customHeight="1">
      <c r="A9" s="419"/>
      <c r="D9" s="420"/>
    </row>
    <row r="10" spans="1:20" ht="26.25">
      <c r="A10" s="419"/>
      <c r="B10" s="423" t="s">
        <v>157</v>
      </c>
      <c r="C10" s="422"/>
      <c r="D10" s="420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</row>
    <row r="11" ht="18.75" customHeight="1" thickBot="1"/>
    <row r="12" spans="2:20" ht="18.75" customHeight="1" thickTop="1">
      <c r="B12" s="424"/>
      <c r="C12" s="425"/>
      <c r="D12" s="426"/>
      <c r="E12" s="426"/>
      <c r="F12" s="426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7"/>
    </row>
    <row r="13" spans="2:20" ht="30" customHeight="1">
      <c r="B13" s="428" t="s">
        <v>165</v>
      </c>
      <c r="C13" s="422"/>
      <c r="D13" s="429"/>
      <c r="E13" s="429"/>
      <c r="F13" s="429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1"/>
    </row>
    <row r="14" spans="2:20" ht="18.75" customHeight="1" thickBot="1">
      <c r="B14" s="432"/>
      <c r="C14" s="433"/>
      <c r="D14" s="434"/>
      <c r="E14" s="434"/>
      <c r="F14" s="435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7"/>
    </row>
    <row r="15" spans="1:20" s="445" customFormat="1" ht="34.5" customHeight="1" thickBot="1" thickTop="1">
      <c r="A15" s="438"/>
      <c r="B15" s="439"/>
      <c r="C15" s="440"/>
      <c r="D15" s="440" t="s">
        <v>158</v>
      </c>
      <c r="E15" s="441" t="s">
        <v>21</v>
      </c>
      <c r="F15" s="442" t="s">
        <v>22</v>
      </c>
      <c r="G15" s="443">
        <f>'[1]Tasa de Falla'!HH15</f>
        <v>41244</v>
      </c>
      <c r="H15" s="443">
        <f>'[1]Tasa de Falla'!HI15</f>
        <v>41275</v>
      </c>
      <c r="I15" s="443">
        <f>'[1]Tasa de Falla'!HJ15</f>
        <v>41306</v>
      </c>
      <c r="J15" s="443">
        <f>'[1]Tasa de Falla'!HK15</f>
        <v>41334</v>
      </c>
      <c r="K15" s="443">
        <f>'[1]Tasa de Falla'!HL15</f>
        <v>41365</v>
      </c>
      <c r="L15" s="443">
        <f>'[1]Tasa de Falla'!HM15</f>
        <v>41395</v>
      </c>
      <c r="M15" s="443">
        <f>'[1]Tasa de Falla'!HN15</f>
        <v>41426</v>
      </c>
      <c r="N15" s="443">
        <f>'[1]Tasa de Falla'!HO15</f>
        <v>41456</v>
      </c>
      <c r="O15" s="443">
        <f>'[1]Tasa de Falla'!HP15</f>
        <v>41487</v>
      </c>
      <c r="P15" s="443">
        <f>'[1]Tasa de Falla'!HQ15</f>
        <v>41518</v>
      </c>
      <c r="Q15" s="443">
        <f>'[1]Tasa de Falla'!HR15</f>
        <v>41548</v>
      </c>
      <c r="R15" s="443">
        <f>'[1]Tasa de Falla'!HS15</f>
        <v>41579</v>
      </c>
      <c r="S15" s="443">
        <f>'[1]Tasa de Falla'!HT15</f>
        <v>41609</v>
      </c>
      <c r="T15" s="444"/>
    </row>
    <row r="16" spans="2:20" s="445" customFormat="1" ht="24.75" customHeight="1" thickTop="1">
      <c r="B16" s="446"/>
      <c r="C16" s="447"/>
      <c r="D16" s="448"/>
      <c r="E16" s="448"/>
      <c r="F16" s="449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50"/>
      <c r="T16" s="444"/>
    </row>
    <row r="17" spans="2:20" s="445" customFormat="1" ht="24.75" customHeight="1">
      <c r="B17" s="446"/>
      <c r="C17" s="451">
        <f>'[1]Tasa de Falla'!C17</f>
        <v>1</v>
      </c>
      <c r="D17" s="452" t="str">
        <f>'[1]Tasa de Falla'!D17</f>
        <v>AGUA DEL TORO - CRUZ DE PIEDRA</v>
      </c>
      <c r="E17" s="452">
        <f>'[1]Tasa de Falla'!E17</f>
        <v>220</v>
      </c>
      <c r="F17" s="453">
        <f>'[1]Tasa de Falla'!F17</f>
        <v>177.9</v>
      </c>
      <c r="G17" s="452">
        <f>IF('[1]Tasa de Falla'!HH17="","",'[1]Tasa de Falla'!HH17)</f>
      </c>
      <c r="H17" s="452">
        <f>IF('[1]Tasa de Falla'!HI17="","",'[1]Tasa de Falla'!HI17)</f>
      </c>
      <c r="I17" s="452">
        <f>IF('[1]Tasa de Falla'!HJ17="","",'[1]Tasa de Falla'!HJ17)</f>
      </c>
      <c r="J17" s="452">
        <f>IF('[1]Tasa de Falla'!HK17="","",'[1]Tasa de Falla'!HK17)</f>
      </c>
      <c r="K17" s="452">
        <f>IF('[1]Tasa de Falla'!HL17="","",'[1]Tasa de Falla'!HL17)</f>
      </c>
      <c r="L17" s="452">
        <f>IF('[1]Tasa de Falla'!HM17="","",'[1]Tasa de Falla'!HM17)</f>
      </c>
      <c r="M17" s="452">
        <f>IF('[1]Tasa de Falla'!HN17="","",'[1]Tasa de Falla'!HN17)</f>
      </c>
      <c r="N17" s="452">
        <f>IF('[1]Tasa de Falla'!HO17="","",'[1]Tasa de Falla'!HO17)</f>
      </c>
      <c r="O17" s="452">
        <f>IF('[1]Tasa de Falla'!HP17="","",'[1]Tasa de Falla'!HP17)</f>
      </c>
      <c r="P17" s="452">
        <f>IF('[1]Tasa de Falla'!HQ17="","",'[1]Tasa de Falla'!HQ17)</f>
      </c>
      <c r="Q17" s="452">
        <f>IF('[1]Tasa de Falla'!HR17="","",'[1]Tasa de Falla'!HR17)</f>
      </c>
      <c r="R17" s="452">
        <f>IF('[1]Tasa de Falla'!HS17="","",'[1]Tasa de Falla'!HS17)</f>
      </c>
      <c r="S17" s="449"/>
      <c r="T17" s="444"/>
    </row>
    <row r="18" spans="2:20" s="445" customFormat="1" ht="24.75" customHeight="1">
      <c r="B18" s="446"/>
      <c r="C18" s="454">
        <f>'[1]Tasa de Falla'!C18</f>
        <v>2</v>
      </c>
      <c r="D18" s="455" t="str">
        <f>'[1]Tasa de Falla'!D18</f>
        <v>AGUA DEL TORO - LOS REYUNOS</v>
      </c>
      <c r="E18" s="455">
        <f>'[1]Tasa de Falla'!E18</f>
        <v>220</v>
      </c>
      <c r="F18" s="456">
        <f>'[1]Tasa de Falla'!F18</f>
        <v>43</v>
      </c>
      <c r="G18" s="452">
        <f>IF('[1]Tasa de Falla'!HH18="","",'[1]Tasa de Falla'!HH18)</f>
      </c>
      <c r="H18" s="452">
        <f>IF('[1]Tasa de Falla'!HI18="","",'[1]Tasa de Falla'!HI18)</f>
      </c>
      <c r="I18" s="452">
        <f>IF('[1]Tasa de Falla'!HJ18="","",'[1]Tasa de Falla'!HJ18)</f>
      </c>
      <c r="J18" s="452">
        <f>IF('[1]Tasa de Falla'!HK18="","",'[1]Tasa de Falla'!HK18)</f>
      </c>
      <c r="K18" s="452">
        <f>IF('[1]Tasa de Falla'!HL18="","",'[1]Tasa de Falla'!HL18)</f>
      </c>
      <c r="L18" s="452">
        <f>IF('[1]Tasa de Falla'!HM18="","",'[1]Tasa de Falla'!HM18)</f>
      </c>
      <c r="M18" s="452">
        <f>IF('[1]Tasa de Falla'!HN18="","",'[1]Tasa de Falla'!HN18)</f>
      </c>
      <c r="N18" s="452">
        <f>IF('[1]Tasa de Falla'!HO18="","",'[1]Tasa de Falla'!HO18)</f>
      </c>
      <c r="O18" s="452">
        <f>IF('[1]Tasa de Falla'!HP18="","",'[1]Tasa de Falla'!HP18)</f>
      </c>
      <c r="P18" s="452">
        <f>IF('[1]Tasa de Falla'!HQ18="","",'[1]Tasa de Falla'!HQ18)</f>
      </c>
      <c r="Q18" s="452">
        <f>IF('[1]Tasa de Falla'!HR18="","",'[1]Tasa de Falla'!HR18)</f>
      </c>
      <c r="R18" s="452">
        <f>IF('[1]Tasa de Falla'!HS18="","",'[1]Tasa de Falla'!HS18)</f>
      </c>
      <c r="S18" s="449"/>
      <c r="T18" s="444"/>
    </row>
    <row r="19" spans="2:20" s="445" customFormat="1" ht="24.75" customHeight="1">
      <c r="B19" s="446"/>
      <c r="C19" s="451">
        <f>'[1]Tasa de Falla'!C19</f>
        <v>3</v>
      </c>
      <c r="D19" s="452" t="str">
        <f>'[1]Tasa de Falla'!D19</f>
        <v>AGUA DEL TORO - NIHUIL II</v>
      </c>
      <c r="E19" s="452">
        <f>'[1]Tasa de Falla'!E19</f>
        <v>220</v>
      </c>
      <c r="F19" s="453">
        <f>'[1]Tasa de Falla'!F19</f>
        <v>53.5</v>
      </c>
      <c r="G19" s="452">
        <f>IF('[1]Tasa de Falla'!HH19="","",'[1]Tasa de Falla'!HH19)</f>
      </c>
      <c r="H19" s="452">
        <f>IF('[1]Tasa de Falla'!HI19="","",'[1]Tasa de Falla'!HI19)</f>
      </c>
      <c r="I19" s="452">
        <f>IF('[1]Tasa de Falla'!HJ19="","",'[1]Tasa de Falla'!HJ19)</f>
      </c>
      <c r="J19" s="452">
        <f>IF('[1]Tasa de Falla'!HK19="","",'[1]Tasa de Falla'!HK19)</f>
      </c>
      <c r="K19" s="452">
        <f>IF('[1]Tasa de Falla'!HL19="","",'[1]Tasa de Falla'!HL19)</f>
      </c>
      <c r="L19" s="452">
        <f>IF('[1]Tasa de Falla'!HM19="","",'[1]Tasa de Falla'!HM19)</f>
      </c>
      <c r="M19" s="452">
        <f>IF('[1]Tasa de Falla'!HN19="","",'[1]Tasa de Falla'!HN19)</f>
      </c>
      <c r="N19" s="452">
        <f>IF('[1]Tasa de Falla'!HO19="","",'[1]Tasa de Falla'!HO19)</f>
      </c>
      <c r="O19" s="452">
        <f>IF('[1]Tasa de Falla'!HP19="","",'[1]Tasa de Falla'!HP19)</f>
      </c>
      <c r="P19" s="452">
        <f>IF('[1]Tasa de Falla'!HQ19="","",'[1]Tasa de Falla'!HQ19)</f>
      </c>
      <c r="Q19" s="452">
        <f>IF('[1]Tasa de Falla'!HR19="","",'[1]Tasa de Falla'!HR19)</f>
      </c>
      <c r="R19" s="452">
        <f>IF('[1]Tasa de Falla'!HS19="","",'[1]Tasa de Falla'!HS19)</f>
      </c>
      <c r="S19" s="449"/>
      <c r="T19" s="444"/>
    </row>
    <row r="20" spans="2:20" s="445" customFormat="1" ht="24.75" customHeight="1">
      <c r="B20" s="446"/>
      <c r="C20" s="454">
        <f>'[1]Tasa de Falla'!C20</f>
        <v>4</v>
      </c>
      <c r="D20" s="455" t="str">
        <f>'[1]Tasa de Falla'!D20</f>
        <v>CRUZ DE PIEDRA - SAN JUAN</v>
      </c>
      <c r="E20" s="455">
        <f>'[1]Tasa de Falla'!E20</f>
        <v>220</v>
      </c>
      <c r="F20" s="456">
        <f>'[1]Tasa de Falla'!F20</f>
        <v>171.6</v>
      </c>
      <c r="G20" s="452">
        <f>IF('[1]Tasa de Falla'!HH20="","",'[1]Tasa de Falla'!HH20)</f>
      </c>
      <c r="H20" s="452">
        <f>IF('[1]Tasa de Falla'!HI20="","",'[1]Tasa de Falla'!HI20)</f>
      </c>
      <c r="I20" s="452">
        <f>IF('[1]Tasa de Falla'!HJ20="","",'[1]Tasa de Falla'!HJ20)</f>
      </c>
      <c r="J20" s="452">
        <f>IF('[1]Tasa de Falla'!HK20="","",'[1]Tasa de Falla'!HK20)</f>
      </c>
      <c r="K20" s="452">
        <f>IF('[1]Tasa de Falla'!HL20="","",'[1]Tasa de Falla'!HL20)</f>
      </c>
      <c r="L20" s="452">
        <f>IF('[1]Tasa de Falla'!HM20="","",'[1]Tasa de Falla'!HM20)</f>
        <v>1</v>
      </c>
      <c r="M20" s="452">
        <f>IF('[1]Tasa de Falla'!HN20="","",'[1]Tasa de Falla'!HN20)</f>
      </c>
      <c r="N20" s="452">
        <f>IF('[1]Tasa de Falla'!HO20="","",'[1]Tasa de Falla'!HO20)</f>
      </c>
      <c r="O20" s="452">
        <f>IF('[1]Tasa de Falla'!HP20="","",'[1]Tasa de Falla'!HP20)</f>
      </c>
      <c r="P20" s="452">
        <f>IF('[1]Tasa de Falla'!HQ20="","",'[1]Tasa de Falla'!HQ20)</f>
      </c>
      <c r="Q20" s="452">
        <f>IF('[1]Tasa de Falla'!HR20="","",'[1]Tasa de Falla'!HR20)</f>
        <v>1</v>
      </c>
      <c r="R20" s="452">
        <f>IF('[1]Tasa de Falla'!HS20="","",'[1]Tasa de Falla'!HS20)</f>
      </c>
      <c r="S20" s="449"/>
      <c r="T20" s="444"/>
    </row>
    <row r="21" spans="2:20" s="445" customFormat="1" ht="24.75" customHeight="1">
      <c r="B21" s="446"/>
      <c r="C21" s="451">
        <f>'[1]Tasa de Falla'!C21</f>
        <v>5</v>
      </c>
      <c r="D21" s="452" t="str">
        <f>'[1]Tasa de Falla'!D21</f>
        <v>LOS REYUNOS - GRAN MENDOZA</v>
      </c>
      <c r="E21" s="452">
        <f>'[1]Tasa de Falla'!E21</f>
        <v>220</v>
      </c>
      <c r="F21" s="453">
        <f>'[1]Tasa de Falla'!F21</f>
        <v>188.3</v>
      </c>
      <c r="G21" s="452">
        <f>IF('[1]Tasa de Falla'!HH21="","",'[1]Tasa de Falla'!HH21)</f>
      </c>
      <c r="H21" s="452">
        <f>IF('[1]Tasa de Falla'!HI21="","",'[1]Tasa de Falla'!HI21)</f>
      </c>
      <c r="I21" s="452">
        <f>IF('[1]Tasa de Falla'!HJ21="","",'[1]Tasa de Falla'!HJ21)</f>
      </c>
      <c r="J21" s="452">
        <f>IF('[1]Tasa de Falla'!HK21="","",'[1]Tasa de Falla'!HK21)</f>
      </c>
      <c r="K21" s="452">
        <f>IF('[1]Tasa de Falla'!HL21="","",'[1]Tasa de Falla'!HL21)</f>
      </c>
      <c r="L21" s="452">
        <f>IF('[1]Tasa de Falla'!HM21="","",'[1]Tasa de Falla'!HM21)</f>
      </c>
      <c r="M21" s="452">
        <f>IF('[1]Tasa de Falla'!HN21="","",'[1]Tasa de Falla'!HN21)</f>
      </c>
      <c r="N21" s="452">
        <f>IF('[1]Tasa de Falla'!HO21="","",'[1]Tasa de Falla'!HO21)</f>
      </c>
      <c r="O21" s="452">
        <f>IF('[1]Tasa de Falla'!HP21="","",'[1]Tasa de Falla'!HP21)</f>
      </c>
      <c r="P21" s="452">
        <f>IF('[1]Tasa de Falla'!HQ21="","",'[1]Tasa de Falla'!HQ21)</f>
      </c>
      <c r="Q21" s="452">
        <f>IF('[1]Tasa de Falla'!HR21="","",'[1]Tasa de Falla'!HR21)</f>
      </c>
      <c r="R21" s="452">
        <f>IF('[1]Tasa de Falla'!HS21="","",'[1]Tasa de Falla'!HS21)</f>
      </c>
      <c r="S21" s="449"/>
      <c r="T21" s="444"/>
    </row>
    <row r="22" spans="2:20" s="445" customFormat="1" ht="24.75" customHeight="1">
      <c r="B22" s="446"/>
      <c r="C22" s="451">
        <f>'[1]Tasa de Falla'!C22</f>
        <v>6</v>
      </c>
      <c r="D22" s="452" t="str">
        <f>'[1]Tasa de Falla'!D22</f>
        <v>CRUZ DE PIEDRA - CAÑADA HONDA</v>
      </c>
      <c r="E22" s="452">
        <f>'[1]Tasa de Falla'!E22</f>
        <v>132</v>
      </c>
      <c r="F22" s="453">
        <f>'[1]Tasa de Falla'!F22</f>
        <v>125.8</v>
      </c>
      <c r="G22" s="452">
        <f>IF('[1]Tasa de Falla'!HH22="","",'[1]Tasa de Falla'!HH22)</f>
      </c>
      <c r="H22" s="452">
        <f>IF('[1]Tasa de Falla'!HI22="","",'[1]Tasa de Falla'!HI22)</f>
      </c>
      <c r="I22" s="452">
        <f>IF('[1]Tasa de Falla'!HJ22="","",'[1]Tasa de Falla'!HJ22)</f>
      </c>
      <c r="J22" s="452">
        <f>IF('[1]Tasa de Falla'!HK22="","",'[1]Tasa de Falla'!HK22)</f>
      </c>
      <c r="K22" s="452">
        <f>IF('[1]Tasa de Falla'!HL22="","",'[1]Tasa de Falla'!HL22)</f>
      </c>
      <c r="L22" s="452">
        <f>IF('[1]Tasa de Falla'!HM22="","",'[1]Tasa de Falla'!HM22)</f>
      </c>
      <c r="M22" s="452">
        <f>IF('[1]Tasa de Falla'!HN22="","",'[1]Tasa de Falla'!HN22)</f>
      </c>
      <c r="N22" s="452">
        <f>IF('[1]Tasa de Falla'!HO22="","",'[1]Tasa de Falla'!HO22)</f>
      </c>
      <c r="O22" s="452">
        <f>IF('[1]Tasa de Falla'!HP22="","",'[1]Tasa de Falla'!HP22)</f>
        <v>1</v>
      </c>
      <c r="P22" s="452">
        <f>IF('[1]Tasa de Falla'!HQ22="","",'[1]Tasa de Falla'!HQ22)</f>
      </c>
      <c r="Q22" s="452">
        <f>IF('[1]Tasa de Falla'!HR22="","",'[1]Tasa de Falla'!HR22)</f>
        <v>1</v>
      </c>
      <c r="R22" s="452">
        <f>IF('[1]Tasa de Falla'!HS22="","",'[1]Tasa de Falla'!HS22)</f>
      </c>
      <c r="S22" s="449"/>
      <c r="T22" s="444"/>
    </row>
    <row r="23" spans="2:20" s="445" customFormat="1" ht="24.75" customHeight="1">
      <c r="B23" s="446"/>
      <c r="C23" s="454">
        <f>'[1]Tasa de Falla'!C23</f>
        <v>7</v>
      </c>
      <c r="D23" s="455" t="str">
        <f>'[1]Tasa de Falla'!D23</f>
        <v>ANCHORIS - CAPIZ</v>
      </c>
      <c r="E23" s="455">
        <f>'[1]Tasa de Falla'!E23</f>
        <v>132</v>
      </c>
      <c r="F23" s="456">
        <f>'[1]Tasa de Falla'!F23</f>
        <v>42</v>
      </c>
      <c r="G23" s="452">
        <f>IF('[1]Tasa de Falla'!HH23="","",'[1]Tasa de Falla'!HH23)</f>
      </c>
      <c r="H23" s="452">
        <f>IF('[1]Tasa de Falla'!HI23="","",'[1]Tasa de Falla'!HI23)</f>
      </c>
      <c r="I23" s="452">
        <f>IF('[1]Tasa de Falla'!HJ23="","",'[1]Tasa de Falla'!HJ23)</f>
      </c>
      <c r="J23" s="452">
        <f>IF('[1]Tasa de Falla'!HK23="","",'[1]Tasa de Falla'!HK23)</f>
      </c>
      <c r="K23" s="452">
        <f>IF('[1]Tasa de Falla'!HL23="","",'[1]Tasa de Falla'!HL23)</f>
      </c>
      <c r="L23" s="452">
        <f>IF('[1]Tasa de Falla'!HM23="","",'[1]Tasa de Falla'!HM23)</f>
      </c>
      <c r="M23" s="452">
        <f>IF('[1]Tasa de Falla'!HN23="","",'[1]Tasa de Falla'!HN23)</f>
      </c>
      <c r="N23" s="452">
        <f>IF('[1]Tasa de Falla'!HO23="","",'[1]Tasa de Falla'!HO23)</f>
      </c>
      <c r="O23" s="452">
        <f>IF('[1]Tasa de Falla'!HP23="","",'[1]Tasa de Falla'!HP23)</f>
      </c>
      <c r="P23" s="452">
        <f>IF('[1]Tasa de Falla'!HQ23="","",'[1]Tasa de Falla'!HQ23)</f>
      </c>
      <c r="Q23" s="452">
        <f>IF('[1]Tasa de Falla'!HR23="","",'[1]Tasa de Falla'!HR23)</f>
      </c>
      <c r="R23" s="452">
        <f>IF('[1]Tasa de Falla'!HS23="","",'[1]Tasa de Falla'!HS23)</f>
      </c>
      <c r="S23" s="449"/>
      <c r="T23" s="444"/>
    </row>
    <row r="24" spans="2:20" s="445" customFormat="1" ht="24.75" customHeight="1">
      <c r="B24" s="446"/>
      <c r="C24" s="451">
        <f>'[1]Tasa de Falla'!C24</f>
        <v>8</v>
      </c>
      <c r="D24" s="452" t="str">
        <f>'[1]Tasa de Falla'!D24</f>
        <v>ANCHORIS - CRUZ DE PIEDRA</v>
      </c>
      <c r="E24" s="452">
        <f>'[1]Tasa de Falla'!E24</f>
        <v>132</v>
      </c>
      <c r="F24" s="453">
        <f>'[1]Tasa de Falla'!F24</f>
        <v>33.5</v>
      </c>
      <c r="G24" s="452">
        <f>IF('[1]Tasa de Falla'!HH24="","",'[1]Tasa de Falla'!HH24)</f>
      </c>
      <c r="H24" s="452">
        <f>IF('[1]Tasa de Falla'!HI24="","",'[1]Tasa de Falla'!HI24)</f>
      </c>
      <c r="I24" s="452">
        <f>IF('[1]Tasa de Falla'!HJ24="","",'[1]Tasa de Falla'!HJ24)</f>
      </c>
      <c r="J24" s="452">
        <f>IF('[1]Tasa de Falla'!HK24="","",'[1]Tasa de Falla'!HK24)</f>
      </c>
      <c r="K24" s="452">
        <f>IF('[1]Tasa de Falla'!HL24="","",'[1]Tasa de Falla'!HL24)</f>
      </c>
      <c r="L24" s="452">
        <f>IF('[1]Tasa de Falla'!HM24="","",'[1]Tasa de Falla'!HM24)</f>
      </c>
      <c r="M24" s="452">
        <f>IF('[1]Tasa de Falla'!HN24="","",'[1]Tasa de Falla'!HN24)</f>
      </c>
      <c r="N24" s="452">
        <f>IF('[1]Tasa de Falla'!HO24="","",'[1]Tasa de Falla'!HO24)</f>
      </c>
      <c r="O24" s="452">
        <f>IF('[1]Tasa de Falla'!HP24="","",'[1]Tasa de Falla'!HP24)</f>
      </c>
      <c r="P24" s="452">
        <f>IF('[1]Tasa de Falla'!HQ24="","",'[1]Tasa de Falla'!HQ24)</f>
      </c>
      <c r="Q24" s="452">
        <f>IF('[1]Tasa de Falla'!HR24="","",'[1]Tasa de Falla'!HR24)</f>
      </c>
      <c r="R24" s="452">
        <f>IF('[1]Tasa de Falla'!HS24="","",'[1]Tasa de Falla'!HS24)</f>
      </c>
      <c r="S24" s="449"/>
      <c r="T24" s="444"/>
    </row>
    <row r="25" spans="2:20" s="445" customFormat="1" ht="24.75" customHeight="1">
      <c r="B25" s="446"/>
      <c r="C25" s="454">
        <f>'[1]Tasa de Falla'!C25</f>
        <v>9</v>
      </c>
      <c r="D25" s="455" t="str">
        <f>'[1]Tasa de Falla'!D25</f>
        <v>ANCHORIZ -Deriv."T" a LC 35-B.R.Tunuyan</v>
      </c>
      <c r="E25" s="455">
        <f>'[1]Tasa de Falla'!E25</f>
        <v>132</v>
      </c>
      <c r="F25" s="456">
        <f>'[1]Tasa de Falla'!F25</f>
        <v>52.9</v>
      </c>
      <c r="G25" s="452">
        <f>IF('[1]Tasa de Falla'!HH25="","",'[1]Tasa de Falla'!HH25)</f>
      </c>
      <c r="H25" s="452">
        <f>IF('[1]Tasa de Falla'!HI25="","",'[1]Tasa de Falla'!HI25)</f>
      </c>
      <c r="I25" s="452">
        <f>IF('[1]Tasa de Falla'!HJ25="","",'[1]Tasa de Falla'!HJ25)</f>
      </c>
      <c r="J25" s="452">
        <f>IF('[1]Tasa de Falla'!HK25="","",'[1]Tasa de Falla'!HK25)</f>
      </c>
      <c r="K25" s="452">
        <f>IF('[1]Tasa de Falla'!HL25="","",'[1]Tasa de Falla'!HL25)</f>
      </c>
      <c r="L25" s="452">
        <f>IF('[1]Tasa de Falla'!HM25="","",'[1]Tasa de Falla'!HM25)</f>
      </c>
      <c r="M25" s="452">
        <f>IF('[1]Tasa de Falla'!HN25="","",'[1]Tasa de Falla'!HN25)</f>
      </c>
      <c r="N25" s="452">
        <f>IF('[1]Tasa de Falla'!HO25="","",'[1]Tasa de Falla'!HO25)</f>
      </c>
      <c r="O25" s="452">
        <f>IF('[1]Tasa de Falla'!HP25="","",'[1]Tasa de Falla'!HP25)</f>
      </c>
      <c r="P25" s="452">
        <f>IF('[1]Tasa de Falla'!HQ25="","",'[1]Tasa de Falla'!HQ25)</f>
      </c>
      <c r="Q25" s="452">
        <f>IF('[1]Tasa de Falla'!HR25="","",'[1]Tasa de Falla'!HR25)</f>
      </c>
      <c r="R25" s="452">
        <f>IF('[1]Tasa de Falla'!HS25="","",'[1]Tasa de Falla'!HS25)</f>
      </c>
      <c r="S25" s="449"/>
      <c r="T25" s="444"/>
    </row>
    <row r="26" spans="2:20" s="445" customFormat="1" ht="24.75" customHeight="1">
      <c r="B26" s="446"/>
      <c r="C26" s="451">
        <f>'[1]Tasa de Falla'!C26</f>
        <v>10</v>
      </c>
      <c r="D26" s="452" t="str">
        <f>'[1]Tasa de Falla'!D26</f>
        <v>CAPIZ - PEDRO VARGAS</v>
      </c>
      <c r="E26" s="452">
        <f>'[1]Tasa de Falla'!E26</f>
        <v>132</v>
      </c>
      <c r="F26" s="453">
        <f>'[1]Tasa de Falla'!F26</f>
        <v>122.1</v>
      </c>
      <c r="G26" s="452">
        <f>IF('[1]Tasa de Falla'!HH26="","",'[1]Tasa de Falla'!HH26)</f>
      </c>
      <c r="H26" s="452">
        <f>IF('[1]Tasa de Falla'!HI26="","",'[1]Tasa de Falla'!HI26)</f>
      </c>
      <c r="I26" s="452">
        <f>IF('[1]Tasa de Falla'!HJ26="","",'[1]Tasa de Falla'!HJ26)</f>
      </c>
      <c r="J26" s="452">
        <f>IF('[1]Tasa de Falla'!HK26="","",'[1]Tasa de Falla'!HK26)</f>
      </c>
      <c r="K26" s="452">
        <f>IF('[1]Tasa de Falla'!HL26="","",'[1]Tasa de Falla'!HL26)</f>
      </c>
      <c r="L26" s="452">
        <f>IF('[1]Tasa de Falla'!HM26="","",'[1]Tasa de Falla'!HM26)</f>
      </c>
      <c r="M26" s="452">
        <f>IF('[1]Tasa de Falla'!HN26="","",'[1]Tasa de Falla'!HN26)</f>
      </c>
      <c r="N26" s="452">
        <f>IF('[1]Tasa de Falla'!HO26="","",'[1]Tasa de Falla'!HO26)</f>
      </c>
      <c r="O26" s="452">
        <f>IF('[1]Tasa de Falla'!HP26="","",'[1]Tasa de Falla'!HP26)</f>
      </c>
      <c r="P26" s="452">
        <f>IF('[1]Tasa de Falla'!HQ26="","",'[1]Tasa de Falla'!HQ26)</f>
      </c>
      <c r="Q26" s="452">
        <f>IF('[1]Tasa de Falla'!HR26="","",'[1]Tasa de Falla'!HR26)</f>
      </c>
      <c r="R26" s="452">
        <f>IF('[1]Tasa de Falla'!HS26="","",'[1]Tasa de Falla'!HS26)</f>
        <v>1</v>
      </c>
      <c r="S26" s="449"/>
      <c r="T26" s="444"/>
    </row>
    <row r="27" spans="2:20" s="445" customFormat="1" ht="24.75" customHeight="1">
      <c r="B27" s="446"/>
      <c r="C27" s="454">
        <f>'[1]Tasa de Falla'!C27</f>
        <v>11</v>
      </c>
      <c r="D27" s="455" t="str">
        <f>'[1]Tasa de Falla'!D27</f>
        <v>SAN RAFAEL - PEDRO VARGAS</v>
      </c>
      <c r="E27" s="455">
        <f>'[1]Tasa de Falla'!E27</f>
        <v>132</v>
      </c>
      <c r="F27" s="456">
        <f>'[1]Tasa de Falla'!F27</f>
        <v>15.6</v>
      </c>
      <c r="G27" s="452">
        <f>IF('[1]Tasa de Falla'!HH27="","",'[1]Tasa de Falla'!HH27)</f>
      </c>
      <c r="H27" s="452">
        <f>IF('[1]Tasa de Falla'!HI27="","",'[1]Tasa de Falla'!HI27)</f>
      </c>
      <c r="I27" s="452">
        <f>IF('[1]Tasa de Falla'!HJ27="","",'[1]Tasa de Falla'!HJ27)</f>
      </c>
      <c r="J27" s="452">
        <f>IF('[1]Tasa de Falla'!HK27="","",'[1]Tasa de Falla'!HK27)</f>
      </c>
      <c r="K27" s="452">
        <f>IF('[1]Tasa de Falla'!HL27="","",'[1]Tasa de Falla'!HL27)</f>
      </c>
      <c r="L27" s="452">
        <f>IF('[1]Tasa de Falla'!HM27="","",'[1]Tasa de Falla'!HM27)</f>
      </c>
      <c r="M27" s="452">
        <f>IF('[1]Tasa de Falla'!HN27="","",'[1]Tasa de Falla'!HN27)</f>
      </c>
      <c r="N27" s="452">
        <f>IF('[1]Tasa de Falla'!HO27="","",'[1]Tasa de Falla'!HO27)</f>
      </c>
      <c r="O27" s="452">
        <f>IF('[1]Tasa de Falla'!HP27="","",'[1]Tasa de Falla'!HP27)</f>
      </c>
      <c r="P27" s="452">
        <f>IF('[1]Tasa de Falla'!HQ27="","",'[1]Tasa de Falla'!HQ27)</f>
      </c>
      <c r="Q27" s="452">
        <f>IF('[1]Tasa de Falla'!HR27="","",'[1]Tasa de Falla'!HR27)</f>
      </c>
      <c r="R27" s="452">
        <f>IF('[1]Tasa de Falla'!HS27="","",'[1]Tasa de Falla'!HS27)</f>
      </c>
      <c r="S27" s="449"/>
      <c r="T27" s="444"/>
    </row>
    <row r="28" spans="2:20" s="445" customFormat="1" ht="24.75" customHeight="1">
      <c r="B28" s="446"/>
      <c r="C28" s="451">
        <f>'[1]Tasa de Falla'!C28</f>
        <v>12</v>
      </c>
      <c r="D28" s="452" t="str">
        <f>'[1]Tasa de Falla'!D28</f>
        <v>GRAN MENDOZA - MONTE CASEROS 1</v>
      </c>
      <c r="E28" s="452">
        <f>'[1]Tasa de Falla'!E28</f>
        <v>132</v>
      </c>
      <c r="F28" s="453">
        <f>'[1]Tasa de Falla'!F28</f>
        <v>19.1</v>
      </c>
      <c r="G28" s="452">
        <f>IF('[1]Tasa de Falla'!HH28="","",'[1]Tasa de Falla'!HH28)</f>
      </c>
      <c r="H28" s="452">
        <f>IF('[1]Tasa de Falla'!HI28="","",'[1]Tasa de Falla'!HI28)</f>
      </c>
      <c r="I28" s="452">
        <f>IF('[1]Tasa de Falla'!HJ28="","",'[1]Tasa de Falla'!HJ28)</f>
      </c>
      <c r="J28" s="452">
        <f>IF('[1]Tasa de Falla'!HK28="","",'[1]Tasa de Falla'!HK28)</f>
      </c>
      <c r="K28" s="452">
        <f>IF('[1]Tasa de Falla'!HL28="","",'[1]Tasa de Falla'!HL28)</f>
      </c>
      <c r="L28" s="452">
        <f>IF('[1]Tasa de Falla'!HM28="","",'[1]Tasa de Falla'!HM28)</f>
      </c>
      <c r="M28" s="452">
        <f>IF('[1]Tasa de Falla'!HN28="","",'[1]Tasa de Falla'!HN28)</f>
      </c>
      <c r="N28" s="452">
        <f>IF('[1]Tasa de Falla'!HO28="","",'[1]Tasa de Falla'!HO28)</f>
      </c>
      <c r="O28" s="452">
        <f>IF('[1]Tasa de Falla'!HP28="","",'[1]Tasa de Falla'!HP28)</f>
      </c>
      <c r="P28" s="452">
        <f>IF('[1]Tasa de Falla'!HQ28="","",'[1]Tasa de Falla'!HQ28)</f>
      </c>
      <c r="Q28" s="452">
        <f>IF('[1]Tasa de Falla'!HR28="","",'[1]Tasa de Falla'!HR28)</f>
      </c>
      <c r="R28" s="452">
        <f>IF('[1]Tasa de Falla'!HS28="","",'[1]Tasa de Falla'!HS28)</f>
        <v>1</v>
      </c>
      <c r="S28" s="449"/>
      <c r="T28" s="444"/>
    </row>
    <row r="29" spans="2:20" s="445" customFormat="1" ht="24.75" customHeight="1">
      <c r="B29" s="446"/>
      <c r="C29" s="454">
        <f>'[1]Tasa de Falla'!C29</f>
        <v>13</v>
      </c>
      <c r="D29" s="455" t="str">
        <f>'[1]Tasa de Falla'!D29</f>
        <v>GRAN MENDOZA - MONTE CASEROS 2</v>
      </c>
      <c r="E29" s="455">
        <f>'[1]Tasa de Falla'!E29</f>
        <v>132</v>
      </c>
      <c r="F29" s="456">
        <f>'[1]Tasa de Falla'!F29</f>
        <v>19.1</v>
      </c>
      <c r="G29" s="452">
        <f>IF('[1]Tasa de Falla'!HH29="","",'[1]Tasa de Falla'!HH29)</f>
      </c>
      <c r="H29" s="452">
        <f>IF('[1]Tasa de Falla'!HI29="","",'[1]Tasa de Falla'!HI29)</f>
      </c>
      <c r="I29" s="452">
        <f>IF('[1]Tasa de Falla'!HJ29="","",'[1]Tasa de Falla'!HJ29)</f>
      </c>
      <c r="J29" s="452">
        <f>IF('[1]Tasa de Falla'!HK29="","",'[1]Tasa de Falla'!HK29)</f>
      </c>
      <c r="K29" s="452">
        <f>IF('[1]Tasa de Falla'!HL29="","",'[1]Tasa de Falla'!HL29)</f>
      </c>
      <c r="L29" s="452">
        <f>IF('[1]Tasa de Falla'!HM29="","",'[1]Tasa de Falla'!HM29)</f>
      </c>
      <c r="M29" s="452">
        <f>IF('[1]Tasa de Falla'!HN29="","",'[1]Tasa de Falla'!HN29)</f>
      </c>
      <c r="N29" s="452">
        <f>IF('[1]Tasa de Falla'!HO29="","",'[1]Tasa de Falla'!HO29)</f>
      </c>
      <c r="O29" s="452">
        <f>IF('[1]Tasa de Falla'!HP29="","",'[1]Tasa de Falla'!HP29)</f>
      </c>
      <c r="P29" s="452">
        <f>IF('[1]Tasa de Falla'!HQ29="","",'[1]Tasa de Falla'!HQ29)</f>
      </c>
      <c r="Q29" s="452">
        <f>IF('[1]Tasa de Falla'!HR29="","",'[1]Tasa de Falla'!HR29)</f>
      </c>
      <c r="R29" s="452">
        <f>IF('[1]Tasa de Falla'!HS29="","",'[1]Tasa de Falla'!HS29)</f>
      </c>
      <c r="S29" s="449"/>
      <c r="T29" s="444"/>
    </row>
    <row r="30" spans="2:20" s="445" customFormat="1" ht="24.75" customHeight="1">
      <c r="B30" s="446"/>
      <c r="C30" s="451">
        <f>'[1]Tasa de Falla'!C30</f>
        <v>14</v>
      </c>
      <c r="D30" s="452" t="str">
        <f>'[1]Tasa de Falla'!D30</f>
        <v>CRUZ DE PIEDRA - GRAN MENDOZA 1</v>
      </c>
      <c r="E30" s="452">
        <f>'[1]Tasa de Falla'!E30</f>
        <v>132</v>
      </c>
      <c r="F30" s="453">
        <f>'[1]Tasa de Falla'!F30</f>
        <v>22</v>
      </c>
      <c r="G30" s="452">
        <f>IF('[1]Tasa de Falla'!HH30="","",'[1]Tasa de Falla'!HH30)</f>
      </c>
      <c r="H30" s="452">
        <f>IF('[1]Tasa de Falla'!HI30="","",'[1]Tasa de Falla'!HI30)</f>
        <v>1</v>
      </c>
      <c r="I30" s="452">
        <f>IF('[1]Tasa de Falla'!HJ30="","",'[1]Tasa de Falla'!HJ30)</f>
      </c>
      <c r="J30" s="452">
        <f>IF('[1]Tasa de Falla'!HK30="","",'[1]Tasa de Falla'!HK30)</f>
      </c>
      <c r="K30" s="452">
        <f>IF('[1]Tasa de Falla'!HL30="","",'[1]Tasa de Falla'!HL30)</f>
      </c>
      <c r="L30" s="452">
        <f>IF('[1]Tasa de Falla'!HM30="","",'[1]Tasa de Falla'!HM30)</f>
      </c>
      <c r="M30" s="452">
        <f>IF('[1]Tasa de Falla'!HN30="","",'[1]Tasa de Falla'!HN30)</f>
      </c>
      <c r="N30" s="452">
        <f>IF('[1]Tasa de Falla'!HO30="","",'[1]Tasa de Falla'!HO30)</f>
      </c>
      <c r="O30" s="452">
        <f>IF('[1]Tasa de Falla'!HP30="","",'[1]Tasa de Falla'!HP30)</f>
      </c>
      <c r="P30" s="452">
        <f>IF('[1]Tasa de Falla'!HQ30="","",'[1]Tasa de Falla'!HQ30)</f>
      </c>
      <c r="Q30" s="452">
        <f>IF('[1]Tasa de Falla'!HR30="","",'[1]Tasa de Falla'!HR30)</f>
      </c>
      <c r="R30" s="452">
        <f>IF('[1]Tasa de Falla'!HS30="","",'[1]Tasa de Falla'!HS30)</f>
      </c>
      <c r="S30" s="449"/>
      <c r="T30" s="444"/>
    </row>
    <row r="31" spans="2:20" s="445" customFormat="1" ht="24.75" customHeight="1">
      <c r="B31" s="446"/>
      <c r="C31" s="454">
        <f>'[1]Tasa de Falla'!C31</f>
        <v>15</v>
      </c>
      <c r="D31" s="455" t="str">
        <f>'[1]Tasa de Falla'!D31</f>
        <v>CRUZ DE PIEDRA - GRAN MENDOZA 2</v>
      </c>
      <c r="E31" s="455">
        <f>'[1]Tasa de Falla'!E31</f>
        <v>132</v>
      </c>
      <c r="F31" s="456">
        <f>'[1]Tasa de Falla'!F31</f>
        <v>22</v>
      </c>
      <c r="G31" s="452">
        <f>IF('[1]Tasa de Falla'!HH31="","",'[1]Tasa de Falla'!HH31)</f>
      </c>
      <c r="H31" s="452">
        <f>IF('[1]Tasa de Falla'!HI31="","",'[1]Tasa de Falla'!HI31)</f>
        <v>1</v>
      </c>
      <c r="I31" s="452">
        <f>IF('[1]Tasa de Falla'!HJ31="","",'[1]Tasa de Falla'!HJ31)</f>
      </c>
      <c r="J31" s="452">
        <f>IF('[1]Tasa de Falla'!HK31="","",'[1]Tasa de Falla'!HK31)</f>
      </c>
      <c r="K31" s="452">
        <f>IF('[1]Tasa de Falla'!HL31="","",'[1]Tasa de Falla'!HL31)</f>
      </c>
      <c r="L31" s="452">
        <f>IF('[1]Tasa de Falla'!HM31="","",'[1]Tasa de Falla'!HM31)</f>
      </c>
      <c r="M31" s="452">
        <f>IF('[1]Tasa de Falla'!HN31="","",'[1]Tasa de Falla'!HN31)</f>
      </c>
      <c r="N31" s="452">
        <f>IF('[1]Tasa de Falla'!HO31="","",'[1]Tasa de Falla'!HO31)</f>
      </c>
      <c r="O31" s="452">
        <f>IF('[1]Tasa de Falla'!HP31="","",'[1]Tasa de Falla'!HP31)</f>
      </c>
      <c r="P31" s="452">
        <f>IF('[1]Tasa de Falla'!HQ31="","",'[1]Tasa de Falla'!HQ31)</f>
      </c>
      <c r="Q31" s="452">
        <f>IF('[1]Tasa de Falla'!HR31="","",'[1]Tasa de Falla'!HR31)</f>
      </c>
      <c r="R31" s="452">
        <f>IF('[1]Tasa de Falla'!HS31="","",'[1]Tasa de Falla'!HS31)</f>
      </c>
      <c r="S31" s="449"/>
      <c r="T31" s="444"/>
    </row>
    <row r="32" spans="2:20" s="445" customFormat="1" ht="24.75" customHeight="1">
      <c r="B32" s="446"/>
      <c r="C32" s="451">
        <f>'[1]Tasa de Falla'!C32</f>
        <v>16</v>
      </c>
      <c r="D32" s="452" t="str">
        <f>'[1]Tasa de Falla'!D32</f>
        <v>CRUZ DE PIEDRA - SAN JUAN</v>
      </c>
      <c r="E32" s="452">
        <f>'[1]Tasa de Falla'!E32</f>
        <v>132</v>
      </c>
      <c r="F32" s="453">
        <f>'[1]Tasa de Falla'!F32</f>
        <v>180.18</v>
      </c>
      <c r="G32" s="452" t="str">
        <f>IF('[1]Tasa de Falla'!HH32="","",'[1]Tasa de Falla'!HH32)</f>
        <v>XXXX</v>
      </c>
      <c r="H32" s="452" t="str">
        <f>IF('[1]Tasa de Falla'!HI32="","",'[1]Tasa de Falla'!HI32)</f>
        <v>XXXX</v>
      </c>
      <c r="I32" s="452" t="str">
        <f>IF('[1]Tasa de Falla'!HJ32="","",'[1]Tasa de Falla'!HJ32)</f>
        <v>XXXX</v>
      </c>
      <c r="J32" s="452" t="str">
        <f>IF('[1]Tasa de Falla'!HK32="","",'[1]Tasa de Falla'!HK32)</f>
        <v>XXXX</v>
      </c>
      <c r="K32" s="452" t="str">
        <f>IF('[1]Tasa de Falla'!HL32="","",'[1]Tasa de Falla'!HL32)</f>
        <v>XXXX</v>
      </c>
      <c r="L32" s="452" t="str">
        <f>IF('[1]Tasa de Falla'!HM32="","",'[1]Tasa de Falla'!HM32)</f>
        <v>XXXX</v>
      </c>
      <c r="M32" s="452" t="str">
        <f>IF('[1]Tasa de Falla'!HN32="","",'[1]Tasa de Falla'!HN32)</f>
        <v>XXXX</v>
      </c>
      <c r="N32" s="452" t="str">
        <f>IF('[1]Tasa de Falla'!HO32="","",'[1]Tasa de Falla'!HO32)</f>
        <v>XXXX</v>
      </c>
      <c r="O32" s="452" t="str">
        <f>IF('[1]Tasa de Falla'!HP32="","",'[1]Tasa de Falla'!HP32)</f>
        <v>XXXX</v>
      </c>
      <c r="P32" s="452" t="str">
        <f>IF('[1]Tasa de Falla'!HQ32="","",'[1]Tasa de Falla'!HQ32)</f>
        <v>XXXX</v>
      </c>
      <c r="Q32" s="452" t="str">
        <f>IF('[1]Tasa de Falla'!HR32="","",'[1]Tasa de Falla'!HR32)</f>
        <v>XXXX</v>
      </c>
      <c r="R32" s="452" t="str">
        <f>IF('[1]Tasa de Falla'!HS32="","",'[1]Tasa de Falla'!HS32)</f>
        <v>XXXX</v>
      </c>
      <c r="S32" s="449"/>
      <c r="T32" s="444"/>
    </row>
    <row r="33" spans="2:20" s="445" customFormat="1" ht="24.75" customHeight="1">
      <c r="B33" s="446"/>
      <c r="C33" s="454">
        <f>'[1]Tasa de Falla'!C33</f>
        <v>17</v>
      </c>
      <c r="D33" s="455" t="str">
        <f>'[1]Tasa de Falla'!D33</f>
        <v>CRUZ DE PIEDRA - LUJAN DE CUYO 1</v>
      </c>
      <c r="E33" s="455">
        <f>'[1]Tasa de Falla'!E33</f>
        <v>132</v>
      </c>
      <c r="F33" s="456">
        <f>'[1]Tasa de Falla'!F33</f>
        <v>18.1</v>
      </c>
      <c r="G33" s="452">
        <f>IF('[1]Tasa de Falla'!HH33="","",'[1]Tasa de Falla'!HH33)</f>
      </c>
      <c r="H33" s="452">
        <f>IF('[1]Tasa de Falla'!HI33="","",'[1]Tasa de Falla'!HI33)</f>
      </c>
      <c r="I33" s="452">
        <f>IF('[1]Tasa de Falla'!HJ33="","",'[1]Tasa de Falla'!HJ33)</f>
      </c>
      <c r="J33" s="452">
        <f>IF('[1]Tasa de Falla'!HK33="","",'[1]Tasa de Falla'!HK33)</f>
      </c>
      <c r="K33" s="452">
        <f>IF('[1]Tasa de Falla'!HL33="","",'[1]Tasa de Falla'!HL33)</f>
      </c>
      <c r="L33" s="452">
        <f>IF('[1]Tasa de Falla'!HM33="","",'[1]Tasa de Falla'!HM33)</f>
      </c>
      <c r="M33" s="452">
        <f>IF('[1]Tasa de Falla'!HN33="","",'[1]Tasa de Falla'!HN33)</f>
      </c>
      <c r="N33" s="452">
        <f>IF('[1]Tasa de Falla'!HO33="","",'[1]Tasa de Falla'!HO33)</f>
      </c>
      <c r="O33" s="452">
        <f>IF('[1]Tasa de Falla'!HP33="","",'[1]Tasa de Falla'!HP33)</f>
      </c>
      <c r="P33" s="452">
        <f>IF('[1]Tasa de Falla'!HQ33="","",'[1]Tasa de Falla'!HQ33)</f>
      </c>
      <c r="Q33" s="452">
        <f>IF('[1]Tasa de Falla'!HR33="","",'[1]Tasa de Falla'!HR33)</f>
      </c>
      <c r="R33" s="452">
        <f>IF('[1]Tasa de Falla'!HS33="","",'[1]Tasa de Falla'!HS33)</f>
      </c>
      <c r="S33" s="449"/>
      <c r="T33" s="444"/>
    </row>
    <row r="34" spans="2:20" s="445" customFormat="1" ht="24.75" customHeight="1">
      <c r="B34" s="446"/>
      <c r="C34" s="451">
        <f>'[1]Tasa de Falla'!C34</f>
        <v>18</v>
      </c>
      <c r="D34" s="452" t="str">
        <f>'[1]Tasa de Falla'!D34</f>
        <v>CRUZ DE PIEDRA - LUJAN DE CUYO 2</v>
      </c>
      <c r="E34" s="452">
        <f>'[1]Tasa de Falla'!E34</f>
        <v>132</v>
      </c>
      <c r="F34" s="453">
        <f>'[1]Tasa de Falla'!F34</f>
        <v>18.1</v>
      </c>
      <c r="G34" s="452">
        <f>IF('[1]Tasa de Falla'!HH34="","",'[1]Tasa de Falla'!HH34)</f>
      </c>
      <c r="H34" s="452">
        <f>IF('[1]Tasa de Falla'!HI34="","",'[1]Tasa de Falla'!HI34)</f>
      </c>
      <c r="I34" s="452">
        <f>IF('[1]Tasa de Falla'!HJ34="","",'[1]Tasa de Falla'!HJ34)</f>
      </c>
      <c r="J34" s="452">
        <f>IF('[1]Tasa de Falla'!HK34="","",'[1]Tasa de Falla'!HK34)</f>
      </c>
      <c r="K34" s="452">
        <f>IF('[1]Tasa de Falla'!HL34="","",'[1]Tasa de Falla'!HL34)</f>
      </c>
      <c r="L34" s="452">
        <f>IF('[1]Tasa de Falla'!HM34="","",'[1]Tasa de Falla'!HM34)</f>
      </c>
      <c r="M34" s="452">
        <f>IF('[1]Tasa de Falla'!HN34="","",'[1]Tasa de Falla'!HN34)</f>
      </c>
      <c r="N34" s="452">
        <f>IF('[1]Tasa de Falla'!HO34="","",'[1]Tasa de Falla'!HO34)</f>
      </c>
      <c r="O34" s="452">
        <f>IF('[1]Tasa de Falla'!HP34="","",'[1]Tasa de Falla'!HP34)</f>
      </c>
      <c r="P34" s="452">
        <f>IF('[1]Tasa de Falla'!HQ34="","",'[1]Tasa de Falla'!HQ34)</f>
      </c>
      <c r="Q34" s="452">
        <f>IF('[1]Tasa de Falla'!HR34="","",'[1]Tasa de Falla'!HR34)</f>
      </c>
      <c r="R34" s="452">
        <f>IF('[1]Tasa de Falla'!HS34="","",'[1]Tasa de Falla'!HS34)</f>
      </c>
      <c r="S34" s="449"/>
      <c r="T34" s="444"/>
    </row>
    <row r="35" spans="2:20" s="445" customFormat="1" ht="24.75" customHeight="1">
      <c r="B35" s="446"/>
      <c r="C35" s="457">
        <f>'[1]Tasa de Falla'!C35</f>
        <v>19</v>
      </c>
      <c r="D35" s="458" t="str">
        <f>'[1]Tasa de Falla'!D35</f>
        <v>C.H. NIHUIL I - PEDRO VARGAS</v>
      </c>
      <c r="E35" s="458">
        <f>'[1]Tasa de Falla'!E35</f>
        <v>132</v>
      </c>
      <c r="F35" s="459">
        <f>'[1]Tasa de Falla'!F35</f>
        <v>46.5</v>
      </c>
      <c r="G35" s="452">
        <f>IF('[1]Tasa de Falla'!HH35="","",'[1]Tasa de Falla'!HH35)</f>
      </c>
      <c r="H35" s="452">
        <f>IF('[1]Tasa de Falla'!HI35="","",'[1]Tasa de Falla'!HI35)</f>
      </c>
      <c r="I35" s="452">
        <f>IF('[1]Tasa de Falla'!HJ35="","",'[1]Tasa de Falla'!HJ35)</f>
      </c>
      <c r="J35" s="452">
        <f>IF('[1]Tasa de Falla'!HK35="","",'[1]Tasa de Falla'!HK35)</f>
      </c>
      <c r="K35" s="452">
        <f>IF('[1]Tasa de Falla'!HL35="","",'[1]Tasa de Falla'!HL35)</f>
      </c>
      <c r="L35" s="452">
        <f>IF('[1]Tasa de Falla'!HM35="","",'[1]Tasa de Falla'!HM35)</f>
      </c>
      <c r="M35" s="452">
        <f>IF('[1]Tasa de Falla'!HN35="","",'[1]Tasa de Falla'!HN35)</f>
      </c>
      <c r="N35" s="452">
        <f>IF('[1]Tasa de Falla'!HO35="","",'[1]Tasa de Falla'!HO35)</f>
      </c>
      <c r="O35" s="452">
        <f>IF('[1]Tasa de Falla'!HP35="","",'[1]Tasa de Falla'!HP35)</f>
      </c>
      <c r="P35" s="452">
        <f>IF('[1]Tasa de Falla'!HQ35="","",'[1]Tasa de Falla'!HQ35)</f>
      </c>
      <c r="Q35" s="452">
        <f>IF('[1]Tasa de Falla'!HR35="","",'[1]Tasa de Falla'!HR35)</f>
      </c>
      <c r="R35" s="452">
        <f>IF('[1]Tasa de Falla'!HS35="","",'[1]Tasa de Falla'!HS35)</f>
      </c>
      <c r="S35" s="449"/>
      <c r="T35" s="444"/>
    </row>
    <row r="36" spans="2:20" s="445" customFormat="1" ht="24.75" customHeight="1">
      <c r="B36" s="446"/>
      <c r="C36" s="451">
        <f>'[1]Tasa de Falla'!C36</f>
        <v>20</v>
      </c>
      <c r="D36" s="452" t="str">
        <f>'[1]Tasa de Falla'!D36</f>
        <v>N AN JUAN - SAN JUAN</v>
      </c>
      <c r="E36" s="452">
        <f>'[1]Tasa de Falla'!E36</f>
        <v>220</v>
      </c>
      <c r="F36" s="453">
        <f>'[1]Tasa de Falla'!F36</f>
        <v>4.5</v>
      </c>
      <c r="G36" s="452">
        <f>IF('[1]Tasa de Falla'!HH36="","",'[1]Tasa de Falla'!HH36)</f>
      </c>
      <c r="H36" s="452">
        <f>IF('[1]Tasa de Falla'!HI36="","",'[1]Tasa de Falla'!HI36)</f>
      </c>
      <c r="I36" s="452">
        <f>IF('[1]Tasa de Falla'!HJ36="","",'[1]Tasa de Falla'!HJ36)</f>
      </c>
      <c r="J36" s="452">
        <f>IF('[1]Tasa de Falla'!HK36="","",'[1]Tasa de Falla'!HK36)</f>
      </c>
      <c r="K36" s="452">
        <f>IF('[1]Tasa de Falla'!HL36="","",'[1]Tasa de Falla'!HL36)</f>
      </c>
      <c r="L36" s="452">
        <f>IF('[1]Tasa de Falla'!HM36="","",'[1]Tasa de Falla'!HM36)</f>
      </c>
      <c r="M36" s="452">
        <f>IF('[1]Tasa de Falla'!HN36="","",'[1]Tasa de Falla'!HN36)</f>
      </c>
      <c r="N36" s="452">
        <f>IF('[1]Tasa de Falla'!HO36="","",'[1]Tasa de Falla'!HO36)</f>
      </c>
      <c r="O36" s="452">
        <f>IF('[1]Tasa de Falla'!HP36="","",'[1]Tasa de Falla'!HP36)</f>
      </c>
      <c r="P36" s="452">
        <f>IF('[1]Tasa de Falla'!HQ36="","",'[1]Tasa de Falla'!HQ36)</f>
      </c>
      <c r="Q36" s="452">
        <f>IF('[1]Tasa de Falla'!HR36="","",'[1]Tasa de Falla'!HR36)</f>
      </c>
      <c r="R36" s="452">
        <f>IF('[1]Tasa de Falla'!HS36="","",'[1]Tasa de Falla'!HS36)</f>
      </c>
      <c r="S36" s="449"/>
      <c r="T36" s="444"/>
    </row>
    <row r="37" spans="2:20" s="445" customFormat="1" ht="24.75" customHeight="1">
      <c r="B37" s="446"/>
      <c r="C37" s="457">
        <f>'[1]Tasa de Falla'!C37</f>
        <v>21</v>
      </c>
      <c r="D37" s="458" t="str">
        <f>'[1]Tasa de Falla'!D37</f>
        <v>SAN JUAN - CAÑADA HONDA</v>
      </c>
      <c r="E37" s="458">
        <f>'[1]Tasa de Falla'!E37</f>
        <v>132</v>
      </c>
      <c r="F37" s="459">
        <f>'[1]Tasa de Falla'!F37</f>
        <v>54.4</v>
      </c>
      <c r="G37" s="452">
        <f>IF('[1]Tasa de Falla'!HH37="","",'[1]Tasa de Falla'!HH37)</f>
      </c>
      <c r="H37" s="452">
        <f>IF('[1]Tasa de Falla'!HI37="","",'[1]Tasa de Falla'!HI37)</f>
      </c>
      <c r="I37" s="452">
        <f>IF('[1]Tasa de Falla'!HJ37="","",'[1]Tasa de Falla'!HJ37)</f>
      </c>
      <c r="J37" s="452">
        <f>IF('[1]Tasa de Falla'!HK37="","",'[1]Tasa de Falla'!HK37)</f>
      </c>
      <c r="K37" s="452">
        <f>IF('[1]Tasa de Falla'!HL37="","",'[1]Tasa de Falla'!HL37)</f>
      </c>
      <c r="L37" s="452">
        <f>IF('[1]Tasa de Falla'!HM37="","",'[1]Tasa de Falla'!HM37)</f>
        <v>1</v>
      </c>
      <c r="M37" s="452">
        <f>IF('[1]Tasa de Falla'!HN37="","",'[1]Tasa de Falla'!HN37)</f>
        <v>1</v>
      </c>
      <c r="N37" s="452">
        <f>IF('[1]Tasa de Falla'!HO37="","",'[1]Tasa de Falla'!HO37)</f>
      </c>
      <c r="O37" s="452">
        <f>IF('[1]Tasa de Falla'!HP37="","",'[1]Tasa de Falla'!HP37)</f>
      </c>
      <c r="P37" s="452">
        <f>IF('[1]Tasa de Falla'!HQ37="","",'[1]Tasa de Falla'!HQ37)</f>
      </c>
      <c r="Q37" s="452">
        <f>IF('[1]Tasa de Falla'!HR37="","",'[1]Tasa de Falla'!HR37)</f>
      </c>
      <c r="R37" s="452">
        <f>IF('[1]Tasa de Falla'!HS37="","",'[1]Tasa de Falla'!HS37)</f>
      </c>
      <c r="S37" s="449"/>
      <c r="T37" s="444"/>
    </row>
    <row r="38" spans="2:20" s="445" customFormat="1" ht="24.75" customHeight="1" thickBot="1">
      <c r="B38" s="446"/>
      <c r="C38" s="460">
        <f>IF('[2]Tasa de Falla'!C36=0,"",'[2]Tasa de Falla'!C36)</f>
      </c>
      <c r="D38" s="461">
        <f>IF('[2]Tasa de Falla'!D36=0,"",'[2]Tasa de Falla'!D36)</f>
      </c>
      <c r="E38" s="462">
        <f>IF('[2]Tasa de Falla'!E36=0,"",'[2]Tasa de Falla'!E36)</f>
      </c>
      <c r="F38" s="463">
        <f>IF('[2]Tasa de Falla'!F36=0,"",'[2]Tasa de Falla'!F36)</f>
      </c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49"/>
      <c r="T38" s="444"/>
    </row>
    <row r="39" spans="2:20" s="445" customFormat="1" ht="24.75" customHeight="1" thickBot="1" thickTop="1">
      <c r="B39" s="446"/>
      <c r="C39" s="464"/>
      <c r="D39" s="465"/>
      <c r="E39" s="466" t="s">
        <v>159</v>
      </c>
      <c r="F39" s="467">
        <f>ROUND(SUM($F$17:$F$38)-SUMIF($R17:$R38,"XXXX",$F$17:$F$38),2)</f>
        <v>1250</v>
      </c>
      <c r="G39" s="468"/>
      <c r="H39" s="469"/>
      <c r="I39" s="468"/>
      <c r="J39" s="469"/>
      <c r="K39" s="468"/>
      <c r="L39" s="469"/>
      <c r="M39" s="468"/>
      <c r="N39" s="469"/>
      <c r="O39" s="468"/>
      <c r="P39" s="469"/>
      <c r="Q39" s="468"/>
      <c r="R39" s="469"/>
      <c r="S39" s="449"/>
      <c r="T39" s="444"/>
    </row>
    <row r="40" spans="2:20" s="445" customFormat="1" ht="24.75" customHeight="1" thickBot="1" thickTop="1">
      <c r="B40" s="446"/>
      <c r="C40" s="470"/>
      <c r="D40" s="471"/>
      <c r="F40" s="472" t="s">
        <v>160</v>
      </c>
      <c r="G40" s="473">
        <f aca="true" t="shared" si="0" ref="G40:R40">SUM(G17:G38)</f>
        <v>0</v>
      </c>
      <c r="H40" s="473">
        <f t="shared" si="0"/>
        <v>2</v>
      </c>
      <c r="I40" s="473">
        <f t="shared" si="0"/>
        <v>0</v>
      </c>
      <c r="J40" s="473">
        <f t="shared" si="0"/>
        <v>0</v>
      </c>
      <c r="K40" s="473">
        <f t="shared" si="0"/>
        <v>0</v>
      </c>
      <c r="L40" s="473">
        <f t="shared" si="0"/>
        <v>2</v>
      </c>
      <c r="M40" s="473">
        <f t="shared" si="0"/>
        <v>1</v>
      </c>
      <c r="N40" s="473">
        <f t="shared" si="0"/>
        <v>0</v>
      </c>
      <c r="O40" s="473">
        <f t="shared" si="0"/>
        <v>1</v>
      </c>
      <c r="P40" s="473">
        <f t="shared" si="0"/>
        <v>0</v>
      </c>
      <c r="Q40" s="473">
        <f t="shared" si="0"/>
        <v>2</v>
      </c>
      <c r="R40" s="473">
        <f t="shared" si="0"/>
        <v>2</v>
      </c>
      <c r="S40" s="449"/>
      <c r="T40" s="444"/>
    </row>
    <row r="41" spans="2:20" s="445" customFormat="1" ht="24.75" customHeight="1" thickBot="1" thickTop="1">
      <c r="B41" s="446"/>
      <c r="C41" s="470"/>
      <c r="D41" s="470"/>
      <c r="E41" s="470"/>
      <c r="F41" s="474" t="s">
        <v>161</v>
      </c>
      <c r="G41" s="475">
        <f>'[1]Tasa de Falla'!HH42</f>
        <v>1.04</v>
      </c>
      <c r="H41" s="475">
        <f>'[1]Tasa de Falla'!HI42</f>
        <v>0.88</v>
      </c>
      <c r="I41" s="475">
        <f>'[1]Tasa de Falla'!HJ42</f>
        <v>0.96</v>
      </c>
      <c r="J41" s="475">
        <f>'[1]Tasa de Falla'!HK42</f>
        <v>0.96</v>
      </c>
      <c r="K41" s="475">
        <f>'[1]Tasa de Falla'!HL42</f>
        <v>0.88</v>
      </c>
      <c r="L41" s="475">
        <f>'[1]Tasa de Falla'!HM42</f>
        <v>0.88</v>
      </c>
      <c r="M41" s="475">
        <f>'[1]Tasa de Falla'!HN42</f>
        <v>0.88</v>
      </c>
      <c r="N41" s="475">
        <f>'[1]Tasa de Falla'!HO42</f>
        <v>0.88</v>
      </c>
      <c r="O41" s="475">
        <f>'[1]Tasa de Falla'!HP42</f>
        <v>0.8</v>
      </c>
      <c r="P41" s="475">
        <f>'[1]Tasa de Falla'!HQ42</f>
        <v>0.8</v>
      </c>
      <c r="Q41" s="475">
        <f>'[1]Tasa de Falla'!HR42</f>
        <v>0.72</v>
      </c>
      <c r="R41" s="475">
        <f>'[1]Tasa de Falla'!HS42</f>
        <v>0.72</v>
      </c>
      <c r="S41" s="475">
        <f>'[1]Tasa de Falla'!HT42</f>
        <v>0.8</v>
      </c>
      <c r="T41" s="444"/>
    </row>
    <row r="42" spans="2:20" ht="18.75" customHeight="1" thickBot="1" thickTop="1">
      <c r="B42" s="432"/>
      <c r="C42" s="476"/>
      <c r="D42" s="477" t="s">
        <v>162</v>
      </c>
      <c r="E42" s="478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1"/>
    </row>
    <row r="43" spans="2:20" ht="17.25" thickBot="1" thickTop="1">
      <c r="B43" s="482"/>
      <c r="C43" s="436"/>
      <c r="D43" s="436"/>
      <c r="H43" s="483" t="s">
        <v>163</v>
      </c>
      <c r="I43" s="484"/>
      <c r="J43" s="485">
        <f>S41</f>
        <v>0.8</v>
      </c>
      <c r="K43" s="486" t="s">
        <v>164</v>
      </c>
      <c r="L43" s="487"/>
      <c r="M43" s="488"/>
      <c r="N43" s="489"/>
      <c r="O43" s="489"/>
      <c r="P43" s="489"/>
      <c r="Q43" s="489"/>
      <c r="R43" s="436"/>
      <c r="S43" s="436"/>
      <c r="T43" s="437"/>
    </row>
    <row r="44" spans="2:20" ht="18.75" customHeight="1" thickBot="1" thickTop="1">
      <c r="B44" s="490"/>
      <c r="C44" s="491"/>
      <c r="D44" s="492"/>
      <c r="E44" s="492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5"/>
    </row>
    <row r="45" ht="13.5" thickTop="1">
      <c r="AA45" s="411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393" customWidth="1"/>
    <col min="2" max="2" width="9.28125" style="393" customWidth="1"/>
    <col min="3" max="3" width="11.8515625" style="393" bestFit="1" customWidth="1"/>
    <col min="4" max="4" width="9.57421875" style="393" bestFit="1" customWidth="1"/>
    <col min="5" max="5" width="14.8515625" style="393" bestFit="1" customWidth="1"/>
    <col min="6" max="6" width="64.00390625" style="393" bestFit="1" customWidth="1"/>
    <col min="7" max="16384" width="11.421875" style="393" customWidth="1"/>
  </cols>
  <sheetData>
    <row r="1" spans="1:4" ht="12.75">
      <c r="A1" s="392" t="s">
        <v>76</v>
      </c>
      <c r="B1" s="392" t="s">
        <v>76</v>
      </c>
      <c r="C1" s="392" t="s">
        <v>77</v>
      </c>
      <c r="D1" s="392" t="s">
        <v>78</v>
      </c>
    </row>
    <row r="2" spans="1:4" ht="12.75">
      <c r="A2" s="394" t="s">
        <v>60</v>
      </c>
      <c r="B2" s="395" t="s">
        <v>79</v>
      </c>
      <c r="C2" s="394">
        <v>31</v>
      </c>
      <c r="D2" s="394">
        <v>2006</v>
      </c>
    </row>
    <row r="3" spans="1:4" ht="12.75">
      <c r="A3" s="394" t="s">
        <v>61</v>
      </c>
      <c r="B3" s="395" t="s">
        <v>80</v>
      </c>
      <c r="C3" s="394">
        <f>IF(MOD(E14,4)=0,29,28)</f>
        <v>28</v>
      </c>
      <c r="D3" s="394">
        <f>+D2+1</f>
        <v>2007</v>
      </c>
    </row>
    <row r="4" spans="1:4" ht="12.75">
      <c r="A4" s="394" t="s">
        <v>62</v>
      </c>
      <c r="B4" s="395" t="s">
        <v>81</v>
      </c>
      <c r="C4" s="394">
        <v>31</v>
      </c>
      <c r="D4" s="394">
        <v>2008</v>
      </c>
    </row>
    <row r="5" spans="1:4" ht="12.75">
      <c r="A5" s="394" t="s">
        <v>63</v>
      </c>
      <c r="B5" s="395" t="s">
        <v>82</v>
      </c>
      <c r="C5" s="394">
        <v>30</v>
      </c>
      <c r="D5" s="394">
        <v>2009</v>
      </c>
    </row>
    <row r="6" spans="1:4" ht="12.75">
      <c r="A6" s="394" t="s">
        <v>64</v>
      </c>
      <c r="B6" s="395" t="s">
        <v>83</v>
      </c>
      <c r="C6" s="394">
        <v>31</v>
      </c>
      <c r="D6" s="394">
        <v>2010</v>
      </c>
    </row>
    <row r="7" spans="1:4" ht="12.75">
      <c r="A7" s="394" t="s">
        <v>65</v>
      </c>
      <c r="B7" s="395" t="s">
        <v>84</v>
      </c>
      <c r="C7" s="394">
        <v>30</v>
      </c>
      <c r="D7" s="394">
        <v>2011</v>
      </c>
    </row>
    <row r="8" spans="1:4" ht="12.75">
      <c r="A8" s="394" t="s">
        <v>66</v>
      </c>
      <c r="B8" s="395" t="s">
        <v>85</v>
      </c>
      <c r="C8" s="394">
        <v>31</v>
      </c>
      <c r="D8" s="394">
        <v>2012</v>
      </c>
    </row>
    <row r="9" spans="1:4" ht="12.75">
      <c r="A9" s="394" t="s">
        <v>67</v>
      </c>
      <c r="B9" s="395" t="s">
        <v>86</v>
      </c>
      <c r="C9" s="394">
        <v>31</v>
      </c>
      <c r="D9" s="394">
        <v>2013</v>
      </c>
    </row>
    <row r="10" spans="1:4" ht="12.75">
      <c r="A10" s="394" t="s">
        <v>68</v>
      </c>
      <c r="B10" s="395" t="s">
        <v>87</v>
      </c>
      <c r="C10" s="394">
        <v>30</v>
      </c>
      <c r="D10" s="394">
        <v>2014</v>
      </c>
    </row>
    <row r="11" spans="1:4" ht="12.75">
      <c r="A11" s="394" t="s">
        <v>69</v>
      </c>
      <c r="B11" s="395" t="s">
        <v>88</v>
      </c>
      <c r="C11" s="394">
        <v>31</v>
      </c>
      <c r="D11" s="394"/>
    </row>
    <row r="12" spans="1:4" ht="12.75">
      <c r="A12" s="394" t="s">
        <v>70</v>
      </c>
      <c r="B12" s="395" t="s">
        <v>89</v>
      </c>
      <c r="C12" s="394">
        <v>30</v>
      </c>
      <c r="D12" s="394"/>
    </row>
    <row r="13" spans="1:9" ht="12.75">
      <c r="A13" s="394" t="s">
        <v>71</v>
      </c>
      <c r="B13" s="395" t="s">
        <v>90</v>
      </c>
      <c r="C13" s="394">
        <v>31</v>
      </c>
      <c r="D13" s="394"/>
      <c r="I13" s="396" t="s">
        <v>91</v>
      </c>
    </row>
    <row r="14" spans="1:9" ht="12.75">
      <c r="A14" s="397">
        <v>8</v>
      </c>
      <c r="B14" s="398">
        <v>12</v>
      </c>
      <c r="C14" s="397" t="str">
        <f ca="1">CELL("CONTENIDO",OFFSET(A1,B14,0))</f>
        <v>diciembre</v>
      </c>
      <c r="D14" s="397">
        <f ca="1">CELL("CONTENIDO",OFFSET(C1,B14,0))</f>
        <v>31</v>
      </c>
      <c r="E14" s="397">
        <f ca="1">CELL("CONTENIDO",OFFSET(D1,A14,0))</f>
        <v>2013</v>
      </c>
      <c r="F14" s="397" t="str">
        <f>"Desde el 01 al "&amp;D14&amp;" de "&amp;C14&amp;" de "&amp;E14</f>
        <v>Desde el 01 al 31 de diciembre de 2013</v>
      </c>
      <c r="G14" s="397" t="str">
        <f ca="1">CELL("CONTENIDO",OFFSET(B1,B14,0))</f>
        <v>12</v>
      </c>
      <c r="H14" s="397" t="str">
        <f>RIGHT(E14,2)</f>
        <v>13</v>
      </c>
      <c r="I14" s="399" t="s">
        <v>92</v>
      </c>
    </row>
    <row r="15" spans="1:8" ht="12.75">
      <c r="A15" s="397"/>
      <c r="B15" s="400" t="str">
        <f>"\\rugor\files\Transporte\Transporte\AA PROCESO AUT ARCHIVOS J\DISTROCUYO\"&amp;E14</f>
        <v>\\rugor\files\Transporte\Transporte\AA PROCESO AUT ARCHIVOS J\DISTROCUYO\2013</v>
      </c>
      <c r="C15" s="397"/>
      <c r="D15" s="397"/>
      <c r="E15" s="397"/>
      <c r="F15" s="397"/>
      <c r="G15" s="397" t="str">
        <f>"J"&amp;G14&amp;H14&amp;"CUY"</f>
        <v>J1213CUY</v>
      </c>
      <c r="H15" s="397"/>
    </row>
    <row r="16" spans="1:8" ht="12.75">
      <c r="A16" s="397"/>
      <c r="B16" s="400" t="str">
        <f>"\\rugor\files\Transporte\transporte\AA PROCESO AUT\INTERCAMBIO\"&amp;H14&amp;G14</f>
        <v>\\rugor\files\Transporte\transporte\AA PROCESO AUT\INTERCAMBIO\1312</v>
      </c>
      <c r="C16" s="397"/>
      <c r="D16" s="397"/>
      <c r="E16" s="397"/>
      <c r="F16" s="397"/>
      <c r="G16" s="397"/>
      <c r="H16" s="397"/>
    </row>
    <row r="17" spans="1:29" s="401" customFormat="1" ht="12.75">
      <c r="A17" s="392" t="s">
        <v>93</v>
      </c>
      <c r="B17" s="392" t="s">
        <v>94</v>
      </c>
      <c r="C17" s="392" t="s">
        <v>95</v>
      </c>
      <c r="D17" s="392" t="s">
        <v>96</v>
      </c>
      <c r="E17" s="392" t="s">
        <v>97</v>
      </c>
      <c r="F17" s="392" t="s">
        <v>98</v>
      </c>
      <c r="G17" s="392" t="s">
        <v>126</v>
      </c>
      <c r="H17" s="392" t="s">
        <v>99</v>
      </c>
      <c r="I17" s="392" t="s">
        <v>100</v>
      </c>
      <c r="J17" s="392" t="s">
        <v>101</v>
      </c>
      <c r="K17" s="392" t="s">
        <v>102</v>
      </c>
      <c r="L17" s="392" t="s">
        <v>103</v>
      </c>
      <c r="M17" s="392" t="s">
        <v>104</v>
      </c>
      <c r="N17" s="392" t="s">
        <v>105</v>
      </c>
      <c r="O17" s="392" t="s">
        <v>106</v>
      </c>
      <c r="P17" s="392" t="s">
        <v>107</v>
      </c>
      <c r="Q17" s="392" t="s">
        <v>108</v>
      </c>
      <c r="R17" s="392" t="s">
        <v>109</v>
      </c>
      <c r="S17" s="392" t="s">
        <v>110</v>
      </c>
      <c r="T17" s="392" t="s">
        <v>111</v>
      </c>
      <c r="U17" s="392" t="s">
        <v>112</v>
      </c>
      <c r="V17" s="392" t="s">
        <v>113</v>
      </c>
      <c r="W17" s="392" t="s">
        <v>114</v>
      </c>
      <c r="X17" s="392" t="s">
        <v>115</v>
      </c>
      <c r="Y17" s="392" t="s">
        <v>116</v>
      </c>
      <c r="Z17" s="392" t="s">
        <v>117</v>
      </c>
      <c r="AA17" s="392" t="s">
        <v>118</v>
      </c>
      <c r="AB17" s="392" t="s">
        <v>119</v>
      </c>
      <c r="AC17" s="392" t="s">
        <v>120</v>
      </c>
    </row>
    <row r="18" spans="1:29" ht="12.75">
      <c r="A18" s="402" t="s">
        <v>121</v>
      </c>
      <c r="B18" s="402">
        <v>21</v>
      </c>
      <c r="C18" s="402">
        <v>19</v>
      </c>
      <c r="D18" s="402">
        <v>12</v>
      </c>
      <c r="E18" s="402" t="str">
        <f>"LI-"&amp;$G$14</f>
        <v>LI-12</v>
      </c>
      <c r="F18" s="402" t="s">
        <v>127</v>
      </c>
      <c r="G18" s="402">
        <v>3</v>
      </c>
      <c r="H18" s="403">
        <v>5</v>
      </c>
      <c r="I18" s="403">
        <v>4</v>
      </c>
      <c r="J18" s="402">
        <v>6</v>
      </c>
      <c r="K18" s="402">
        <v>7</v>
      </c>
      <c r="L18" s="402">
        <v>8</v>
      </c>
      <c r="M18" s="402">
        <v>0</v>
      </c>
      <c r="N18" s="402">
        <v>10</v>
      </c>
      <c r="O18" s="402">
        <v>11</v>
      </c>
      <c r="P18" s="402">
        <v>14</v>
      </c>
      <c r="Q18" s="402">
        <v>26</v>
      </c>
      <c r="R18" s="402">
        <v>0</v>
      </c>
      <c r="S18" s="402">
        <v>15</v>
      </c>
      <c r="T18" s="402">
        <v>0</v>
      </c>
      <c r="U18" s="402">
        <v>0</v>
      </c>
      <c r="V18" s="402">
        <v>0</v>
      </c>
      <c r="W18" s="402">
        <v>18</v>
      </c>
      <c r="X18" s="402">
        <v>9</v>
      </c>
      <c r="Y18" s="402">
        <v>42</v>
      </c>
      <c r="Z18" s="402">
        <v>27</v>
      </c>
      <c r="AA18" s="402">
        <v>19</v>
      </c>
      <c r="AB18" s="402">
        <v>27</v>
      </c>
      <c r="AC18" s="402">
        <v>14</v>
      </c>
    </row>
    <row r="19" spans="1:29" ht="12.75">
      <c r="A19" s="404" t="s">
        <v>122</v>
      </c>
      <c r="B19" s="404">
        <v>22</v>
      </c>
      <c r="C19" s="404">
        <v>19</v>
      </c>
      <c r="D19" s="404">
        <v>13</v>
      </c>
      <c r="E19" s="404" t="str">
        <f>"T-"&amp;$G$14</f>
        <v>T-12</v>
      </c>
      <c r="F19" s="404" t="s">
        <v>128</v>
      </c>
      <c r="G19" s="402">
        <v>3</v>
      </c>
      <c r="H19" s="403">
        <v>5</v>
      </c>
      <c r="I19" s="403">
        <v>4</v>
      </c>
      <c r="J19" s="404">
        <v>6</v>
      </c>
      <c r="K19" s="404">
        <v>7</v>
      </c>
      <c r="L19" s="404">
        <v>8</v>
      </c>
      <c r="M19" s="404">
        <v>9</v>
      </c>
      <c r="N19" s="404">
        <v>11</v>
      </c>
      <c r="O19" s="404">
        <v>12</v>
      </c>
      <c r="P19" s="404">
        <v>15</v>
      </c>
      <c r="Q19" s="404">
        <v>16</v>
      </c>
      <c r="R19" s="404">
        <v>18</v>
      </c>
      <c r="S19" s="404">
        <v>28</v>
      </c>
      <c r="T19" s="404">
        <v>17</v>
      </c>
      <c r="U19" s="404">
        <v>0</v>
      </c>
      <c r="V19" s="404">
        <v>0</v>
      </c>
      <c r="W19" s="404">
        <v>22</v>
      </c>
      <c r="X19" s="402">
        <v>9</v>
      </c>
      <c r="Y19" s="404">
        <v>43</v>
      </c>
      <c r="Z19" s="404">
        <v>29</v>
      </c>
      <c r="AA19" s="404">
        <v>20</v>
      </c>
      <c r="AB19" s="404">
        <v>29</v>
      </c>
      <c r="AC19" s="404">
        <v>15</v>
      </c>
    </row>
    <row r="20" spans="1:29" ht="12.75">
      <c r="A20" s="402" t="s">
        <v>123</v>
      </c>
      <c r="B20" s="402">
        <v>22</v>
      </c>
      <c r="C20" s="402">
        <v>19</v>
      </c>
      <c r="D20" s="402">
        <v>10</v>
      </c>
      <c r="E20" s="402" t="str">
        <f>"SA-"&amp;$G$14</f>
        <v>SA-12</v>
      </c>
      <c r="F20" s="402" t="s">
        <v>129</v>
      </c>
      <c r="G20" s="402">
        <v>3</v>
      </c>
      <c r="H20" s="403">
        <v>5</v>
      </c>
      <c r="I20" s="403">
        <v>4</v>
      </c>
      <c r="J20" s="402">
        <v>6</v>
      </c>
      <c r="K20" s="402">
        <v>7</v>
      </c>
      <c r="L20" s="402">
        <v>8</v>
      </c>
      <c r="M20" s="402">
        <v>10</v>
      </c>
      <c r="N20" s="402">
        <v>11</v>
      </c>
      <c r="O20" s="402">
        <v>14</v>
      </c>
      <c r="P20" s="402">
        <v>15</v>
      </c>
      <c r="Q20" s="402">
        <v>21</v>
      </c>
      <c r="R20" s="402">
        <v>0</v>
      </c>
      <c r="S20" s="402">
        <v>0</v>
      </c>
      <c r="T20" s="402">
        <v>0</v>
      </c>
      <c r="U20" s="402">
        <v>0</v>
      </c>
      <c r="V20" s="402">
        <v>0</v>
      </c>
      <c r="W20" s="402">
        <v>24</v>
      </c>
      <c r="X20" s="402">
        <v>9</v>
      </c>
      <c r="Y20" s="402">
        <v>43</v>
      </c>
      <c r="Z20" s="402">
        <v>22</v>
      </c>
      <c r="AA20" s="402">
        <v>20</v>
      </c>
      <c r="AB20" s="402">
        <v>22</v>
      </c>
      <c r="AC20" s="402">
        <v>14</v>
      </c>
    </row>
    <row r="21" spans="1:29" s="401" customFormat="1" ht="12.75">
      <c r="A21" s="405" t="s">
        <v>124</v>
      </c>
      <c r="B21" s="405">
        <v>19</v>
      </c>
      <c r="C21" s="405">
        <v>24</v>
      </c>
      <c r="D21" s="406">
        <v>4</v>
      </c>
      <c r="E21" s="405" t="str">
        <f>"CAUSAS-VST-"&amp;$G$14</f>
        <v>CAUSAS-VST-12</v>
      </c>
      <c r="F21" s="405" t="s">
        <v>125</v>
      </c>
      <c r="G21" s="405">
        <v>3</v>
      </c>
      <c r="H21" s="405">
        <v>4</v>
      </c>
      <c r="I21" s="405">
        <v>5</v>
      </c>
      <c r="J21" s="405">
        <v>6</v>
      </c>
      <c r="K21" s="405">
        <v>7</v>
      </c>
      <c r="L21" s="405">
        <v>0</v>
      </c>
      <c r="M21" s="405">
        <v>0</v>
      </c>
      <c r="N21" s="405">
        <v>0</v>
      </c>
      <c r="O21" s="405">
        <v>0</v>
      </c>
      <c r="P21" s="405">
        <v>0</v>
      </c>
      <c r="Q21" s="405">
        <v>0</v>
      </c>
      <c r="R21" s="405">
        <v>0</v>
      </c>
      <c r="S21" s="405">
        <v>0</v>
      </c>
      <c r="T21" s="405">
        <v>0</v>
      </c>
      <c r="U21" s="405">
        <v>0</v>
      </c>
      <c r="V21" s="405">
        <v>0</v>
      </c>
      <c r="W21" s="405">
        <v>999</v>
      </c>
      <c r="X21" s="405">
        <v>999</v>
      </c>
      <c r="Y21" s="405">
        <v>0</v>
      </c>
      <c r="Z21" s="405">
        <v>0</v>
      </c>
      <c r="AA21" s="405">
        <v>0</v>
      </c>
      <c r="AB21" s="405">
        <v>0</v>
      </c>
      <c r="AC21" s="405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2014-12-16T13:35:08Z</cp:lastPrinted>
  <dcterms:created xsi:type="dcterms:W3CDTF">1998-09-02T21:31:22Z</dcterms:created>
  <dcterms:modified xsi:type="dcterms:W3CDTF">2014-12-30T14:35:51Z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