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521" yWindow="3675" windowWidth="11970" windowHeight="3720" activeTab="0"/>
  </bookViews>
  <sheets>
    <sheet name="TOT-0516" sheetId="10" r:id="rId1"/>
    <sheet name="LI-05 (1)" sheetId="16" r:id="rId2"/>
    <sheet name="T-05 (1)" sheetId="17" r:id="rId3"/>
    <sheet name="SA-05 (1)" sheetId="18" r:id="rId4"/>
    <sheet name="LI-LICCSA D-05 (1)" sheetId="19" r:id="rId5"/>
    <sheet name="TASA FALLA" sheetId="21" r:id="rId6"/>
    <sheet name="DATO" sheetId="14" r:id="rId7"/>
  </sheets>
  <externalReferences>
    <externalReference r:id="rId10"/>
    <externalReference r:id="rId11"/>
  </externalReferences>
  <definedNames>
    <definedName name="_xlnm.Print_Area" localSheetId="5">'TASA FALLA'!$A$1:$T$44</definedName>
    <definedName name="DD" localSheetId="5">'TASA FALLA'!DD</definedName>
    <definedName name="DD">[0]!DD</definedName>
    <definedName name="DDD" localSheetId="5">'TASA FALLA'!DDD</definedName>
    <definedName name="DDD">[0]!DDD</definedName>
    <definedName name="DISTROCUYO" localSheetId="5">'TASA FALLA'!DISTROCUYO</definedName>
    <definedName name="DISTROCUYO">[0]!DISTROCUYO</definedName>
    <definedName name="INICIO" localSheetId="5">'TASA FALLA'!INICIO</definedName>
    <definedName name="INICIO">[0]!INICIO</definedName>
    <definedName name="INICIOTI" localSheetId="5">'TASA FALLA'!INICIOTI</definedName>
    <definedName name="INICIOTI">[0]!INICIOTI</definedName>
    <definedName name="LINEAS" localSheetId="5">'TASA FALLA'!LINEAS</definedName>
    <definedName name="LINEAS">[0]!LINEAS</definedName>
    <definedName name="LINEASTI" localSheetId="5">'TASA FALLA'!LINEASTI</definedName>
    <definedName name="LINEASTI">[0]!LINEASTI</definedName>
    <definedName name="NAME_L" localSheetId="5">'TASA FALLA'!NAME_L</definedName>
    <definedName name="NAME_L">[0]!NAME_L</definedName>
    <definedName name="NAME_L_TI" localSheetId="5">'TASA FALLA'!NAME_L_TI</definedName>
    <definedName name="NAME_L_TI">[0]!NAME_L_TI</definedName>
    <definedName name="TRAN" localSheetId="5">'TASA FALLA'!TRAN</definedName>
    <definedName name="TRAN">[0]!TRAN</definedName>
    <definedName name="TRANSNOA" localSheetId="5">'TASA FALLA'!TRANSNOA</definedName>
    <definedName name="TRANSNOA">[0]!TRANSNOA</definedName>
    <definedName name="TRANSPA" localSheetId="5">'TASA FALLA'!TRANSPA</definedName>
    <definedName name="TRANSPA">[0]!TRANSPA</definedName>
    <definedName name="x" localSheetId="5">'TASA FALLA'!x</definedName>
    <definedName name="x">[0]!x</definedName>
    <definedName name="XX" localSheetId="5">'TASA FALLA'!XX</definedName>
    <definedName name="XX">[0]!XX</definedName>
    <definedName name="Z_CED65634_EC76_48B7_BCDE_CE4F22E2E6C4_.wvu.PrintArea" localSheetId="5" hidden="1">'TASA FALLA'!$A$1:$T$44</definedName>
    <definedName name="Z_CED65634_EC76_48B7_BCDE_CE4F22E2E6C4_.wvu.Rows" localSheetId="5" hidden="1">'TASA FALLA'!$16:$16</definedName>
  </definedNames>
  <calcPr calcId="152511"/>
</workbook>
</file>

<file path=xl/sharedStrings.xml><?xml version="1.0" encoding="utf-8"?>
<sst xmlns="http://schemas.openxmlformats.org/spreadsheetml/2006/main" count="336" uniqueCount="206">
  <si>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</si>
  <si>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</si>
  <si>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</si>
  <si>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</si>
  <si>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</si>
  <si>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</si>
  <si>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</si>
  <si>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</si>
  <si>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</si>
  <si>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</si>
  <si>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</si>
  <si>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</si>
  <si>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</si>
  <si>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</si>
  <si>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</si>
  <si>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</si>
  <si>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</si>
  <si>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</si>
  <si>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</si>
  <si>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</si>
  <si>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</si>
  <si>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</si>
  <si>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</si>
  <si>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</si>
  <si>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</si>
  <si>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</si>
  <si>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</si>
  <si>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</si>
  <si>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</si>
  <si>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</si>
  <si>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</si>
  <si>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</si>
  <si>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</si>
  <si>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</si>
  <si>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</si>
  <si>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</si>
  <si>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</si>
  <si>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</si>
  <si>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</si>
  <si>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</si>
  <si>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</si>
  <si>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</si>
  <si>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</si>
  <si>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</si>
  <si>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</si>
  <si>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</si>
  <si>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</si>
  <si>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</si>
  <si>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</si>
  <si>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</si>
  <si>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</si>
  <si>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</si>
  <si>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</si>
  <si>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</si>
  <si>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</si>
  <si>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</si>
  <si>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</si>
  <si>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</si>
  <si>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</si>
  <si>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</si>
  <si>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</si>
  <si>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</si>
  <si>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</si>
  <si>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</si>
  <si>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</si>
  <si>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</si>
  <si>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</si>
  <si>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</si>
  <si>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</si>
  <si>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</si>
  <si>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</si>
  <si>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</si>
  <si>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2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</si>
  <si>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2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</si>
  <si>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</si>
  <si>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</si>
  <si>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</si>
  <si>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</si>
  <si>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</si>
  <si>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</si>
  <si>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</si>
  <si>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</si>
  <si>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</si>
  <si>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</si>
  <si>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</si>
  <si>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</si>
  <si>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</si>
  <si>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</si>
  <si>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</si>
  <si>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</si>
  <si>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</si>
  <si>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</si>
  <si>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</si>
  <si>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</si>
  <si>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</si>
  <si>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</si>
  <si>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</si>
  <si>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</si>
  <si>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</si>
  <si>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</si>
  <si>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</si>
  <si>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</si>
  <si>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</si>
  <si>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</si>
  <si>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</si>
  <si>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</si>
  <si>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</si>
  <si>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</si>
  <si>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</si>
  <si>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</si>
  <si>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</si>
  <si>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</si>
  <si>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</si>
  <si>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</si>
  <si>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</si>
  <si>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</si>
  <si>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</si>
  <si>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</si>
  <si>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</si>
  <si>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</si>
  <si>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</si>
  <si>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</si>
  <si>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</si>
  <si>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</si>
  <si>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</si>
  <si>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</si>
  <si>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</si>
  <si>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</si>
  <si>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</si>
  <si>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</si>
  <si>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P</t>
  </si>
  <si>
    <t>SI</t>
  </si>
  <si>
    <t xml:space="preserve"> - </t>
  </si>
  <si>
    <t>P - PROGRAMADA</t>
  </si>
  <si>
    <t>CAPIZ</t>
  </si>
  <si>
    <t>Valores remuneratorios según el Convenio de Renovación. Nota ENRE Nº 119131</t>
  </si>
  <si>
    <t>RP</t>
  </si>
  <si>
    <t>132/33/13,2</t>
  </si>
  <si>
    <t>CRUZ DE PIEDRA</t>
  </si>
  <si>
    <t>F</t>
  </si>
  <si>
    <t>P - PROGRAMADA  , F - FORZADA  ; RP - REDUCCIÓN PROGRAMADA</t>
  </si>
  <si>
    <t>1.1.- Equipamiento propio</t>
  </si>
  <si>
    <t xml:space="preserve">1.1.- </t>
  </si>
  <si>
    <t>Equipamiento propio</t>
  </si>
  <si>
    <t>ANCHORIS - CRUZ DE PIEDRA</t>
  </si>
  <si>
    <t>TP1</t>
  </si>
  <si>
    <t>T1</t>
  </si>
  <si>
    <t>NO</t>
  </si>
  <si>
    <t>TRN2</t>
  </si>
  <si>
    <t>P - PROGRAMADA  ; F - FORZADA</t>
  </si>
  <si>
    <t>Desde el 01 al 31 de mayo de 2016</t>
  </si>
  <si>
    <t>SAN RAFAEL - PEDRO VARGAS</t>
  </si>
  <si>
    <t>AGUA DEL TORO - CRUZ DE PIEDRA</t>
  </si>
  <si>
    <t>CRUZ DE PIEDRA - GRAN MENDOZA 2</t>
  </si>
  <si>
    <t>SAN JUAN</t>
  </si>
  <si>
    <t>LUJAN DE CUYO</t>
  </si>
  <si>
    <t xml:space="preserve"> T5</t>
  </si>
  <si>
    <t>T6</t>
  </si>
  <si>
    <t>T5</t>
  </si>
  <si>
    <t>TRN1</t>
  </si>
  <si>
    <t>TRN3</t>
  </si>
  <si>
    <t>132/33</t>
  </si>
  <si>
    <t>CANADA HONDA</t>
  </si>
  <si>
    <t>13.2/13.2</t>
  </si>
  <si>
    <t>132/66/13.2</t>
  </si>
  <si>
    <t>T3</t>
  </si>
  <si>
    <t>BAJO R.TUNUYAN</t>
  </si>
  <si>
    <t>ANCHORIS</t>
  </si>
  <si>
    <t>SALIDA LINEA ARGENTINA1 (5)</t>
  </si>
  <si>
    <t>SALIDA LINEA ARGENTINA2 (4)</t>
  </si>
  <si>
    <t>L. DE CUYO</t>
  </si>
  <si>
    <t>SALIDA ALIM. YPF DEST.1 (80)</t>
  </si>
  <si>
    <t>SALIDA LINEA YPF POZO 1 (78)</t>
  </si>
  <si>
    <t>SALIDA LINEA C.H. ULLUM (92.2)</t>
  </si>
  <si>
    <t>SALIDA ALIM. YPF DEST.2 (81)</t>
  </si>
  <si>
    <t>SALIDA LINEA YPF POZO 2 (79)</t>
  </si>
  <si>
    <t>SALIDA ALIM. F. CEMENTO (104)</t>
  </si>
  <si>
    <t>SALIDA LINEA RUSELL (39)</t>
  </si>
  <si>
    <t>SALIDA LINEA E.M.ANDINA (92)</t>
  </si>
  <si>
    <t>TUNUYAN</t>
  </si>
  <si>
    <t>SALIDA ALIM.COOP.TUNUYA (12)</t>
  </si>
  <si>
    <t>SALIDA ALIM.COOP.AVERDE (11)</t>
  </si>
  <si>
    <t>SALIDA LINEA BARRANCAS (37)</t>
  </si>
  <si>
    <t>SALIDA ALIM. ROSARIO</t>
  </si>
  <si>
    <t xml:space="preserve"> ENTE NACIONAL REGULADOR</t>
  </si>
  <si>
    <t xml:space="preserve">       DE LA ELECTRICIDAD</t>
  </si>
  <si>
    <t>1.2.-Transportista Independiente L.I.C.C.S.A.  D</t>
  </si>
  <si>
    <t>FACTOR DE PENALIZACIÓN K =</t>
  </si>
  <si>
    <t xml:space="preserve">Hs.
Indisp. </t>
  </si>
  <si>
    <t>PENALIZACIÓN FORZADA
Por Salida    1ras. 3 hs.  hs. Restantes</t>
  </si>
  <si>
    <t>REDUCC. FORZADA
Por Salida    1ras. 3 hs.  hs. Restantes</t>
  </si>
  <si>
    <t>Informó
enTérm.</t>
  </si>
  <si>
    <t>RIO DIAMANTE - LOS REYUNOS</t>
  </si>
  <si>
    <r>
      <t>(</t>
    </r>
    <r>
      <rPr>
        <sz val="9"/>
        <rFont val="Wingdings"/>
        <family val="2"/>
      </rPr>
      <t>²</t>
    </r>
    <r>
      <rPr>
        <sz val="9"/>
        <rFont val="Times New Roman"/>
        <family val="1"/>
      </rPr>
      <t>)</t>
    </r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</si>
  <si>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</si>
  <si>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</si>
  <si>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</si>
  <si>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</si>
  <si>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</si>
  <si>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</si>
  <si>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</si>
  <si>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Tasa de falla correspondiente al período Diciembre de 2015 a Mayo de 2016</t>
  </si>
  <si>
    <t>(*)</t>
  </si>
  <si>
    <t>(*):</t>
  </si>
  <si>
    <t>Salidas x Año / 100 km</t>
  </si>
  <si>
    <t>ANEXO VI al Memorándum D.T.E.E. N°        639   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</si>
</sst>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\ #,##0.00;&quot;$&quot;\ \-#,##0.00"/>
    <numFmt numFmtId="8" formatCode="&quot;$&quot;\ #,##0.00;[Red]&quot;$&quot;\ \-#,##0.00"/>
    <numFmt numFmtId="164" formatCode="0_)"/>
    <numFmt numFmtId="165" formatCode="0.0_)"/>
    <numFmt numFmtId="166" formatCode="#,##0.0000"/>
    <numFmt numFmtId="167" formatCode="0.00_)"/>
    <numFmt numFmtId="168" formatCode="&quot;$&quot;\ #,##0.000;&quot;$&quot;\ \-#,##0.000"/>
    <numFmt numFmtId="169" formatCode="#,##0.0"/>
    <numFmt numFmtId="170" formatCode="0.000"/>
    <numFmt numFmtId="171" formatCode="0.0000"/>
  </numFmts>
  <fonts count="80"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2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rgb="FF000000"/>
      <name val="MS Sans Serif"/>
      <family val="2"/>
    </font>
    <font>
      <sz val="9"/>
      <name val="Times New Roman"/>
      <family val="1"/>
    </font>
    <font>
      <sz val="11"/>
      <color indexed="8"/>
      <name val="MS Sans Serif"/>
      <family val="2"/>
    </font>
    <font>
      <sz val="11"/>
      <color indexed="34"/>
      <name val="MS Sans Serif"/>
      <family val="2"/>
    </font>
    <font>
      <b/>
      <sz val="10"/>
      <color indexed="8"/>
      <name val="Times New Roman"/>
      <family val="1"/>
    </font>
    <font>
      <b/>
      <sz val="10"/>
      <color indexed="34"/>
      <name val="Times New Roman"/>
      <family val="1"/>
    </font>
    <font>
      <sz val="9"/>
      <name val="Wingdings"/>
      <family val="2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i/>
      <sz val="11"/>
      <name val="MS Sans Serif"/>
      <family val="2"/>
    </font>
    <font>
      <i/>
      <sz val="11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/>
      <right style="thick"/>
      <top style="double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ck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69">
    <xf numFmtId="0" fontId="0" fillId="0" borderId="0" xfId="0"/>
    <xf numFmtId="0" fontId="1" fillId="0" borderId="0" xfId="21">
      <alignment/>
      <protection/>
    </xf>
    <xf numFmtId="0" fontId="1" fillId="0" borderId="0" xfId="21" applyFill="1" applyBorder="1">
      <alignment/>
      <protection/>
    </xf>
    <xf numFmtId="0" fontId="6" fillId="0" borderId="0" xfId="2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center"/>
      <protection/>
    </xf>
    <xf numFmtId="2" fontId="6" fillId="0" borderId="0" xfId="21" applyNumberFormat="1" applyFont="1" applyBorder="1" applyAlignment="1" applyProtection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8" fillId="0" borderId="0" xfId="21" applyFont="1" applyBorder="1">
      <alignment/>
      <protection/>
    </xf>
    <xf numFmtId="0" fontId="13" fillId="0" borderId="0" xfId="21" applyFont="1">
      <alignment/>
      <protection/>
    </xf>
    <xf numFmtId="0" fontId="14" fillId="0" borderId="0" xfId="21" applyFont="1" applyBorder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0" xfId="21" applyFont="1" applyBorder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 applyBorder="1">
      <alignment/>
      <protection/>
    </xf>
    <xf numFmtId="0" fontId="17" fillId="0" borderId="0" xfId="21" applyFont="1" applyBorder="1">
      <alignment/>
      <protection/>
    </xf>
    <xf numFmtId="0" fontId="19" fillId="0" borderId="1" xfId="21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7" fillId="0" borderId="3" xfId="21" applyFont="1" applyBorder="1">
      <alignment/>
      <protection/>
    </xf>
    <xf numFmtId="0" fontId="20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13" fillId="0" borderId="0" xfId="21" applyNumberFormat="1" applyFont="1" applyAlignment="1">
      <alignment horizontal="centerContinuous"/>
      <protection/>
    </xf>
    <xf numFmtId="0" fontId="20" fillId="0" borderId="0" xfId="21" applyFont="1" applyBorder="1" applyAlignment="1">
      <alignment horizontal="centerContinuous"/>
      <protection/>
    </xf>
    <xf numFmtId="0" fontId="13" fillId="0" borderId="5" xfId="21" applyFont="1" applyBorder="1" applyAlignment="1">
      <alignment horizontal="centerContinuous"/>
      <protection/>
    </xf>
    <xf numFmtId="0" fontId="13" fillId="0" borderId="4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20" fillId="0" borderId="0" xfId="21" applyFont="1" applyBorder="1">
      <alignment/>
      <protection/>
    </xf>
    <xf numFmtId="0" fontId="13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centerContinuous"/>
      <protection/>
    </xf>
    <xf numFmtId="0" fontId="21" fillId="0" borderId="0" xfId="21" applyNumberFormat="1" applyFont="1" applyBorder="1" applyAlignment="1">
      <alignment horizontal="right"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6" fillId="0" borderId="5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0" fontId="21" fillId="0" borderId="6" xfId="21" applyFont="1" applyBorder="1" applyAlignment="1">
      <alignment horizontal="center"/>
      <protection/>
    </xf>
    <xf numFmtId="7" fontId="21" fillId="0" borderId="7" xfId="21" applyNumberFormat="1" applyFont="1" applyBorder="1" applyAlignment="1">
      <alignment horizontal="center"/>
      <protection/>
    </xf>
    <xf numFmtId="7" fontId="21" fillId="0" borderId="0" xfId="21" applyNumberFormat="1" applyFont="1" applyBorder="1" applyAlignment="1">
      <alignment horizontal="center"/>
      <protection/>
    </xf>
    <xf numFmtId="0" fontId="17" fillId="0" borderId="8" xfId="21" applyFont="1" applyBorder="1">
      <alignment/>
      <protection/>
    </xf>
    <xf numFmtId="0" fontId="17" fillId="0" borderId="9" xfId="21" applyNumberFormat="1" applyFont="1" applyBorder="1">
      <alignment/>
      <protection/>
    </xf>
    <xf numFmtId="0" fontId="17" fillId="0" borderId="9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0" xfId="21" applyFont="1" applyFill="1" applyBorder="1">
      <alignment/>
      <protection/>
    </xf>
    <xf numFmtId="4" fontId="17" fillId="0" borderId="0" xfId="21" applyNumberFormat="1" applyFont="1" applyFill="1" applyBorder="1">
      <alignment/>
      <protection/>
    </xf>
    <xf numFmtId="7" fontId="17" fillId="0" borderId="0" xfId="21" applyNumberFormat="1" applyFont="1" applyBorder="1">
      <alignment/>
      <protection/>
    </xf>
    <xf numFmtId="167" fontId="17" fillId="0" borderId="0" xfId="21" applyNumberFormat="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4" fontId="6" fillId="0" borderId="0" xfId="21" applyNumberFormat="1" applyFont="1" applyFill="1" applyBorder="1">
      <alignment/>
      <protection/>
    </xf>
    <xf numFmtId="4" fontId="6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Alignment="1" applyProtection="1">
      <alignment horizontal="centerContinuous"/>
      <protection locked="0"/>
    </xf>
    <xf numFmtId="0" fontId="16" fillId="0" borderId="0" xfId="21" applyFont="1" applyAlignment="1" applyProtection="1">
      <alignment horizontal="centerContinuous"/>
      <protection locked="0"/>
    </xf>
    <xf numFmtId="0" fontId="4" fillId="0" borderId="0" xfId="21" applyFont="1" applyBorder="1" applyAlignment="1" applyProtection="1">
      <alignment horizontal="centerContinuous"/>
      <protection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23" fillId="0" borderId="0" xfId="2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Font="1" applyBorder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3" fillId="0" borderId="0" xfId="21" applyFont="1" applyBorder="1">
      <alignment/>
      <protection/>
    </xf>
    <xf numFmtId="0" fontId="20" fillId="0" borderId="0" xfId="21" applyFont="1" applyFill="1" applyBorder="1" applyAlignment="1" applyProtection="1">
      <alignment horizontal="centerContinuous"/>
      <protection locked="0"/>
    </xf>
    <xf numFmtId="0" fontId="20" fillId="0" borderId="0" xfId="21" applyFont="1" applyAlignment="1">
      <alignment horizontal="centerContinuous"/>
      <protection/>
    </xf>
    <xf numFmtId="0" fontId="20" fillId="0" borderId="0" xfId="21" applyFont="1" applyBorder="1" applyAlignment="1" applyProtection="1">
      <alignment horizontal="centerContinuous"/>
      <protection/>
    </xf>
    <xf numFmtId="0" fontId="20" fillId="0" borderId="5" xfId="21" applyFont="1" applyBorder="1" applyAlignment="1">
      <alignment horizontal="centerContinuous"/>
      <protection/>
    </xf>
    <xf numFmtId="0" fontId="16" fillId="0" borderId="0" xfId="21" applyFont="1" applyBorder="1">
      <alignment/>
      <protection/>
    </xf>
    <xf numFmtId="0" fontId="3" fillId="0" borderId="0" xfId="2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0" fontId="1" fillId="0" borderId="6" xfId="21" applyNumberFormat="1" applyFont="1" applyBorder="1" applyAlignment="1">
      <alignment horizontal="centerContinuous"/>
      <protection/>
    </xf>
    <xf numFmtId="0" fontId="3" fillId="0" borderId="7" xfId="21" applyFont="1" applyBorder="1" applyAlignment="1" applyProtection="1">
      <alignment horizontal="centerContinuous"/>
      <protection/>
    </xf>
    <xf numFmtId="166" fontId="6" fillId="0" borderId="7" xfId="21" applyNumberFormat="1" applyFont="1" applyBorder="1" applyAlignment="1">
      <alignment horizontal="centerContinuous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 applyAlignment="1" applyProtection="1">
      <alignment horizontal="left"/>
      <protection locked="0"/>
    </xf>
    <xf numFmtId="0" fontId="1" fillId="0" borderId="0" xfId="21" applyFont="1" applyAlignment="1" applyProtection="1">
      <alignment/>
      <protection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28" fillId="3" borderId="11" xfId="21" applyFont="1" applyFill="1" applyBorder="1" applyAlignment="1">
      <alignment horizontal="center" vertical="center" wrapText="1"/>
      <protection/>
    </xf>
    <xf numFmtId="0" fontId="29" fillId="4" borderId="11" xfId="21" applyFont="1" applyFill="1" applyBorder="1" applyAlignment="1">
      <alignment horizontal="center" vertical="center" wrapText="1"/>
      <protection/>
    </xf>
    <xf numFmtId="0" fontId="30" fillId="2" borderId="6" xfId="21" applyFont="1" applyFill="1" applyBorder="1" applyAlignment="1" applyProtection="1">
      <alignment horizontal="centerContinuous" vertical="center" wrapText="1"/>
      <protection/>
    </xf>
    <xf numFmtId="0" fontId="7" fillId="2" borderId="12" xfId="21" applyFont="1" applyFill="1" applyBorder="1" applyAlignment="1">
      <alignment horizontal="centerContinuous"/>
      <protection/>
    </xf>
    <xf numFmtId="0" fontId="30" fillId="2" borderId="7" xfId="21" applyFont="1" applyFill="1" applyBorder="1" applyAlignment="1">
      <alignment horizontal="centerContinuous" vertical="center"/>
      <protection/>
    </xf>
    <xf numFmtId="0" fontId="28" fillId="5" borderId="6" xfId="21" applyFont="1" applyFill="1" applyBorder="1" applyAlignment="1" applyProtection="1">
      <alignment horizontal="centerContinuous" vertical="center" wrapText="1"/>
      <protection/>
    </xf>
    <xf numFmtId="0" fontId="28" fillId="5" borderId="12" xfId="21" applyFont="1" applyFill="1" applyBorder="1" applyAlignment="1">
      <alignment horizontal="centerContinuous" vertical="center"/>
      <protection/>
    </xf>
    <xf numFmtId="0" fontId="28" fillId="5" borderId="7" xfId="21" applyFont="1" applyFill="1" applyBorder="1" applyAlignment="1">
      <alignment horizontal="centerContinuous" vertical="center"/>
      <protection/>
    </xf>
    <xf numFmtId="0" fontId="31" fillId="6" borderId="11" xfId="21" applyFont="1" applyFill="1" applyBorder="1" applyAlignment="1">
      <alignment horizontal="center" vertical="center" wrapText="1"/>
      <protection/>
    </xf>
    <xf numFmtId="0" fontId="32" fillId="7" borderId="11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3" xfId="21" applyFont="1" applyBorder="1" applyProtection="1">
      <alignment/>
      <protection locked="0"/>
    </xf>
    <xf numFmtId="0" fontId="6" fillId="0" borderId="13" xfId="21" applyFont="1" applyBorder="1" applyAlignment="1" applyProtection="1">
      <alignment horizontal="center"/>
      <protection locked="0"/>
    </xf>
    <xf numFmtId="0" fontId="33" fillId="2" borderId="13" xfId="21" applyFont="1" applyFill="1" applyBorder="1" applyProtection="1">
      <alignment/>
      <protection locked="0"/>
    </xf>
    <xf numFmtId="0" fontId="6" fillId="0" borderId="13" xfId="21" applyFont="1" applyBorder="1" applyAlignment="1">
      <alignment horizontal="center"/>
      <protection/>
    </xf>
    <xf numFmtId="0" fontId="34" fillId="3" borderId="13" xfId="21" applyFont="1" applyFill="1" applyBorder="1" applyProtection="1">
      <alignment/>
      <protection locked="0"/>
    </xf>
    <xf numFmtId="0" fontId="35" fillId="4" borderId="13" xfId="21" applyFont="1" applyFill="1" applyBorder="1" applyProtection="1">
      <alignment/>
      <protection locked="0"/>
    </xf>
    <xf numFmtId="0" fontId="36" fillId="2" borderId="13" xfId="21" applyFont="1" applyFill="1" applyBorder="1" applyAlignment="1" applyProtection="1">
      <alignment horizontal="center"/>
      <protection locked="0"/>
    </xf>
    <xf numFmtId="0" fontId="36" fillId="2" borderId="13" xfId="21" applyFont="1" applyFill="1" applyBorder="1" applyProtection="1">
      <alignment/>
      <protection locked="0"/>
    </xf>
    <xf numFmtId="0" fontId="34" fillId="5" borderId="13" xfId="21" applyFont="1" applyFill="1" applyBorder="1" applyProtection="1">
      <alignment/>
      <protection locked="0"/>
    </xf>
    <xf numFmtId="0" fontId="37" fillId="6" borderId="13" xfId="21" applyFont="1" applyFill="1" applyBorder="1" applyProtection="1">
      <alignment/>
      <protection locked="0"/>
    </xf>
    <xf numFmtId="0" fontId="38" fillId="7" borderId="13" xfId="21" applyFont="1" applyFill="1" applyBorder="1" applyProtection="1">
      <alignment/>
      <protection locked="0"/>
    </xf>
    <xf numFmtId="0" fontId="39" fillId="0" borderId="13" xfId="21" applyFont="1" applyBorder="1" applyAlignment="1">
      <alignment horizontal="center"/>
      <protection/>
    </xf>
    <xf numFmtId="0" fontId="6" fillId="0" borderId="14" xfId="21" applyFont="1" applyBorder="1" applyProtection="1">
      <alignment/>
      <protection locked="0"/>
    </xf>
    <xf numFmtId="0" fontId="6" fillId="0" borderId="15" xfId="21" applyFont="1" applyBorder="1" applyAlignment="1" applyProtection="1">
      <alignment horizontal="center"/>
      <protection locked="0"/>
    </xf>
    <xf numFmtId="0" fontId="33" fillId="2" borderId="14" xfId="21" applyFont="1" applyFill="1" applyBorder="1" applyProtection="1">
      <alignment/>
      <protection locked="0"/>
    </xf>
    <xf numFmtId="0" fontId="6" fillId="0" borderId="14" xfId="21" applyFont="1" applyBorder="1" applyAlignment="1" applyProtection="1">
      <alignment horizontal="center"/>
      <protection locked="0"/>
    </xf>
    <xf numFmtId="0" fontId="6" fillId="0" borderId="14" xfId="21" applyFont="1" applyBorder="1" applyAlignment="1">
      <alignment horizontal="center"/>
      <protection/>
    </xf>
    <xf numFmtId="0" fontId="34" fillId="3" borderId="14" xfId="21" applyFont="1" applyFill="1" applyBorder="1" applyProtection="1">
      <alignment/>
      <protection locked="0"/>
    </xf>
    <xf numFmtId="0" fontId="35" fillId="4" borderId="14" xfId="21" applyFont="1" applyFill="1" applyBorder="1" applyProtection="1">
      <alignment/>
      <protection locked="0"/>
    </xf>
    <xf numFmtId="0" fontId="36" fillId="2" borderId="14" xfId="21" applyFont="1" applyFill="1" applyBorder="1" applyAlignment="1" applyProtection="1">
      <alignment horizontal="center"/>
      <protection locked="0"/>
    </xf>
    <xf numFmtId="0" fontId="36" fillId="2" borderId="14" xfId="21" applyFont="1" applyFill="1" applyBorder="1" applyProtection="1">
      <alignment/>
      <protection locked="0"/>
    </xf>
    <xf numFmtId="0" fontId="34" fillId="5" borderId="14" xfId="21" applyFont="1" applyFill="1" applyBorder="1" applyProtection="1">
      <alignment/>
      <protection locked="0"/>
    </xf>
    <xf numFmtId="0" fontId="37" fillId="6" borderId="14" xfId="21" applyFont="1" applyFill="1" applyBorder="1" applyProtection="1">
      <alignment/>
      <protection locked="0"/>
    </xf>
    <xf numFmtId="0" fontId="38" fillId="7" borderId="14" xfId="21" applyFont="1" applyFill="1" applyBorder="1" applyProtection="1">
      <alignment/>
      <protection locked="0"/>
    </xf>
    <xf numFmtId="0" fontId="39" fillId="0" borderId="14" xfId="21" applyFont="1" applyBorder="1" applyAlignment="1">
      <alignment horizontal="center"/>
      <protection/>
    </xf>
    <xf numFmtId="2" fontId="6" fillId="0" borderId="15" xfId="21" applyNumberFormat="1" applyFont="1" applyBorder="1" applyAlignment="1" applyProtection="1">
      <alignment horizontal="center"/>
      <protection locked="0"/>
    </xf>
    <xf numFmtId="167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Border="1" applyAlignment="1" applyProtection="1">
      <alignment horizontal="center"/>
      <protection locked="0"/>
    </xf>
    <xf numFmtId="2" fontId="6" fillId="0" borderId="14" xfId="21" applyNumberFormat="1" applyFont="1" applyBorder="1" applyAlignment="1" applyProtection="1">
      <alignment horizontal="center"/>
      <protection/>
    </xf>
    <xf numFmtId="1" fontId="6" fillId="0" borderId="14" xfId="21" applyNumberFormat="1" applyFont="1" applyBorder="1" applyAlignment="1" applyProtection="1">
      <alignment horizontal="center"/>
      <protection/>
    </xf>
    <xf numFmtId="167" fontId="6" fillId="0" borderId="14" xfId="21" applyNumberFormat="1" applyFont="1" applyBorder="1" applyAlignment="1" applyProtection="1">
      <alignment horizontal="center"/>
      <protection locked="0"/>
    </xf>
    <xf numFmtId="167" fontId="6" fillId="0" borderId="14" xfId="21" applyNumberFormat="1" applyFont="1" applyBorder="1" applyAlignment="1" applyProtection="1" quotePrefix="1">
      <alignment horizontal="center"/>
      <protection locked="0"/>
    </xf>
    <xf numFmtId="2" fontId="34" fillId="3" borderId="14" xfId="21" applyNumberFormat="1" applyFont="1" applyFill="1" applyBorder="1" applyAlignment="1" applyProtection="1">
      <alignment horizontal="center"/>
      <protection locked="0"/>
    </xf>
    <xf numFmtId="2" fontId="35" fillId="4" borderId="14" xfId="21" applyNumberFormat="1" applyFont="1" applyFill="1" applyBorder="1" applyAlignment="1" applyProtection="1">
      <alignment horizontal="center"/>
      <protection locked="0"/>
    </xf>
    <xf numFmtId="167" fontId="36" fillId="2" borderId="14" xfId="21" applyNumberFormat="1" applyFont="1" applyFill="1" applyBorder="1" applyAlignment="1" applyProtection="1" quotePrefix="1">
      <alignment horizontal="center"/>
      <protection locked="0"/>
    </xf>
    <xf numFmtId="4" fontId="36" fillId="2" borderId="14" xfId="21" applyNumberFormat="1" applyFont="1" applyFill="1" applyBorder="1" applyAlignment="1" applyProtection="1">
      <alignment horizontal="center"/>
      <protection locked="0"/>
    </xf>
    <xf numFmtId="167" fontId="34" fillId="5" borderId="14" xfId="21" applyNumberFormat="1" applyFont="1" applyFill="1" applyBorder="1" applyAlignment="1" applyProtection="1" quotePrefix="1">
      <alignment horizontal="center"/>
      <protection locked="0"/>
    </xf>
    <xf numFmtId="4" fontId="34" fillId="5" borderId="14" xfId="21" applyNumberFormat="1" applyFont="1" applyFill="1" applyBorder="1" applyAlignment="1" applyProtection="1">
      <alignment horizontal="center"/>
      <protection locked="0"/>
    </xf>
    <xf numFmtId="4" fontId="37" fillId="6" borderId="14" xfId="21" applyNumberFormat="1" applyFont="1" applyFill="1" applyBorder="1" applyAlignment="1" applyProtection="1">
      <alignment horizontal="center"/>
      <protection locked="0"/>
    </xf>
    <xf numFmtId="4" fontId="38" fillId="7" borderId="14" xfId="21" applyNumberFormat="1" applyFont="1" applyFill="1" applyBorder="1" applyAlignment="1" applyProtection="1">
      <alignment horizontal="center"/>
      <protection locked="0"/>
    </xf>
    <xf numFmtId="4" fontId="6" fillId="0" borderId="14" xfId="21" applyNumberFormat="1" applyFont="1" applyBorder="1" applyAlignment="1" applyProtection="1">
      <alignment horizontal="center"/>
      <protection locked="0"/>
    </xf>
    <xf numFmtId="4" fontId="39" fillId="0" borderId="14" xfId="21" applyNumberFormat="1" applyFont="1" applyBorder="1" applyAlignment="1">
      <alignment horizontal="right"/>
      <protection/>
    </xf>
    <xf numFmtId="2" fontId="6" fillId="0" borderId="5" xfId="21" applyNumberFormat="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16" xfId="21" applyFont="1" applyBorder="1" applyAlignment="1" applyProtection="1">
      <alignment horizontal="center"/>
      <protection locked="0"/>
    </xf>
    <xf numFmtId="0" fontId="6" fillId="0" borderId="17" xfId="21" applyFont="1" applyBorder="1" applyAlignment="1" applyProtection="1">
      <alignment horizontal="center"/>
      <protection/>
    </xf>
    <xf numFmtId="2" fontId="6" fillId="0" borderId="17" xfId="21" applyNumberFormat="1" applyFont="1" applyBorder="1" applyAlignment="1" applyProtection="1">
      <alignment horizontal="center"/>
      <protection/>
    </xf>
    <xf numFmtId="167" fontId="6" fillId="0" borderId="16" xfId="21" applyNumberFormat="1" applyFont="1" applyBorder="1" applyAlignment="1" applyProtection="1">
      <alignment horizontal="center"/>
      <protection/>
    </xf>
    <xf numFmtId="167" fontId="33" fillId="2" borderId="16" xfId="21" applyNumberFormat="1" applyFont="1" applyFill="1" applyBorder="1" applyAlignment="1" applyProtection="1">
      <alignment horizontal="center"/>
      <protection/>
    </xf>
    <xf numFmtId="22" fontId="6" fillId="0" borderId="16" xfId="21" applyNumberFormat="1" applyFont="1" applyBorder="1" applyAlignment="1">
      <alignment horizontal="center"/>
      <protection/>
    </xf>
    <xf numFmtId="167" fontId="34" fillId="3" borderId="16" xfId="21" applyNumberFormat="1" applyFont="1" applyFill="1" applyBorder="1" applyAlignment="1" applyProtection="1" quotePrefix="1">
      <alignment horizontal="center"/>
      <protection/>
    </xf>
    <xf numFmtId="167" fontId="35" fillId="4" borderId="16" xfId="21" applyNumberFormat="1" applyFont="1" applyFill="1" applyBorder="1" applyAlignment="1" applyProtection="1" quotePrefix="1">
      <alignment horizontal="center"/>
      <protection/>
    </xf>
    <xf numFmtId="167" fontId="36" fillId="2" borderId="16" xfId="21" applyNumberFormat="1" applyFont="1" applyFill="1" applyBorder="1" applyAlignment="1" applyProtection="1" quotePrefix="1">
      <alignment horizontal="center"/>
      <protection/>
    </xf>
    <xf numFmtId="4" fontId="36" fillId="2" borderId="16" xfId="21" applyNumberFormat="1" applyFont="1" applyFill="1" applyBorder="1" applyAlignment="1">
      <alignment horizontal="center"/>
      <protection/>
    </xf>
    <xf numFmtId="4" fontId="34" fillId="5" borderId="16" xfId="21" applyNumberFormat="1" applyFont="1" applyFill="1" applyBorder="1" applyAlignment="1">
      <alignment horizontal="center"/>
      <protection/>
    </xf>
    <xf numFmtId="4" fontId="37" fillId="6" borderId="16" xfId="21" applyNumberFormat="1" applyFont="1" applyFill="1" applyBorder="1" applyAlignment="1">
      <alignment horizontal="center"/>
      <protection/>
    </xf>
    <xf numFmtId="4" fontId="38" fillId="7" borderId="16" xfId="21" applyNumberFormat="1" applyFont="1" applyFill="1" applyBorder="1" applyAlignment="1">
      <alignment horizontal="center"/>
      <protection/>
    </xf>
    <xf numFmtId="4" fontId="6" fillId="0" borderId="16" xfId="21" applyNumberFormat="1" applyFont="1" applyBorder="1" applyAlignment="1">
      <alignment horizontal="center"/>
      <protection/>
    </xf>
    <xf numFmtId="7" fontId="39" fillId="0" borderId="18" xfId="21" applyNumberFormat="1" applyFont="1" applyBorder="1" applyAlignment="1">
      <alignment horizontal="center"/>
      <protection/>
    </xf>
    <xf numFmtId="0" fontId="41" fillId="0" borderId="19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/>
      <protection/>
    </xf>
    <xf numFmtId="167" fontId="6" fillId="0" borderId="0" xfId="21" applyNumberFormat="1" applyFont="1" applyBorder="1" applyAlignment="1" applyProtection="1">
      <alignment horizontal="center"/>
      <protection/>
    </xf>
    <xf numFmtId="167" fontId="6" fillId="0" borderId="0" xfId="21" applyNumberFormat="1" applyFont="1" applyBorder="1" applyAlignment="1" applyProtection="1" quotePrefix="1">
      <alignment horizontal="center"/>
      <protection/>
    </xf>
    <xf numFmtId="2" fontId="34" fillId="3" borderId="11" xfId="21" applyNumberFormat="1" applyFont="1" applyFill="1" applyBorder="1" applyAlignment="1">
      <alignment horizontal="center"/>
      <protection/>
    </xf>
    <xf numFmtId="2" fontId="35" fillId="4" borderId="11" xfId="21" applyNumberFormat="1" applyFont="1" applyFill="1" applyBorder="1" applyAlignment="1">
      <alignment horizontal="center"/>
      <protection/>
    </xf>
    <xf numFmtId="167" fontId="36" fillId="2" borderId="11" xfId="21" applyNumberFormat="1" applyFont="1" applyFill="1" applyBorder="1" applyAlignment="1" applyProtection="1" quotePrefix="1">
      <alignment horizontal="center"/>
      <protection/>
    </xf>
    <xf numFmtId="167" fontId="34" fillId="5" borderId="11" xfId="21" applyNumberFormat="1" applyFont="1" applyFill="1" applyBorder="1" applyAlignment="1" applyProtection="1" quotePrefix="1">
      <alignment horizontal="center"/>
      <protection/>
    </xf>
    <xf numFmtId="167" fontId="37" fillId="6" borderId="11" xfId="21" applyNumberFormat="1" applyFont="1" applyFill="1" applyBorder="1" applyAlignment="1" applyProtection="1" quotePrefix="1">
      <alignment horizontal="center"/>
      <protection/>
    </xf>
    <xf numFmtId="167" fontId="38" fillId="7" borderId="11" xfId="21" applyNumberFormat="1" applyFont="1" applyFill="1" applyBorder="1" applyAlignment="1" applyProtection="1" quotePrefix="1">
      <alignment horizontal="center"/>
      <protection/>
    </xf>
    <xf numFmtId="4" fontId="5" fillId="0" borderId="0" xfId="21" applyNumberFormat="1" applyFont="1" applyBorder="1" applyAlignment="1">
      <alignment horizontal="center"/>
      <protection/>
    </xf>
    <xf numFmtId="8" fontId="2" fillId="0" borderId="11" xfId="21" applyNumberFormat="1" applyFont="1" applyBorder="1" applyAlignment="1" applyProtection="1">
      <alignment horizontal="right"/>
      <protection locked="0"/>
    </xf>
    <xf numFmtId="2" fontId="6" fillId="0" borderId="5" xfId="21" applyNumberFormat="1" applyFont="1" applyBorder="1" applyAlignment="1">
      <alignment horizontal="center"/>
      <protection/>
    </xf>
    <xf numFmtId="0" fontId="41" fillId="0" borderId="0" xfId="21" applyFont="1">
      <alignment/>
      <protection/>
    </xf>
    <xf numFmtId="0" fontId="41" fillId="0" borderId="4" xfId="21" applyFont="1" applyBorder="1">
      <alignment/>
      <protection/>
    </xf>
    <xf numFmtId="0" fontId="41" fillId="0" borderId="0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 vertical="top"/>
      <protection/>
    </xf>
    <xf numFmtId="0" fontId="41" fillId="0" borderId="0" xfId="21" applyFont="1" applyBorder="1" applyAlignment="1" applyProtection="1">
      <alignment horizontal="center"/>
      <protection/>
    </xf>
    <xf numFmtId="2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 quotePrefix="1">
      <alignment horizontal="center"/>
      <protection/>
    </xf>
    <xf numFmtId="2" fontId="43" fillId="0" borderId="0" xfId="21" applyNumberFormat="1" applyFont="1" applyBorder="1" applyAlignment="1">
      <alignment horizontal="center"/>
      <protection/>
    </xf>
    <xf numFmtId="167" fontId="44" fillId="0" borderId="0" xfId="21" applyNumberFormat="1" applyFont="1" applyBorder="1" applyAlignment="1" applyProtection="1" quotePrefix="1">
      <alignment horizontal="center"/>
      <protection/>
    </xf>
    <xf numFmtId="4" fontId="44" fillId="0" borderId="0" xfId="21" applyNumberFormat="1" applyFont="1" applyBorder="1" applyAlignment="1">
      <alignment horizontal="center"/>
      <protection/>
    </xf>
    <xf numFmtId="8" fontId="45" fillId="0" borderId="0" xfId="21" applyNumberFormat="1" applyFont="1" applyBorder="1" applyAlignment="1" applyProtection="1">
      <alignment horizontal="right"/>
      <protection locked="0"/>
    </xf>
    <xf numFmtId="2" fontId="41" fillId="0" borderId="5" xfId="21" applyNumberFormat="1" applyFont="1" applyBorder="1" applyAlignment="1">
      <alignment horizontal="center"/>
      <protection/>
    </xf>
    <xf numFmtId="0" fontId="6" fillId="0" borderId="8" xfId="2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0" fontId="1" fillId="0" borderId="0" xfId="21" applyBorder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Continuous"/>
      <protection/>
    </xf>
    <xf numFmtId="0" fontId="6" fillId="0" borderId="0" xfId="21" applyFont="1" applyFill="1" applyAlignment="1">
      <alignment horizontal="centerContinuous"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1" fillId="0" borderId="0" xfId="21" applyFont="1" applyFill="1" applyAlignment="1">
      <alignment horizontal="centerContinuous"/>
      <protection/>
    </xf>
    <xf numFmtId="0" fontId="11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23" fillId="0" borderId="4" xfId="21" applyFont="1" applyFill="1" applyBorder="1">
      <alignment/>
      <protection/>
    </xf>
    <xf numFmtId="0" fontId="23" fillId="0" borderId="0" xfId="21" applyFont="1" applyFill="1" applyBorder="1">
      <alignment/>
      <protection/>
    </xf>
    <xf numFmtId="0" fontId="24" fillId="0" borderId="0" xfId="21" applyFont="1" applyFill="1" applyBorder="1">
      <alignment/>
      <protection/>
    </xf>
    <xf numFmtId="0" fontId="23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0" fontId="6" fillId="0" borderId="4" xfId="21" applyFont="1" applyFill="1" applyBorder="1">
      <alignment/>
      <protection/>
    </xf>
    <xf numFmtId="0" fontId="6" fillId="0" borderId="5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24" fillId="0" borderId="0" xfId="21" applyFont="1" applyFill="1">
      <alignment/>
      <protection/>
    </xf>
    <xf numFmtId="0" fontId="23" fillId="0" borderId="0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left"/>
      <protection/>
    </xf>
    <xf numFmtId="164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20" fillId="0" borderId="4" xfId="21" applyFont="1" applyFill="1" applyBorder="1" applyAlignment="1">
      <alignment horizontal="centerContinuous"/>
      <protection/>
    </xf>
    <xf numFmtId="0" fontId="20" fillId="0" borderId="0" xfId="21" applyFont="1" applyFill="1" applyBorder="1" applyAlignment="1">
      <alignment horizontal="centerContinuous"/>
      <protection/>
    </xf>
    <xf numFmtId="0" fontId="20" fillId="0" borderId="5" xfId="21" applyFont="1" applyFill="1" applyBorder="1" applyAlignment="1">
      <alignment horizontal="centerContinuous"/>
      <protection/>
    </xf>
    <xf numFmtId="0" fontId="6" fillId="0" borderId="0" xfId="21" applyFont="1" applyFill="1" applyBorder="1" applyAlignment="1">
      <alignment horizontal="center"/>
      <protection/>
    </xf>
    <xf numFmtId="0" fontId="22" fillId="0" borderId="0" xfId="21" applyFont="1" applyFill="1" applyBorder="1" applyAlignment="1">
      <alignment horizontal="left"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19" xfId="21" applyFont="1" applyFill="1" applyBorder="1" applyAlignment="1" applyProtection="1">
      <alignment horizontal="center"/>
      <protection/>
    </xf>
    <xf numFmtId="0" fontId="1" fillId="0" borderId="19" xfId="21" applyFont="1" applyFill="1" applyBorder="1">
      <alignment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2" xfId="21" applyFont="1" applyFill="1" applyBorder="1" applyAlignment="1" applyProtection="1">
      <alignment horizontal="center"/>
      <protection/>
    </xf>
    <xf numFmtId="164" fontId="1" fillId="0" borderId="11" xfId="21" applyNumberFormat="1" applyFont="1" applyFill="1" applyBorder="1" applyAlignment="1" applyProtection="1">
      <alignment horizontal="center"/>
      <protection/>
    </xf>
    <xf numFmtId="0" fontId="6" fillId="0" borderId="0" xfId="21" applyFont="1" applyAlignment="1" applyProtection="1">
      <alignment/>
      <protection/>
    </xf>
    <xf numFmtId="22" fontId="6" fillId="0" borderId="0" xfId="21" applyNumberFormat="1" applyFont="1" applyFill="1" applyBorder="1">
      <alignment/>
      <protection/>
    </xf>
    <xf numFmtId="0" fontId="6" fillId="0" borderId="0" xfId="21" applyFont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25" fillId="0" borderId="11" xfId="21" applyFont="1" applyFill="1" applyBorder="1" applyAlignment="1" applyProtection="1">
      <alignment horizontal="center" vertical="center" wrapText="1"/>
      <protection/>
    </xf>
    <xf numFmtId="0" fontId="25" fillId="0" borderId="11" xfId="21" applyFont="1" applyFill="1" applyBorder="1" applyAlignment="1" applyProtection="1">
      <alignment horizontal="center" vertical="center"/>
      <protection/>
    </xf>
    <xf numFmtId="0" fontId="25" fillId="0" borderId="11" xfId="21" applyFont="1" applyFill="1" applyBorder="1" applyAlignment="1" applyProtection="1" quotePrefix="1">
      <alignment horizontal="center" vertical="center" wrapText="1"/>
      <protection/>
    </xf>
    <xf numFmtId="0" fontId="25" fillId="0" borderId="11" xfId="21" applyFont="1" applyFill="1" applyBorder="1" applyAlignment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32" fillId="7" borderId="11" xfId="21" applyFont="1" applyFill="1" applyBorder="1" applyAlignment="1" applyProtection="1">
      <alignment horizontal="center" vertical="center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46" fillId="8" borderId="11" xfId="21" applyFont="1" applyFill="1" applyBorder="1" applyAlignment="1">
      <alignment horizontal="center" vertical="center" wrapText="1"/>
      <protection/>
    </xf>
    <xf numFmtId="0" fontId="46" fillId="9" borderId="6" xfId="21" applyFont="1" applyFill="1" applyBorder="1" applyAlignment="1" applyProtection="1">
      <alignment horizontal="centerContinuous" vertical="center" wrapText="1"/>
      <protection/>
    </xf>
    <xf numFmtId="0" fontId="46" fillId="9" borderId="7" xfId="21" applyFont="1" applyFill="1" applyBorder="1" applyAlignment="1">
      <alignment horizontal="centerContinuous" vertical="center"/>
      <protection/>
    </xf>
    <xf numFmtId="0" fontId="47" fillId="10" borderId="6" xfId="21" applyFont="1" applyFill="1" applyBorder="1" applyAlignment="1" applyProtection="1">
      <alignment horizontal="centerContinuous" vertical="center" wrapText="1"/>
      <protection/>
    </xf>
    <xf numFmtId="0" fontId="47" fillId="10" borderId="7" xfId="21" applyFont="1" applyFill="1" applyBorder="1" applyAlignment="1">
      <alignment horizontal="centerContinuous" vertical="center"/>
      <protection/>
    </xf>
    <xf numFmtId="0" fontId="31" fillId="11" borderId="11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20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Protection="1">
      <alignment/>
      <protection locked="0"/>
    </xf>
    <xf numFmtId="0" fontId="48" fillId="2" borderId="13" xfId="21" applyFont="1" applyFill="1" applyBorder="1" applyProtection="1">
      <alignment/>
      <protection locked="0"/>
    </xf>
    <xf numFmtId="0" fontId="6" fillId="0" borderId="13" xfId="21" applyFont="1" applyFill="1" applyBorder="1" applyAlignment="1">
      <alignment horizontal="center"/>
      <protection/>
    </xf>
    <xf numFmtId="0" fontId="49" fillId="8" borderId="13" xfId="21" applyFont="1" applyFill="1" applyBorder="1" applyProtection="1">
      <alignment/>
      <protection locked="0"/>
    </xf>
    <xf numFmtId="0" fontId="49" fillId="9" borderId="21" xfId="21" applyFont="1" applyFill="1" applyBorder="1" applyAlignment="1" applyProtection="1">
      <alignment horizontal="center"/>
      <protection locked="0"/>
    </xf>
    <xf numFmtId="0" fontId="49" fillId="9" borderId="22" xfId="21" applyFont="1" applyFill="1" applyBorder="1" applyProtection="1">
      <alignment/>
      <protection locked="0"/>
    </xf>
    <xf numFmtId="0" fontId="50" fillId="10" borderId="21" xfId="21" applyFont="1" applyFill="1" applyBorder="1" applyAlignment="1" applyProtection="1">
      <alignment horizontal="center"/>
      <protection locked="0"/>
    </xf>
    <xf numFmtId="0" fontId="50" fillId="10" borderId="22" xfId="21" applyFont="1" applyFill="1" applyBorder="1" applyProtection="1">
      <alignment/>
      <protection locked="0"/>
    </xf>
    <xf numFmtId="0" fontId="37" fillId="11" borderId="13" xfId="21" applyFont="1" applyFill="1" applyBorder="1" applyProtection="1">
      <alignment/>
      <protection locked="0"/>
    </xf>
    <xf numFmtId="0" fontId="49" fillId="12" borderId="13" xfId="21" applyFont="1" applyFill="1" applyBorder="1" applyProtection="1">
      <alignment/>
      <protection locked="0"/>
    </xf>
    <xf numFmtId="0" fontId="39" fillId="0" borderId="13" xfId="21" applyFont="1" applyFill="1" applyBorder="1" applyAlignment="1">
      <alignment horizontal="right"/>
      <protection/>
    </xf>
    <xf numFmtId="0" fontId="6" fillId="0" borderId="23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Protection="1">
      <alignment/>
      <protection locked="0"/>
    </xf>
    <xf numFmtId="0" fontId="48" fillId="2" borderId="14" xfId="21" applyFont="1" applyFill="1" applyBorder="1" applyProtection="1">
      <alignment/>
      <protection locked="0"/>
    </xf>
    <xf numFmtId="0" fontId="6" fillId="0" borderId="14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Alignment="1">
      <alignment horizontal="center"/>
      <protection/>
    </xf>
    <xf numFmtId="0" fontId="49" fillId="8" borderId="14" xfId="21" applyFont="1" applyFill="1" applyBorder="1" applyProtection="1">
      <alignment/>
      <protection locked="0"/>
    </xf>
    <xf numFmtId="0" fontId="49" fillId="9" borderId="24" xfId="21" applyFont="1" applyFill="1" applyBorder="1" applyAlignment="1" applyProtection="1">
      <alignment horizontal="center"/>
      <protection locked="0"/>
    </xf>
    <xf numFmtId="0" fontId="49" fillId="9" borderId="25" xfId="21" applyFont="1" applyFill="1" applyBorder="1" applyProtection="1">
      <alignment/>
      <protection locked="0"/>
    </xf>
    <xf numFmtId="0" fontId="50" fillId="10" borderId="24" xfId="21" applyFont="1" applyFill="1" applyBorder="1" applyAlignment="1" applyProtection="1">
      <alignment horizontal="center"/>
      <protection locked="0"/>
    </xf>
    <xf numFmtId="0" fontId="50" fillId="10" borderId="25" xfId="21" applyFont="1" applyFill="1" applyBorder="1" applyProtection="1">
      <alignment/>
      <protection locked="0"/>
    </xf>
    <xf numFmtId="0" fontId="37" fillId="11" borderId="14" xfId="21" applyFont="1" applyFill="1" applyBorder="1" applyProtection="1">
      <alignment/>
      <protection locked="0"/>
    </xf>
    <xf numFmtId="0" fontId="49" fillId="12" borderId="14" xfId="21" applyFont="1" applyFill="1" applyBorder="1" applyProtection="1">
      <alignment/>
      <protection locked="0"/>
    </xf>
    <xf numFmtId="0" fontId="39" fillId="0" borderId="25" xfId="21" applyFont="1" applyFill="1" applyBorder="1" applyAlignment="1">
      <alignment horizontal="right"/>
      <protection/>
    </xf>
    <xf numFmtId="165" fontId="6" fillId="0" borderId="15" xfId="21" applyNumberFormat="1" applyFont="1" applyBorder="1" applyAlignment="1" applyProtection="1" quotePrefix="1">
      <alignment horizontal="center"/>
      <protection locked="0"/>
    </xf>
    <xf numFmtId="2" fontId="6" fillId="0" borderId="15" xfId="21" applyNumberFormat="1" applyFont="1" applyBorder="1" applyAlignment="1" applyProtection="1" quotePrefix="1">
      <alignment horizontal="center"/>
      <protection locked="0"/>
    </xf>
    <xf numFmtId="167" fontId="48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Fill="1" applyBorder="1" applyAlignment="1" applyProtection="1">
      <alignment horizontal="center"/>
      <protection locked="0"/>
    </xf>
    <xf numFmtId="2" fontId="6" fillId="0" borderId="14" xfId="21" applyNumberFormat="1" applyFont="1" applyFill="1" applyBorder="1" applyAlignment="1" applyProtection="1">
      <alignment horizontal="center"/>
      <protection/>
    </xf>
    <xf numFmtId="3" fontId="6" fillId="0" borderId="14" xfId="21" applyNumberFormat="1" applyFont="1" applyFill="1" applyBorder="1" applyAlignment="1" applyProtection="1">
      <alignment horizontal="center"/>
      <protection/>
    </xf>
    <xf numFmtId="167" fontId="6" fillId="0" borderId="14" xfId="21" applyNumberFormat="1" applyFont="1" applyFill="1" applyBorder="1" applyAlignment="1" applyProtection="1">
      <alignment horizontal="center"/>
      <protection locked="0"/>
    </xf>
    <xf numFmtId="167" fontId="6" fillId="0" borderId="14" xfId="21" applyNumberFormat="1" applyFont="1" applyFill="1" applyBorder="1" applyAlignment="1" applyProtection="1" quotePrefix="1">
      <alignment horizontal="center"/>
      <protection locked="0"/>
    </xf>
    <xf numFmtId="2" fontId="34" fillId="5" borderId="14" xfId="21" applyNumberFormat="1" applyFont="1" applyFill="1" applyBorder="1" applyAlignment="1" applyProtection="1">
      <alignment horizontal="center"/>
      <protection locked="0"/>
    </xf>
    <xf numFmtId="2" fontId="49" fillId="8" borderId="14" xfId="21" applyNumberFormat="1" applyFont="1" applyFill="1" applyBorder="1" applyAlignment="1" applyProtection="1">
      <alignment horizontal="center"/>
      <protection locked="0"/>
    </xf>
    <xf numFmtId="167" fontId="49" fillId="9" borderId="24" xfId="21" applyNumberFormat="1" applyFont="1" applyFill="1" applyBorder="1" applyAlignment="1" applyProtection="1" quotePrefix="1">
      <alignment horizontal="center"/>
      <protection locked="0"/>
    </xf>
    <xf numFmtId="167" fontId="49" fillId="9" borderId="26" xfId="21" applyNumberFormat="1" applyFont="1" applyFill="1" applyBorder="1" applyAlignment="1" applyProtection="1" quotePrefix="1">
      <alignment horizontal="center"/>
      <protection locked="0"/>
    </xf>
    <xf numFmtId="167" fontId="50" fillId="10" borderId="24" xfId="21" applyNumberFormat="1" applyFont="1" applyFill="1" applyBorder="1" applyAlignment="1" applyProtection="1" quotePrefix="1">
      <alignment horizontal="center"/>
      <protection locked="0"/>
    </xf>
    <xf numFmtId="167" fontId="50" fillId="10" borderId="26" xfId="21" applyNumberFormat="1" applyFont="1" applyFill="1" applyBorder="1" applyAlignment="1" applyProtection="1" quotePrefix="1">
      <alignment horizontal="center"/>
      <protection locked="0"/>
    </xf>
    <xf numFmtId="167" fontId="37" fillId="11" borderId="14" xfId="21" applyNumberFormat="1" applyFont="1" applyFill="1" applyBorder="1" applyAlignment="1" applyProtection="1" quotePrefix="1">
      <alignment horizontal="center"/>
      <protection locked="0"/>
    </xf>
    <xf numFmtId="167" fontId="49" fillId="12" borderId="15" xfId="21" applyNumberFormat="1" applyFont="1" applyFill="1" applyBorder="1" applyAlignment="1" applyProtection="1" quotePrefix="1">
      <alignment horizontal="center"/>
      <protection locked="0"/>
    </xf>
    <xf numFmtId="167" fontId="39" fillId="0" borderId="25" xfId="21" applyNumberFormat="1" applyFont="1" applyFill="1" applyBorder="1" applyAlignment="1">
      <alignment horizontal="right"/>
      <protection/>
    </xf>
    <xf numFmtId="2" fontId="6" fillId="0" borderId="5" xfId="21" applyNumberFormat="1" applyFont="1" applyFill="1" applyBorder="1">
      <alignment/>
      <protection/>
    </xf>
    <xf numFmtId="0" fontId="6" fillId="0" borderId="16" xfId="21" applyFont="1" applyFill="1" applyBorder="1">
      <alignment/>
      <protection/>
    </xf>
    <xf numFmtId="0" fontId="48" fillId="2" borderId="16" xfId="21" applyFont="1" applyFill="1" applyBorder="1">
      <alignment/>
      <protection/>
    </xf>
    <xf numFmtId="0" fontId="38" fillId="7" borderId="16" xfId="21" applyFont="1" applyFill="1" applyBorder="1">
      <alignment/>
      <protection/>
    </xf>
    <xf numFmtId="0" fontId="34" fillId="5" borderId="16" xfId="21" applyFont="1" applyFill="1" applyBorder="1">
      <alignment/>
      <protection/>
    </xf>
    <xf numFmtId="0" fontId="49" fillId="8" borderId="16" xfId="21" applyFont="1" applyFill="1" applyBorder="1">
      <alignment/>
      <protection/>
    </xf>
    <xf numFmtId="0" fontId="49" fillId="9" borderId="27" xfId="21" applyFont="1" applyFill="1" applyBorder="1">
      <alignment/>
      <protection/>
    </xf>
    <xf numFmtId="0" fontId="49" fillId="9" borderId="28" xfId="21" applyFont="1" applyFill="1" applyBorder="1">
      <alignment/>
      <protection/>
    </xf>
    <xf numFmtId="0" fontId="50" fillId="10" borderId="27" xfId="21" applyFont="1" applyFill="1" applyBorder="1">
      <alignment/>
      <protection/>
    </xf>
    <xf numFmtId="0" fontId="50" fillId="10" borderId="28" xfId="21" applyFont="1" applyFill="1" applyBorder="1">
      <alignment/>
      <protection/>
    </xf>
    <xf numFmtId="0" fontId="37" fillId="11" borderId="16" xfId="21" applyFont="1" applyFill="1" applyBorder="1">
      <alignment/>
      <protection/>
    </xf>
    <xf numFmtId="0" fontId="49" fillId="12" borderId="16" xfId="21" applyFont="1" applyFill="1" applyBorder="1">
      <alignment/>
      <protection/>
    </xf>
    <xf numFmtId="0" fontId="39" fillId="0" borderId="18" xfId="21" applyFont="1" applyFill="1" applyBorder="1" applyAlignment="1">
      <alignment horizontal="right"/>
      <protection/>
    </xf>
    <xf numFmtId="7" fontId="34" fillId="5" borderId="11" xfId="21" applyNumberFormat="1" applyFont="1" applyFill="1" applyBorder="1" applyAlignment="1">
      <alignment horizontal="center"/>
      <protection/>
    </xf>
    <xf numFmtId="7" fontId="49" fillId="8" borderId="11" xfId="21" applyNumberFormat="1" applyFont="1" applyFill="1" applyBorder="1" applyAlignment="1">
      <alignment horizontal="center"/>
      <protection/>
    </xf>
    <xf numFmtId="7" fontId="49" fillId="9" borderId="11" xfId="21" applyNumberFormat="1" applyFont="1" applyFill="1" applyBorder="1" applyAlignment="1">
      <alignment horizontal="center"/>
      <protection/>
    </xf>
    <xf numFmtId="7" fontId="49" fillId="9" borderId="29" xfId="21" applyNumberFormat="1" applyFont="1" applyFill="1" applyBorder="1" applyAlignment="1">
      <alignment horizontal="center"/>
      <protection/>
    </xf>
    <xf numFmtId="7" fontId="50" fillId="10" borderId="11" xfId="21" applyNumberFormat="1" applyFont="1" applyFill="1" applyBorder="1" applyAlignment="1">
      <alignment horizontal="center"/>
      <protection/>
    </xf>
    <xf numFmtId="7" fontId="37" fillId="11" borderId="11" xfId="21" applyNumberFormat="1" applyFont="1" applyFill="1" applyBorder="1" applyAlignment="1">
      <alignment horizontal="center"/>
      <protection/>
    </xf>
    <xf numFmtId="7" fontId="49" fillId="12" borderId="11" xfId="21" applyNumberFormat="1" applyFont="1" applyFill="1" applyBorder="1" applyAlignment="1">
      <alignment horizontal="center"/>
      <protection/>
    </xf>
    <xf numFmtId="0" fontId="6" fillId="0" borderId="30" xfId="21" applyFont="1" applyFill="1" applyBorder="1">
      <alignment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0" fontId="41" fillId="0" borderId="4" xfId="21" applyFont="1" applyFill="1" applyBorder="1">
      <alignment/>
      <protection/>
    </xf>
    <xf numFmtId="0" fontId="41" fillId="0" borderId="0" xfId="21" applyFont="1" applyFill="1" applyBorder="1">
      <alignment/>
      <protection/>
    </xf>
    <xf numFmtId="7" fontId="41" fillId="0" borderId="0" xfId="21" applyNumberFormat="1" applyFont="1" applyFill="1" applyBorder="1" applyAlignment="1">
      <alignment horizontal="center"/>
      <protection/>
    </xf>
    <xf numFmtId="7" fontId="41" fillId="0" borderId="0" xfId="21" applyNumberFormat="1" applyFont="1" applyFill="1" applyBorder="1" applyAlignment="1" applyProtection="1">
      <alignment horizontal="right"/>
      <protection locked="0"/>
    </xf>
    <xf numFmtId="0" fontId="41" fillId="0" borderId="5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9" xfId="21" applyFont="1" applyFill="1" applyBorder="1">
      <alignment/>
      <protection/>
    </xf>
    <xf numFmtId="0" fontId="6" fillId="0" borderId="1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8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/>
      <protection/>
    </xf>
    <xf numFmtId="0" fontId="51" fillId="0" borderId="0" xfId="21" applyFont="1" applyBorder="1">
      <alignment/>
      <protection/>
    </xf>
    <xf numFmtId="0" fontId="20" fillId="0" borderId="0" xfId="21" applyFont="1" applyFill="1" applyBorder="1" applyAlignment="1" applyProtection="1" quotePrefix="1">
      <alignment horizontal="centerContinuous"/>
      <protection locked="0"/>
    </xf>
    <xf numFmtId="0" fontId="1" fillId="0" borderId="6" xfId="21" applyFont="1" applyBorder="1" applyAlignment="1" applyProtection="1">
      <alignment horizontal="left"/>
      <protection/>
    </xf>
    <xf numFmtId="168" fontId="1" fillId="0" borderId="29" xfId="21" applyNumberFormat="1" applyFont="1" applyBorder="1" applyAlignment="1" applyProtection="1">
      <alignment horizontal="center"/>
      <protection/>
    </xf>
    <xf numFmtId="0" fontId="1" fillId="0" borderId="11" xfId="21" applyFont="1" applyBorder="1" applyAlignment="1">
      <alignment horizontal="center"/>
      <protection/>
    </xf>
    <xf numFmtId="22" fontId="6" fillId="0" borderId="0" xfId="21" applyNumberFormat="1" applyFont="1" applyBorder="1">
      <alignment/>
      <protection/>
    </xf>
    <xf numFmtId="0" fontId="1" fillId="0" borderId="6" xfId="21" applyFont="1" applyBorder="1">
      <alignment/>
      <protection/>
    </xf>
    <xf numFmtId="168" fontId="52" fillId="0" borderId="29" xfId="21" applyNumberFormat="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168" fontId="6" fillId="0" borderId="0" xfId="21" applyNumberFormat="1" applyFont="1" applyBorder="1">
      <alignment/>
      <protection/>
    </xf>
    <xf numFmtId="0" fontId="6" fillId="0" borderId="0" xfId="21" applyFont="1" applyBorder="1" applyAlignment="1" quotePrefix="1">
      <alignment horizontal="center"/>
      <protection/>
    </xf>
    <xf numFmtId="0" fontId="1" fillId="0" borderId="6" xfId="21" applyFont="1" applyBorder="1" applyAlignment="1">
      <alignment horizontal="left"/>
      <protection/>
    </xf>
    <xf numFmtId="1" fontId="1" fillId="0" borderId="16" xfId="21" applyNumberFormat="1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5" fillId="0" borderId="4" xfId="21" applyFont="1" applyBorder="1">
      <alignment/>
      <protection/>
    </xf>
    <xf numFmtId="0" fontId="25" fillId="0" borderId="7" xfId="21" applyFont="1" applyFill="1" applyBorder="1" applyAlignment="1" applyProtection="1">
      <alignment horizontal="center" vertical="center"/>
      <protection/>
    </xf>
    <xf numFmtId="0" fontId="25" fillId="0" borderId="12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 applyProtection="1">
      <alignment horizontal="center" vertical="center"/>
      <protection/>
    </xf>
    <xf numFmtId="0" fontId="53" fillId="11" borderId="11" xfId="21" applyFont="1" applyFill="1" applyBorder="1" applyAlignment="1">
      <alignment horizontal="center" vertical="center" wrapText="1"/>
      <protection/>
    </xf>
    <xf numFmtId="0" fontId="46" fillId="10" borderId="6" xfId="21" applyFont="1" applyFill="1" applyBorder="1" applyAlignment="1" applyProtection="1">
      <alignment horizontal="centerContinuous" vertical="center" wrapText="1"/>
      <protection/>
    </xf>
    <xf numFmtId="0" fontId="46" fillId="10" borderId="7" xfId="21" applyFont="1" applyFill="1" applyBorder="1" applyAlignment="1">
      <alignment horizontal="centerContinuous" vertical="center"/>
      <protection/>
    </xf>
    <xf numFmtId="0" fontId="28" fillId="13" borderId="11" xfId="21" applyFont="1" applyFill="1" applyBorder="1" applyAlignment="1">
      <alignment horizontal="center" vertical="center" wrapText="1"/>
      <protection/>
    </xf>
    <xf numFmtId="0" fontId="25" fillId="0" borderId="5" xfId="21" applyFont="1" applyFill="1" applyBorder="1">
      <alignment/>
      <protection/>
    </xf>
    <xf numFmtId="164" fontId="6" fillId="0" borderId="14" xfId="21" applyNumberFormat="1" applyFont="1" applyFill="1" applyBorder="1" applyAlignment="1" applyProtection="1">
      <alignment horizontal="center"/>
      <protection locked="0"/>
    </xf>
    <xf numFmtId="0" fontId="33" fillId="2" borderId="13" xfId="21" applyFont="1" applyFill="1" applyBorder="1" applyAlignment="1" applyProtection="1">
      <alignment horizontal="center"/>
      <protection locked="0"/>
    </xf>
    <xf numFmtId="0" fontId="6" fillId="0" borderId="25" xfId="21" applyFont="1" applyFill="1" applyBorder="1" applyAlignment="1" applyProtection="1">
      <alignment horizontal="center"/>
      <protection locked="0"/>
    </xf>
    <xf numFmtId="0" fontId="54" fillId="12" borderId="13" xfId="21" applyFont="1" applyFill="1" applyBorder="1" applyAlignment="1" applyProtection="1">
      <alignment horizontal="center"/>
      <protection locked="0"/>
    </xf>
    <xf numFmtId="0" fontId="55" fillId="11" borderId="13" xfId="21" applyFont="1" applyFill="1" applyBorder="1" applyAlignment="1" applyProtection="1">
      <alignment horizontal="center"/>
      <protection locked="0"/>
    </xf>
    <xf numFmtId="167" fontId="49" fillId="10" borderId="21" xfId="21" applyNumberFormat="1" applyFont="1" applyFill="1" applyBorder="1" applyAlignment="1" applyProtection="1" quotePrefix="1">
      <alignment horizontal="center"/>
      <protection locked="0"/>
    </xf>
    <xf numFmtId="167" fontId="49" fillId="10" borderId="31" xfId="21" applyNumberFormat="1" applyFont="1" applyFill="1" applyBorder="1" applyAlignment="1" applyProtection="1" quotePrefix="1">
      <alignment horizontal="center"/>
      <protection locked="0"/>
    </xf>
    <xf numFmtId="167" fontId="34" fillId="13" borderId="13" xfId="21" applyNumberFormat="1" applyFont="1" applyFill="1" applyBorder="1" applyAlignment="1" applyProtection="1" quotePrefix="1">
      <alignment horizontal="center"/>
      <protection locked="0"/>
    </xf>
    <xf numFmtId="0" fontId="6" fillId="0" borderId="23" xfId="21" applyFont="1" applyFill="1" applyBorder="1" applyAlignment="1" applyProtection="1">
      <alignment horizontal="left"/>
      <protection locked="0"/>
    </xf>
    <xf numFmtId="0" fontId="39" fillId="0" borderId="14" xfId="21" applyFont="1" applyFill="1" applyBorder="1" applyAlignment="1">
      <alignment horizontal="center"/>
      <protection/>
    </xf>
    <xf numFmtId="0" fontId="56" fillId="0" borderId="23" xfId="21" applyFont="1" applyFill="1" applyBorder="1" applyAlignment="1" applyProtection="1">
      <alignment horizontal="center"/>
      <protection locked="0"/>
    </xf>
    <xf numFmtId="169" fontId="5" fillId="0" borderId="14" xfId="21" applyNumberFormat="1" applyFont="1" applyFill="1" applyBorder="1" applyAlignment="1" applyProtection="1">
      <alignment horizontal="center"/>
      <protection locked="0"/>
    </xf>
    <xf numFmtId="168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5" xfId="21" applyNumberFormat="1" applyFont="1" applyFill="1" applyBorder="1" applyAlignment="1" applyProtection="1">
      <alignment horizontal="center"/>
      <protection locked="0"/>
    </xf>
    <xf numFmtId="22" fontId="6" fillId="0" borderId="26" xfId="21" applyNumberFormat="1" applyFont="1" applyFill="1" applyBorder="1" applyAlignment="1" applyProtection="1">
      <alignment horizontal="center"/>
      <protection locked="0"/>
    </xf>
    <xf numFmtId="164" fontId="6" fillId="0" borderId="14" xfId="21" applyNumberFormat="1" applyFont="1" applyFill="1" applyBorder="1" applyAlignment="1" applyProtection="1" quotePrefix="1">
      <alignment horizontal="center"/>
      <protection/>
    </xf>
    <xf numFmtId="164" fontId="54" fillId="12" borderId="14" xfId="21" applyNumberFormat="1" applyFont="1" applyFill="1" applyBorder="1" applyAlignment="1" applyProtection="1">
      <alignment horizontal="center"/>
      <protection locked="0"/>
    </xf>
    <xf numFmtId="2" fontId="55" fillId="11" borderId="14" xfId="21" applyNumberFormat="1" applyFont="1" applyFill="1" applyBorder="1" applyAlignment="1" applyProtection="1">
      <alignment horizontal="center"/>
      <protection locked="0"/>
    </xf>
    <xf numFmtId="167" fontId="49" fillId="10" borderId="24" xfId="21" applyNumberFormat="1" applyFont="1" applyFill="1" applyBorder="1" applyAlignment="1" applyProtection="1" quotePrefix="1">
      <alignment horizontal="center"/>
      <protection locked="0"/>
    </xf>
    <xf numFmtId="167" fontId="49" fillId="10" borderId="26" xfId="21" applyNumberFormat="1" applyFont="1" applyFill="1" applyBorder="1" applyAlignment="1" applyProtection="1" quotePrefix="1">
      <alignment horizontal="center"/>
      <protection locked="0"/>
    </xf>
    <xf numFmtId="167" fontId="34" fillId="13" borderId="14" xfId="21" applyNumberFormat="1" applyFont="1" applyFill="1" applyBorder="1" applyAlignment="1" applyProtection="1" quotePrefix="1">
      <alignment horizontal="center"/>
      <protection locked="0"/>
    </xf>
    <xf numFmtId="167" fontId="6" fillId="0" borderId="23" xfId="21" applyNumberFormat="1" applyFont="1" applyFill="1" applyBorder="1" applyAlignment="1" applyProtection="1">
      <alignment horizontal="center"/>
      <protection locked="0"/>
    </xf>
    <xf numFmtId="167" fontId="39" fillId="0" borderId="14" xfId="21" applyNumberFormat="1" applyFont="1" applyFill="1" applyBorder="1" applyAlignment="1">
      <alignment horizontal="center"/>
      <protection/>
    </xf>
    <xf numFmtId="169" fontId="5" fillId="0" borderId="14" xfId="21" applyNumberFormat="1" applyFont="1" applyFill="1" applyBorder="1" applyAlignment="1" applyProtection="1" quotePrefix="1">
      <alignment horizontal="center"/>
      <protection locked="0"/>
    </xf>
    <xf numFmtId="167" fontId="39" fillId="0" borderId="14" xfId="21" applyNumberFormat="1" applyFont="1" applyFill="1" applyBorder="1" applyAlignment="1">
      <alignment horizontal="right"/>
      <protection/>
    </xf>
    <xf numFmtId="0" fontId="33" fillId="2" borderId="16" xfId="21" applyFont="1" applyFill="1" applyBorder="1">
      <alignment/>
      <protection/>
    </xf>
    <xf numFmtId="0" fontId="54" fillId="12" borderId="16" xfId="21" applyFont="1" applyFill="1" applyBorder="1">
      <alignment/>
      <protection/>
    </xf>
    <xf numFmtId="0" fontId="55" fillId="11" borderId="16" xfId="21" applyFont="1" applyFill="1" applyBorder="1">
      <alignment/>
      <protection/>
    </xf>
    <xf numFmtId="0" fontId="49" fillId="10" borderId="27" xfId="21" applyFont="1" applyFill="1" applyBorder="1">
      <alignment/>
      <protection/>
    </xf>
    <xf numFmtId="0" fontId="49" fillId="10" borderId="28" xfId="21" applyFont="1" applyFill="1" applyBorder="1">
      <alignment/>
      <protection/>
    </xf>
    <xf numFmtId="0" fontId="34" fillId="13" borderId="16" xfId="21" applyFont="1" applyFill="1" applyBorder="1">
      <alignment/>
      <protection/>
    </xf>
    <xf numFmtId="0" fontId="39" fillId="0" borderId="18" xfId="21" applyFont="1" applyFill="1" applyBorder="1">
      <alignment/>
      <protection/>
    </xf>
    <xf numFmtId="2" fontId="55" fillId="11" borderId="11" xfId="21" applyNumberFormat="1" applyFont="1" applyFill="1" applyBorder="1" applyAlignment="1">
      <alignment horizontal="center"/>
      <protection/>
    </xf>
    <xf numFmtId="2" fontId="49" fillId="10" borderId="11" xfId="21" applyNumberFormat="1" applyFont="1" applyFill="1" applyBorder="1" applyAlignment="1">
      <alignment horizontal="center"/>
      <protection/>
    </xf>
    <xf numFmtId="2" fontId="34" fillId="13" borderId="11" xfId="21" applyNumberFormat="1" applyFont="1" applyFill="1" applyBorder="1" applyAlignment="1">
      <alignment horizontal="center"/>
      <protection/>
    </xf>
    <xf numFmtId="7" fontId="6" fillId="0" borderId="0" xfId="21" applyNumberFormat="1" applyFont="1" applyFill="1" applyBorder="1" applyAlignment="1">
      <alignment horizontal="center"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7" fontId="45" fillId="0" borderId="0" xfId="21" applyNumberFormat="1" applyFont="1" applyFill="1" applyBorder="1" applyAlignment="1" applyProtection="1">
      <alignment horizontal="center"/>
      <protection locked="0"/>
    </xf>
    <xf numFmtId="0" fontId="1" fillId="0" borderId="0" xfId="21" applyFont="1">
      <alignment/>
      <protection/>
    </xf>
    <xf numFmtId="0" fontId="57" fillId="0" borderId="0" xfId="21" applyFont="1" applyAlignment="1">
      <alignment horizontal="right" vertical="top"/>
      <protection/>
    </xf>
    <xf numFmtId="0" fontId="57" fillId="0" borderId="0" xfId="21" applyFont="1" applyFill="1" applyAlignment="1">
      <alignment horizontal="right" vertical="top"/>
      <protection/>
    </xf>
    <xf numFmtId="0" fontId="21" fillId="0" borderId="0" xfId="21" applyFont="1" applyBorder="1" applyAlignment="1">
      <alignment horizontal="center"/>
      <protection/>
    </xf>
    <xf numFmtId="0" fontId="58" fillId="0" borderId="0" xfId="21" applyNumberFormat="1" applyFont="1" applyBorder="1" applyAlignment="1">
      <alignment horizontal="left"/>
      <protection/>
    </xf>
    <xf numFmtId="0" fontId="6" fillId="0" borderId="23" xfId="21" applyFont="1" applyFill="1" applyBorder="1" applyProtection="1">
      <alignment/>
      <protection locked="0"/>
    </xf>
    <xf numFmtId="0" fontId="25" fillId="0" borderId="11" xfId="0" applyFont="1" applyBorder="1" applyAlignment="1">
      <alignment horizontal="center" vertical="center"/>
    </xf>
    <xf numFmtId="0" fontId="1" fillId="2" borderId="32" xfId="0" applyFont="1" applyFill="1" applyBorder="1"/>
    <xf numFmtId="0" fontId="1" fillId="0" borderId="0" xfId="0" applyFont="1"/>
    <xf numFmtId="0" fontId="1" fillId="0" borderId="32" xfId="0" applyFont="1" applyBorder="1"/>
    <xf numFmtId="0" fontId="1" fillId="0" borderId="32" xfId="0" applyFont="1" applyBorder="1" quotePrefix="1"/>
    <xf numFmtId="0" fontId="59" fillId="2" borderId="32" xfId="0" applyFont="1" applyFill="1" applyBorder="1" applyAlignment="1">
      <alignment horizontal="center"/>
    </xf>
    <xf numFmtId="0" fontId="1" fillId="14" borderId="0" xfId="0" applyFont="1" applyFill="1"/>
    <xf numFmtId="0" fontId="1" fillId="14" borderId="0" xfId="0" applyNumberFormat="1" applyFont="1" applyFill="1"/>
    <xf numFmtId="0" fontId="59" fillId="0" borderId="32" xfId="0" applyFont="1" applyFill="1" applyBorder="1" applyAlignment="1">
      <alignment horizontal="center"/>
    </xf>
    <xf numFmtId="0" fontId="1" fillId="14" borderId="0" xfId="20" applyFont="1" applyFill="1" applyAlignment="1">
      <alignment/>
      <protection/>
    </xf>
    <xf numFmtId="0" fontId="1" fillId="0" borderId="0" xfId="0" applyFont="1" applyFill="1"/>
    <xf numFmtId="0" fontId="7" fillId="0" borderId="32" xfId="0" applyFont="1" applyBorder="1"/>
    <xf numFmtId="0" fontId="7" fillId="0" borderId="32" xfId="0" applyFont="1" applyFill="1" applyBorder="1"/>
    <xf numFmtId="0" fontId="7" fillId="0" borderId="33" xfId="0" applyFont="1" applyBorder="1"/>
    <xf numFmtId="0" fontId="60" fillId="0" borderId="32" xfId="0" applyFont="1" applyFill="1" applyBorder="1"/>
    <xf numFmtId="0" fontId="60" fillId="0" borderId="33" xfId="0" applyFont="1" applyFill="1" applyBorder="1"/>
    <xf numFmtId="168" fontId="1" fillId="0" borderId="29" xfId="21" applyNumberFormat="1" applyFont="1" applyBorder="1" applyAlignment="1">
      <alignment horizontal="center"/>
      <protection/>
    </xf>
    <xf numFmtId="0" fontId="54" fillId="0" borderId="0" xfId="21" applyFont="1" applyBorder="1">
      <alignment/>
      <protection/>
    </xf>
    <xf numFmtId="0" fontId="54" fillId="0" borderId="0" xfId="21" applyFont="1" applyFill="1" applyBorder="1">
      <alignment/>
      <protection/>
    </xf>
    <xf numFmtId="0" fontId="62" fillId="0" borderId="0" xfId="21" applyFont="1" applyBorder="1" applyAlignment="1">
      <alignment horizontal="left"/>
      <protection/>
    </xf>
    <xf numFmtId="0" fontId="21" fillId="0" borderId="0" xfId="21" applyNumberFormat="1" applyFont="1" applyBorder="1" applyAlignment="1">
      <alignment/>
      <protection/>
    </xf>
    <xf numFmtId="0" fontId="21" fillId="0" borderId="0" xfId="21" applyNumberFormat="1" applyFont="1" applyBorder="1" applyAlignment="1">
      <alignment horizontal="left"/>
      <protection/>
    </xf>
    <xf numFmtId="0" fontId="6" fillId="0" borderId="15" xfId="21" applyNumberFormat="1" applyFont="1" applyBorder="1" applyAlignment="1" applyProtection="1">
      <alignment horizontal="center"/>
      <protection locked="0"/>
    </xf>
    <xf numFmtId="0" fontId="8" fillId="0" borderId="0" xfId="22" applyFont="1">
      <alignment/>
      <protection/>
    </xf>
    <xf numFmtId="0" fontId="57" fillId="0" borderId="0" xfId="22" applyFont="1" applyAlignment="1">
      <alignment horizontal="right" vertical="top"/>
      <protection/>
    </xf>
    <xf numFmtId="0" fontId="9" fillId="0" borderId="0" xfId="22" applyFont="1" applyAlignment="1" applyProtection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4" fillId="0" borderId="0" xfId="22" applyFont="1" applyBorder="1" applyAlignment="1" applyProtection="1">
      <alignment horizontal="left"/>
      <protection/>
    </xf>
    <xf numFmtId="0" fontId="4" fillId="0" borderId="0" xfId="22" applyFont="1" applyBorder="1" applyAlignment="1" applyProtection="1">
      <alignment horizontal="centerContinuous"/>
      <protection/>
    </xf>
    <xf numFmtId="0" fontId="11" fillId="0" borderId="0" xfId="22" applyFont="1">
      <alignment/>
      <protection/>
    </xf>
    <xf numFmtId="0" fontId="6" fillId="0" borderId="0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3" xfId="22" applyFont="1" applyBorder="1">
      <alignment/>
      <protection/>
    </xf>
    <xf numFmtId="0" fontId="23" fillId="0" borderId="0" xfId="22" applyFont="1" applyBorder="1">
      <alignment/>
      <protection/>
    </xf>
    <xf numFmtId="0" fontId="23" fillId="0" borderId="4" xfId="22" applyFont="1" applyBorder="1">
      <alignment/>
      <protection/>
    </xf>
    <xf numFmtId="0" fontId="23" fillId="0" borderId="0" xfId="22" applyFont="1">
      <alignment/>
      <protection/>
    </xf>
    <xf numFmtId="0" fontId="24" fillId="0" borderId="0" xfId="22" applyFont="1" applyBorder="1" applyProtection="1">
      <alignment/>
      <protection locked="0"/>
    </xf>
    <xf numFmtId="0" fontId="23" fillId="0" borderId="5" xfId="22" applyFont="1" applyBorder="1">
      <alignment/>
      <protection/>
    </xf>
    <xf numFmtId="0" fontId="6" fillId="0" borderId="4" xfId="22" applyFont="1" applyBorder="1">
      <alignment/>
      <protection/>
    </xf>
    <xf numFmtId="0" fontId="3" fillId="0" borderId="0" xfId="22" applyFont="1" applyBorder="1">
      <alignment/>
      <protection/>
    </xf>
    <xf numFmtId="0" fontId="6" fillId="0" borderId="5" xfId="22" applyFont="1" applyBorder="1">
      <alignment/>
      <protection/>
    </xf>
    <xf numFmtId="0" fontId="13" fillId="0" borderId="0" xfId="22" applyFont="1" applyBorder="1">
      <alignment/>
      <protection/>
    </xf>
    <xf numFmtId="0" fontId="20" fillId="0" borderId="4" xfId="22" applyFont="1" applyBorder="1" applyAlignment="1" applyProtection="1">
      <alignment horizontal="centerContinuous"/>
      <protection locked="0"/>
    </xf>
    <xf numFmtId="0" fontId="13" fillId="0" borderId="0" xfId="22" applyFont="1" applyBorder="1" applyAlignment="1">
      <alignment horizontal="centerContinuous"/>
      <protection/>
    </xf>
    <xf numFmtId="0" fontId="14" fillId="0" borderId="0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3" fillId="0" borderId="0" xfId="22" applyFont="1" applyBorder="1" applyAlignment="1" applyProtection="1">
      <alignment horizontal="centerContinuous"/>
      <protection/>
    </xf>
    <xf numFmtId="0" fontId="20" fillId="0" borderId="0" xfId="22" applyFont="1" applyFill="1" applyBorder="1" applyAlignment="1" applyProtection="1" quotePrefix="1">
      <alignment horizontal="centerContinuous"/>
      <protection locked="0"/>
    </xf>
    <xf numFmtId="0" fontId="13" fillId="0" borderId="5" xfId="22" applyFont="1" applyBorder="1" applyAlignment="1">
      <alignment horizontal="centerContinuous"/>
      <protection/>
    </xf>
    <xf numFmtId="0" fontId="13" fillId="0" borderId="0" xfId="22" applyFont="1">
      <alignment/>
      <protection/>
    </xf>
    <xf numFmtId="0" fontId="16" fillId="0" borderId="0" xfId="22" applyFont="1" applyBorder="1">
      <alignment/>
      <protection/>
    </xf>
    <xf numFmtId="0" fontId="3" fillId="0" borderId="0" xfId="22" applyFont="1" applyBorder="1" applyProtection="1">
      <alignment/>
      <protection/>
    </xf>
    <xf numFmtId="0" fontId="6" fillId="0" borderId="0" xfId="22" applyFont="1" applyBorder="1" applyProtection="1">
      <alignment/>
      <protection/>
    </xf>
    <xf numFmtId="0" fontId="1" fillId="0" borderId="6" xfId="22" applyFont="1" applyBorder="1" applyAlignment="1" applyProtection="1">
      <alignment horizontal="center"/>
      <protection/>
    </xf>
    <xf numFmtId="170" fontId="39" fillId="0" borderId="7" xfId="23" applyNumberFormat="1" applyFont="1" applyBorder="1" applyAlignment="1" applyProtection="1">
      <alignment horizontal="centerContinuous"/>
      <protection locked="0"/>
    </xf>
    <xf numFmtId="170" fontId="1" fillId="0" borderId="6" xfId="24" applyNumberFormat="1" applyFont="1" applyBorder="1" applyAlignment="1">
      <alignment horizontal="centerContinuous"/>
      <protection/>
    </xf>
    <xf numFmtId="166" fontId="6" fillId="0" borderId="7" xfId="22" applyNumberFormat="1" applyFont="1" applyBorder="1" applyAlignment="1">
      <alignment horizontal="centerContinuous"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Border="1" applyAlignment="1">
      <alignment horizontal="left"/>
      <protection/>
    </xf>
    <xf numFmtId="0" fontId="1" fillId="0" borderId="0" xfId="22" applyFont="1" applyAlignment="1" applyProtection="1">
      <alignment/>
      <protection/>
    </xf>
    <xf numFmtId="0" fontId="6" fillId="0" borderId="0" xfId="22" applyFont="1" applyBorder="1" applyAlignment="1">
      <alignment horizontal="right"/>
      <protection/>
    </xf>
    <xf numFmtId="0" fontId="6" fillId="0" borderId="0" xfId="22" applyFont="1" applyBorder="1" applyAlignment="1">
      <alignment horizontal="left"/>
      <protection/>
    </xf>
    <xf numFmtId="0" fontId="1" fillId="0" borderId="0" xfId="22" applyFont="1" applyBorder="1" applyAlignment="1" applyProtection="1">
      <alignment horizontal="center"/>
      <protection/>
    </xf>
    <xf numFmtId="170" fontId="1" fillId="0" borderId="0" xfId="22" applyNumberFormat="1" applyFont="1" applyBorder="1" applyAlignment="1" applyProtection="1">
      <alignment horizontal="centerContinuous"/>
      <protection locked="0"/>
    </xf>
    <xf numFmtId="166" fontId="6" fillId="0" borderId="0" xfId="22" applyNumberFormat="1" applyFont="1" applyBorder="1" applyAlignment="1">
      <alignment horizontal="centerContinuous"/>
      <protection/>
    </xf>
    <xf numFmtId="0" fontId="54" fillId="0" borderId="0" xfId="22" applyFont="1" applyBorder="1">
      <alignment/>
      <protection/>
    </xf>
    <xf numFmtId="0" fontId="25" fillId="0" borderId="11" xfId="22" applyFont="1" applyBorder="1" applyAlignment="1">
      <alignment horizontal="center" vertical="center"/>
      <protection/>
    </xf>
    <xf numFmtId="0" fontId="25" fillId="0" borderId="11" xfId="22" applyFont="1" applyBorder="1" applyAlignment="1" applyProtection="1">
      <alignment horizontal="center" vertical="center"/>
      <protection/>
    </xf>
    <xf numFmtId="0" fontId="25" fillId="0" borderId="11" xfId="22" applyFont="1" applyBorder="1" applyAlignment="1" applyProtection="1">
      <alignment horizontal="center" vertical="center" wrapText="1"/>
      <protection/>
    </xf>
    <xf numFmtId="0" fontId="26" fillId="2" borderId="11" xfId="22" applyFont="1" applyFill="1" applyBorder="1" applyAlignment="1" applyProtection="1">
      <alignment horizontal="center" vertical="center"/>
      <protection/>
    </xf>
    <xf numFmtId="0" fontId="32" fillId="15" borderId="11" xfId="22" applyFont="1" applyFill="1" applyBorder="1" applyAlignment="1">
      <alignment horizontal="center" vertical="center" wrapText="1"/>
      <protection/>
    </xf>
    <xf numFmtId="0" fontId="63" fillId="11" borderId="11" xfId="22" applyFont="1" applyFill="1" applyBorder="1" applyAlignment="1">
      <alignment horizontal="center" vertical="center" wrapText="1"/>
      <protection/>
    </xf>
    <xf numFmtId="0" fontId="30" fillId="2" borderId="6" xfId="22" applyFont="1" applyFill="1" applyBorder="1" applyAlignment="1" applyProtection="1">
      <alignment horizontal="centerContinuous" vertical="center" wrapText="1"/>
      <protection/>
    </xf>
    <xf numFmtId="0" fontId="7" fillId="2" borderId="12" xfId="22" applyFont="1" applyFill="1" applyBorder="1" applyAlignment="1">
      <alignment horizontal="centerContinuous"/>
      <protection/>
    </xf>
    <xf numFmtId="0" fontId="30" fillId="2" borderId="7" xfId="22" applyFont="1" applyFill="1" applyBorder="1" applyAlignment="1">
      <alignment horizontal="centerContinuous" vertical="center"/>
      <protection/>
    </xf>
    <xf numFmtId="0" fontId="46" fillId="16" borderId="6" xfId="22" applyFont="1" applyFill="1" applyBorder="1" applyAlignment="1" applyProtection="1">
      <alignment horizontal="centerContinuous" vertical="center" wrapText="1"/>
      <protection/>
    </xf>
    <xf numFmtId="0" fontId="46" fillId="16" borderId="12" xfId="22" applyFont="1" applyFill="1" applyBorder="1" applyAlignment="1">
      <alignment horizontal="centerContinuous" vertical="center"/>
      <protection/>
    </xf>
    <xf numFmtId="0" fontId="46" fillId="16" borderId="7" xfId="22" applyFont="1" applyFill="1" applyBorder="1" applyAlignment="1">
      <alignment horizontal="centerContinuous" vertical="center"/>
      <protection/>
    </xf>
    <xf numFmtId="0" fontId="64" fillId="17" borderId="11" xfId="22" applyFont="1" applyFill="1" applyBorder="1" applyAlignment="1">
      <alignment horizontal="center" vertical="center" wrapText="1"/>
      <protection/>
    </xf>
    <xf numFmtId="0" fontId="46" fillId="18" borderId="11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16" fontId="25" fillId="0" borderId="11" xfId="22" applyNumberFormat="1" applyFont="1" applyBorder="1" applyAlignment="1" quotePrefix="1">
      <alignment horizontal="center" vertical="center" wrapText="1"/>
      <protection/>
    </xf>
    <xf numFmtId="0" fontId="6" fillId="0" borderId="14" xfId="22" applyFont="1" applyBorder="1">
      <alignment/>
      <protection/>
    </xf>
    <xf numFmtId="0" fontId="6" fillId="0" borderId="13" xfId="22" applyFont="1" applyBorder="1" applyAlignment="1">
      <alignment horizontal="center"/>
      <protection/>
    </xf>
    <xf numFmtId="0" fontId="6" fillId="0" borderId="13" xfId="22" applyFont="1" applyBorder="1">
      <alignment/>
      <protection/>
    </xf>
    <xf numFmtId="0" fontId="48" fillId="2" borderId="13" xfId="22" applyFont="1" applyFill="1" applyBorder="1">
      <alignment/>
      <protection/>
    </xf>
    <xf numFmtId="0" fontId="38" fillId="15" borderId="11" xfId="22" applyFont="1" applyFill="1" applyBorder="1">
      <alignment/>
      <protection/>
    </xf>
    <xf numFmtId="0" fontId="65" fillId="11" borderId="13" xfId="22" applyFont="1" applyFill="1" applyBorder="1">
      <alignment/>
      <protection/>
    </xf>
    <xf numFmtId="0" fontId="36" fillId="2" borderId="21" xfId="22" applyFont="1" applyFill="1" applyBorder="1" applyAlignment="1">
      <alignment horizontal="center"/>
      <protection/>
    </xf>
    <xf numFmtId="0" fontId="36" fillId="2" borderId="34" xfId="22" applyFont="1" applyFill="1" applyBorder="1">
      <alignment/>
      <protection/>
    </xf>
    <xf numFmtId="0" fontId="36" fillId="2" borderId="22" xfId="22" applyFont="1" applyFill="1" applyBorder="1">
      <alignment/>
      <protection/>
    </xf>
    <xf numFmtId="0" fontId="49" fillId="16" borderId="21" xfId="22" applyFont="1" applyFill="1" applyBorder="1">
      <alignment/>
      <protection/>
    </xf>
    <xf numFmtId="0" fontId="49" fillId="16" borderId="35" xfId="22" applyFont="1" applyFill="1" applyBorder="1">
      <alignment/>
      <protection/>
    </xf>
    <xf numFmtId="0" fontId="49" fillId="16" borderId="31" xfId="22" applyFont="1" applyFill="1" applyBorder="1">
      <alignment/>
      <protection/>
    </xf>
    <xf numFmtId="0" fontId="66" fillId="17" borderId="13" xfId="22" applyFont="1" applyFill="1" applyBorder="1">
      <alignment/>
      <protection/>
    </xf>
    <xf numFmtId="0" fontId="49" fillId="18" borderId="13" xfId="22" applyFont="1" applyFill="1" applyBorder="1">
      <alignment/>
      <protection/>
    </xf>
    <xf numFmtId="0" fontId="6" fillId="0" borderId="22" xfId="22" applyFont="1" applyBorder="1">
      <alignment/>
      <protection/>
    </xf>
    <xf numFmtId="7" fontId="39" fillId="0" borderId="13" xfId="22" applyNumberFormat="1" applyFont="1" applyBorder="1" applyAlignment="1">
      <alignment/>
      <protection/>
    </xf>
    <xf numFmtId="0" fontId="48" fillId="2" borderId="14" xfId="22" applyFont="1" applyFill="1" applyBorder="1">
      <alignment/>
      <protection/>
    </xf>
    <xf numFmtId="0" fontId="6" fillId="0" borderId="14" xfId="22" applyFont="1" applyBorder="1" applyAlignment="1">
      <alignment horizontal="center"/>
      <protection/>
    </xf>
    <xf numFmtId="0" fontId="65" fillId="11" borderId="15" xfId="22" applyFont="1" applyFill="1" applyBorder="1">
      <alignment/>
      <protection/>
    </xf>
    <xf numFmtId="0" fontId="36" fillId="2" borderId="24" xfId="22" applyFont="1" applyFill="1" applyBorder="1" applyAlignment="1">
      <alignment horizontal="center"/>
      <protection/>
    </xf>
    <xf numFmtId="0" fontId="36" fillId="2" borderId="36" xfId="22" applyFont="1" applyFill="1" applyBorder="1">
      <alignment/>
      <protection/>
    </xf>
    <xf numFmtId="0" fontId="36" fillId="2" borderId="25" xfId="22" applyFont="1" applyFill="1" applyBorder="1">
      <alignment/>
      <protection/>
    </xf>
    <xf numFmtId="0" fontId="49" fillId="16" borderId="24" xfId="22" applyFont="1" applyFill="1" applyBorder="1">
      <alignment/>
      <protection/>
    </xf>
    <xf numFmtId="0" fontId="49" fillId="16" borderId="33" xfId="22" applyFont="1" applyFill="1" applyBorder="1">
      <alignment/>
      <protection/>
    </xf>
    <xf numFmtId="0" fontId="49" fillId="16" borderId="26" xfId="22" applyFont="1" applyFill="1" applyBorder="1">
      <alignment/>
      <protection/>
    </xf>
    <xf numFmtId="0" fontId="66" fillId="17" borderId="14" xfId="22" applyFont="1" applyFill="1" applyBorder="1">
      <alignment/>
      <protection/>
    </xf>
    <xf numFmtId="0" fontId="49" fillId="18" borderId="14" xfId="22" applyFont="1" applyFill="1" applyBorder="1">
      <alignment/>
      <protection/>
    </xf>
    <xf numFmtId="0" fontId="6" fillId="0" borderId="25" xfId="22" applyFont="1" applyBorder="1">
      <alignment/>
      <protection/>
    </xf>
    <xf numFmtId="0" fontId="39" fillId="0" borderId="14" xfId="22" applyFont="1" applyBorder="1" applyAlignment="1">
      <alignment horizontal="right"/>
      <protection/>
    </xf>
    <xf numFmtId="0" fontId="6" fillId="0" borderId="14" xfId="22" applyFont="1" applyBorder="1" applyAlignment="1" applyProtection="1">
      <alignment horizontal="center"/>
      <protection locked="0"/>
    </xf>
    <xf numFmtId="0" fontId="6" fillId="0" borderId="15" xfId="22" applyFont="1" applyBorder="1" applyAlignment="1" applyProtection="1">
      <alignment horizontal="center"/>
      <protection locked="0"/>
    </xf>
    <xf numFmtId="2" fontId="6" fillId="0" borderId="15" xfId="22" applyNumberFormat="1" applyFont="1" applyBorder="1" applyAlignment="1" applyProtection="1">
      <alignment horizontal="center"/>
      <protection locked="0"/>
    </xf>
    <xf numFmtId="167" fontId="48" fillId="2" borderId="14" xfId="22" applyNumberFormat="1" applyFont="1" applyFill="1" applyBorder="1" applyAlignment="1" applyProtection="1">
      <alignment horizontal="center"/>
      <protection/>
    </xf>
    <xf numFmtId="2" fontId="6" fillId="0" borderId="14" xfId="22" applyNumberFormat="1" applyFont="1" applyBorder="1" applyAlignment="1" applyProtection="1">
      <alignment horizontal="center"/>
      <protection/>
    </xf>
    <xf numFmtId="1" fontId="6" fillId="0" borderId="14" xfId="22" applyNumberFormat="1" applyFont="1" applyBorder="1" applyAlignment="1" applyProtection="1">
      <alignment horizontal="center"/>
      <protection/>
    </xf>
    <xf numFmtId="167" fontId="6" fillId="0" borderId="14" xfId="22" applyNumberFormat="1" applyFont="1" applyBorder="1" applyAlignment="1" applyProtection="1">
      <alignment horizontal="center"/>
      <protection locked="0"/>
    </xf>
    <xf numFmtId="167" fontId="6" fillId="0" borderId="14" xfId="22" applyNumberFormat="1" applyFont="1" applyBorder="1" applyAlignment="1" applyProtection="1" quotePrefix="1">
      <alignment horizontal="center"/>
      <protection locked="0"/>
    </xf>
    <xf numFmtId="2" fontId="38" fillId="15" borderId="11" xfId="22" applyNumberFormat="1" applyFont="1" applyFill="1" applyBorder="1" applyAlignment="1">
      <alignment horizontal="center"/>
      <protection/>
    </xf>
    <xf numFmtId="2" fontId="65" fillId="11" borderId="15" xfId="22" applyNumberFormat="1" applyFont="1" applyFill="1" applyBorder="1" applyAlignment="1">
      <alignment horizontal="center"/>
      <protection/>
    </xf>
    <xf numFmtId="167" fontId="36" fillId="2" borderId="24" xfId="22" applyNumberFormat="1" applyFont="1" applyFill="1" applyBorder="1" applyAlignment="1" applyProtection="1" quotePrefix="1">
      <alignment horizontal="center"/>
      <protection/>
    </xf>
    <xf numFmtId="167" fontId="36" fillId="2" borderId="36" xfId="22" applyNumberFormat="1" applyFont="1" applyFill="1" applyBorder="1" applyAlignment="1" applyProtection="1" quotePrefix="1">
      <alignment horizontal="center"/>
      <protection/>
    </xf>
    <xf numFmtId="4" fontId="36" fillId="2" borderId="25" xfId="22" applyNumberFormat="1" applyFont="1" applyFill="1" applyBorder="1" applyAlignment="1">
      <alignment horizontal="center"/>
      <protection/>
    </xf>
    <xf numFmtId="167" fontId="49" fillId="16" borderId="24" xfId="22" applyNumberFormat="1" applyFont="1" applyFill="1" applyBorder="1" applyAlignment="1" applyProtection="1" quotePrefix="1">
      <alignment horizontal="center"/>
      <protection/>
    </xf>
    <xf numFmtId="167" fontId="49" fillId="16" borderId="36" xfId="22" applyNumberFormat="1" applyFont="1" applyFill="1" applyBorder="1" applyAlignment="1" applyProtection="1" quotePrefix="1">
      <alignment horizontal="center"/>
      <protection/>
    </xf>
    <xf numFmtId="4" fontId="49" fillId="16" borderId="25" xfId="22" applyNumberFormat="1" applyFont="1" applyFill="1" applyBorder="1" applyAlignment="1">
      <alignment horizontal="center"/>
      <protection/>
    </xf>
    <xf numFmtId="4" fontId="66" fillId="17" borderId="14" xfId="22" applyNumberFormat="1" applyFont="1" applyFill="1" applyBorder="1" applyAlignment="1">
      <alignment horizontal="center"/>
      <protection/>
    </xf>
    <xf numFmtId="4" fontId="49" fillId="18" borderId="14" xfId="22" applyNumberFormat="1" applyFont="1" applyFill="1" applyBorder="1" applyAlignment="1">
      <alignment horizontal="center"/>
      <protection/>
    </xf>
    <xf numFmtId="4" fontId="6" fillId="0" borderId="25" xfId="22" applyNumberFormat="1" applyFont="1" applyBorder="1" applyAlignment="1" applyProtection="1">
      <alignment horizontal="center"/>
      <protection locked="0"/>
    </xf>
    <xf numFmtId="4" fontId="39" fillId="0" borderId="14" xfId="22" applyNumberFormat="1" applyFont="1" applyBorder="1" applyAlignment="1">
      <alignment horizontal="right"/>
      <protection/>
    </xf>
    <xf numFmtId="22" fontId="6" fillId="0" borderId="14" xfId="22" applyNumberFormat="1" applyFont="1" applyBorder="1" applyAlignment="1" applyProtection="1">
      <alignment horizontal="center"/>
      <protection locked="0"/>
    </xf>
    <xf numFmtId="0" fontId="6" fillId="0" borderId="4" xfId="22" applyFont="1" applyBorder="1" applyAlignment="1">
      <alignment horizontal="right"/>
      <protection/>
    </xf>
    <xf numFmtId="0" fontId="6" fillId="0" borderId="4" xfId="22" applyFont="1" applyBorder="1" applyAlignment="1">
      <alignment horizontal="center"/>
      <protection/>
    </xf>
    <xf numFmtId="0" fontId="6" fillId="0" borderId="16" xfId="22" applyFont="1" applyBorder="1" applyProtection="1">
      <alignment/>
      <protection locked="0"/>
    </xf>
    <xf numFmtId="0" fontId="6" fillId="0" borderId="17" xfId="22" applyFont="1" applyBorder="1" applyAlignment="1" applyProtection="1">
      <alignment horizontal="center"/>
      <protection locked="0"/>
    </xf>
    <xf numFmtId="2" fontId="6" fillId="0" borderId="17" xfId="22" applyNumberFormat="1" applyFont="1" applyBorder="1" applyAlignment="1" applyProtection="1">
      <alignment horizontal="center"/>
      <protection locked="0"/>
    </xf>
    <xf numFmtId="167" fontId="6" fillId="0" borderId="16" xfId="22" applyNumberFormat="1" applyFont="1" applyBorder="1" applyAlignment="1" applyProtection="1">
      <alignment horizontal="center"/>
      <protection locked="0"/>
    </xf>
    <xf numFmtId="167" fontId="48" fillId="2" borderId="16" xfId="22" applyNumberFormat="1" applyFont="1" applyFill="1" applyBorder="1" applyAlignment="1" applyProtection="1">
      <alignment horizontal="center"/>
      <protection/>
    </xf>
    <xf numFmtId="167" fontId="6" fillId="0" borderId="16" xfId="22" applyNumberFormat="1" applyFont="1" applyBorder="1" applyAlignment="1" applyProtection="1">
      <alignment horizontal="center"/>
      <protection/>
    </xf>
    <xf numFmtId="22" fontId="6" fillId="0" borderId="16" xfId="22" applyNumberFormat="1" applyFont="1" applyBorder="1" applyAlignment="1" applyProtection="1">
      <alignment horizontal="center"/>
      <protection locked="0"/>
    </xf>
    <xf numFmtId="167" fontId="38" fillId="15" borderId="11" xfId="22" applyNumberFormat="1" applyFont="1" applyFill="1" applyBorder="1" applyAlignment="1" applyProtection="1" quotePrefix="1">
      <alignment horizontal="center"/>
      <protection/>
    </xf>
    <xf numFmtId="167" fontId="65" fillId="11" borderId="17" xfId="22" applyNumberFormat="1" applyFont="1" applyFill="1" applyBorder="1" applyAlignment="1" applyProtection="1" quotePrefix="1">
      <alignment horizontal="center"/>
      <protection/>
    </xf>
    <xf numFmtId="167" fontId="36" fillId="2" borderId="27" xfId="22" applyNumberFormat="1" applyFont="1" applyFill="1" applyBorder="1" applyAlignment="1" applyProtection="1" quotePrefix="1">
      <alignment horizontal="center"/>
      <protection/>
    </xf>
    <xf numFmtId="4" fontId="36" fillId="2" borderId="37" xfId="22" applyNumberFormat="1" applyFont="1" applyFill="1" applyBorder="1" applyAlignment="1">
      <alignment horizontal="center"/>
      <protection/>
    </xf>
    <xf numFmtId="4" fontId="36" fillId="2" borderId="38" xfId="22" applyNumberFormat="1" applyFont="1" applyFill="1" applyBorder="1" applyAlignment="1">
      <alignment horizontal="center"/>
      <protection/>
    </xf>
    <xf numFmtId="4" fontId="49" fillId="16" borderId="27" xfId="22" applyNumberFormat="1" applyFont="1" applyFill="1" applyBorder="1" applyAlignment="1">
      <alignment horizontal="center"/>
      <protection/>
    </xf>
    <xf numFmtId="4" fontId="49" fillId="16" borderId="39" xfId="22" applyNumberFormat="1" applyFont="1" applyFill="1" applyBorder="1" applyAlignment="1">
      <alignment horizontal="center"/>
      <protection/>
    </xf>
    <xf numFmtId="4" fontId="49" fillId="16" borderId="28" xfId="22" applyNumberFormat="1" applyFont="1" applyFill="1" applyBorder="1" applyAlignment="1">
      <alignment horizontal="center"/>
      <protection/>
    </xf>
    <xf numFmtId="4" fontId="66" fillId="17" borderId="16" xfId="22" applyNumberFormat="1" applyFont="1" applyFill="1" applyBorder="1" applyAlignment="1">
      <alignment horizontal="center"/>
      <protection/>
    </xf>
    <xf numFmtId="4" fontId="49" fillId="18" borderId="16" xfId="22" applyNumberFormat="1" applyFont="1" applyFill="1" applyBorder="1" applyAlignment="1">
      <alignment horizontal="center"/>
      <protection/>
    </xf>
    <xf numFmtId="4" fontId="6" fillId="0" borderId="16" xfId="22" applyNumberFormat="1" applyFont="1" applyBorder="1" applyAlignment="1" applyProtection="1">
      <alignment horizontal="center"/>
      <protection locked="0"/>
    </xf>
    <xf numFmtId="7" fontId="39" fillId="0" borderId="40" xfId="22" applyNumberFormat="1" applyFont="1" applyBorder="1" applyAlignment="1">
      <alignment horizontal="right"/>
      <protection/>
    </xf>
    <xf numFmtId="0" fontId="62" fillId="0" borderId="19" xfId="22" applyFont="1" applyBorder="1" applyAlignment="1">
      <alignment horizontal="center"/>
      <protection/>
    </xf>
    <xf numFmtId="0" fontId="62" fillId="0" borderId="0" xfId="22" applyFont="1" applyBorder="1" applyAlignment="1">
      <alignment horizontal="left"/>
      <protection/>
    </xf>
    <xf numFmtId="0" fontId="41" fillId="0" borderId="0" xfId="22" applyFont="1" applyBorder="1" applyAlignment="1">
      <alignment horizontal="center"/>
      <protection/>
    </xf>
    <xf numFmtId="0" fontId="42" fillId="0" borderId="0" xfId="22" applyFont="1" applyBorder="1" applyAlignment="1" applyProtection="1">
      <alignment horizontal="left"/>
      <protection/>
    </xf>
    <xf numFmtId="0" fontId="6" fillId="0" borderId="0" xfId="22" applyFont="1" applyBorder="1" applyAlignment="1" applyProtection="1">
      <alignment horizontal="center"/>
      <protection/>
    </xf>
    <xf numFmtId="2" fontId="6" fillId="0" borderId="0" xfId="22" applyNumberFormat="1" applyFont="1" applyBorder="1" applyAlignment="1" applyProtection="1">
      <alignment horizontal="center"/>
      <protection/>
    </xf>
    <xf numFmtId="167" fontId="6" fillId="0" borderId="0" xfId="22" applyNumberFormat="1" applyFont="1" applyBorder="1" applyAlignment="1" applyProtection="1">
      <alignment horizontal="center"/>
      <protection/>
    </xf>
    <xf numFmtId="167" fontId="6" fillId="0" borderId="0" xfId="22" applyNumberFormat="1" applyFont="1" applyBorder="1" applyAlignment="1" applyProtection="1" quotePrefix="1">
      <alignment horizontal="center"/>
      <protection/>
    </xf>
    <xf numFmtId="167" fontId="65" fillId="11" borderId="11" xfId="22" applyNumberFormat="1" applyFont="1" applyFill="1" applyBorder="1" applyAlignment="1" applyProtection="1" quotePrefix="1">
      <alignment horizontal="center"/>
      <protection/>
    </xf>
    <xf numFmtId="167" fontId="36" fillId="2" borderId="11" xfId="22" applyNumberFormat="1" applyFont="1" applyFill="1" applyBorder="1" applyAlignment="1" applyProtection="1" quotePrefix="1">
      <alignment horizontal="center"/>
      <protection/>
    </xf>
    <xf numFmtId="167" fontId="49" fillId="16" borderId="11" xfId="22" applyNumberFormat="1" applyFont="1" applyFill="1" applyBorder="1" applyAlignment="1" applyProtection="1" quotePrefix="1">
      <alignment horizontal="center"/>
      <protection/>
    </xf>
    <xf numFmtId="167" fontId="66" fillId="17" borderId="11" xfId="22" applyNumberFormat="1" applyFont="1" applyFill="1" applyBorder="1" applyAlignment="1" applyProtection="1" quotePrefix="1">
      <alignment horizontal="center"/>
      <protection/>
    </xf>
    <xf numFmtId="167" fontId="49" fillId="18" borderId="11" xfId="22" applyNumberFormat="1" applyFont="1" applyFill="1" applyBorder="1" applyAlignment="1" applyProtection="1" quotePrefix="1">
      <alignment horizontal="center"/>
      <protection/>
    </xf>
    <xf numFmtId="4" fontId="5" fillId="0" borderId="0" xfId="22" applyNumberFormat="1" applyFont="1" applyBorder="1" applyAlignment="1">
      <alignment horizontal="center"/>
      <protection/>
    </xf>
    <xf numFmtId="7" fontId="2" fillId="0" borderId="11" xfId="22" applyNumberFormat="1" applyFont="1" applyBorder="1" applyAlignment="1">
      <alignment horizontal="right"/>
      <protection/>
    </xf>
    <xf numFmtId="2" fontId="6" fillId="0" borderId="5" xfId="22" applyNumberFormat="1" applyFont="1" applyBorder="1" applyAlignment="1">
      <alignment horizontal="center"/>
      <protection/>
    </xf>
    <xf numFmtId="0" fontId="41" fillId="0" borderId="0" xfId="22" applyFont="1" applyBorder="1">
      <alignment/>
      <protection/>
    </xf>
    <xf numFmtId="0" fontId="41" fillId="0" borderId="4" xfId="22" applyFont="1" applyBorder="1">
      <alignment/>
      <protection/>
    </xf>
    <xf numFmtId="0" fontId="42" fillId="0" borderId="0" xfId="22" applyFont="1" applyBorder="1" applyAlignment="1" applyProtection="1">
      <alignment horizontal="left" vertical="top"/>
      <protection/>
    </xf>
    <xf numFmtId="0" fontId="41" fillId="0" borderId="0" xfId="22" applyFont="1" applyBorder="1" applyAlignment="1" applyProtection="1">
      <alignment horizontal="center"/>
      <protection/>
    </xf>
    <xf numFmtId="2" fontId="41" fillId="0" borderId="0" xfId="22" applyNumberFormat="1" applyFont="1" applyBorder="1" applyAlignment="1" applyProtection="1">
      <alignment horizontal="center"/>
      <protection/>
    </xf>
    <xf numFmtId="167" fontId="41" fillId="0" borderId="0" xfId="22" applyNumberFormat="1" applyFont="1" applyBorder="1" applyAlignment="1" applyProtection="1">
      <alignment horizontal="center"/>
      <protection/>
    </xf>
    <xf numFmtId="167" fontId="41" fillId="0" borderId="0" xfId="22" applyNumberFormat="1" applyFont="1" applyBorder="1" applyAlignment="1" applyProtection="1" quotePrefix="1">
      <alignment horizontal="center"/>
      <protection/>
    </xf>
    <xf numFmtId="2" fontId="43" fillId="0" borderId="0" xfId="22" applyNumberFormat="1" applyFont="1" applyBorder="1" applyAlignment="1">
      <alignment horizontal="center"/>
      <protection/>
    </xf>
    <xf numFmtId="167" fontId="44" fillId="0" borderId="0" xfId="22" applyNumberFormat="1" applyFont="1" applyBorder="1" applyAlignment="1" applyProtection="1" quotePrefix="1">
      <alignment horizontal="center"/>
      <protection/>
    </xf>
    <xf numFmtId="4" fontId="44" fillId="0" borderId="0" xfId="22" applyNumberFormat="1" applyFont="1" applyBorder="1" applyAlignment="1">
      <alignment horizontal="center"/>
      <protection/>
    </xf>
    <xf numFmtId="7" fontId="45" fillId="0" borderId="0" xfId="22" applyNumberFormat="1" applyFont="1" applyBorder="1" applyAlignment="1">
      <alignment horizontal="right"/>
      <protection/>
    </xf>
    <xf numFmtId="2" fontId="41" fillId="0" borderId="5" xfId="22" applyNumberFormat="1" applyFont="1" applyBorder="1" applyAlignment="1">
      <alignment horizontal="center"/>
      <protection/>
    </xf>
    <xf numFmtId="0" fontId="41" fillId="0" borderId="0" xfId="22" applyFont="1">
      <alignment/>
      <protection/>
    </xf>
    <xf numFmtId="0" fontId="6" fillId="0" borderId="8" xfId="22" applyFont="1" applyBorder="1">
      <alignment/>
      <protection/>
    </xf>
    <xf numFmtId="0" fontId="6" fillId="0" borderId="9" xfId="22" applyFont="1" applyBorder="1">
      <alignment/>
      <protection/>
    </xf>
    <xf numFmtId="0" fontId="6" fillId="0" borderId="10" xfId="22" applyFont="1" applyBorder="1">
      <alignment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171" fontId="1" fillId="0" borderId="6" xfId="21" applyNumberFormat="1" applyFont="1" applyBorder="1" applyAlignment="1">
      <alignment horizontal="centerContinuous"/>
      <protection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0" fontId="21" fillId="0" borderId="0" xfId="24" applyFont="1" applyBorder="1">
      <alignment/>
      <protection/>
    </xf>
    <xf numFmtId="0" fontId="21" fillId="0" borderId="0" xfId="0" applyFont="1" applyBorder="1"/>
    <xf numFmtId="0" fontId="1" fillId="0" borderId="0" xfId="25">
      <alignment/>
      <protection/>
    </xf>
    <xf numFmtId="0" fontId="57" fillId="0" borderId="0" xfId="25" applyFont="1" applyAlignment="1">
      <alignment horizontal="right" vertical="top"/>
      <protection/>
    </xf>
    <xf numFmtId="0" fontId="68" fillId="0" borderId="0" xfId="25" applyFont="1">
      <alignment/>
      <protection/>
    </xf>
    <xf numFmtId="0" fontId="69" fillId="0" borderId="0" xfId="25" applyFont="1" applyAlignment="1">
      <alignment horizontal="centerContinuous"/>
      <protection/>
    </xf>
    <xf numFmtId="0" fontId="4" fillId="0" borderId="0" xfId="25" applyFont="1" applyBorder="1" applyAlignment="1" applyProtection="1">
      <alignment horizontal="centerContinuous" vertical="center"/>
      <protection/>
    </xf>
    <xf numFmtId="0" fontId="59" fillId="0" borderId="0" xfId="25" applyFont="1" applyAlignment="1">
      <alignment horizontal="centerContinuous" vertical="center"/>
      <protection/>
    </xf>
    <xf numFmtId="0" fontId="59" fillId="0" borderId="0" xfId="25" applyFont="1">
      <alignment/>
      <protection/>
    </xf>
    <xf numFmtId="0" fontId="70" fillId="0" borderId="0" xfId="25" applyFont="1" applyBorder="1" applyAlignment="1">
      <alignment horizontal="centerContinuous"/>
      <protection/>
    </xf>
    <xf numFmtId="0" fontId="71" fillId="0" borderId="0" xfId="25" applyFont="1" applyBorder="1" applyAlignment="1" applyProtection="1">
      <alignment horizontal="left"/>
      <protection/>
    </xf>
    <xf numFmtId="0" fontId="72" fillId="0" borderId="0" xfId="25" applyFont="1" applyBorder="1" applyAlignment="1">
      <alignment horizontal="centerContinuous"/>
      <protection/>
    </xf>
    <xf numFmtId="0" fontId="73" fillId="0" borderId="0" xfId="25" applyFont="1" applyBorder="1" applyAlignment="1" applyProtection="1">
      <alignment horizontal="centerContinuous"/>
      <protection/>
    </xf>
    <xf numFmtId="0" fontId="1" fillId="0" borderId="0" xfId="25" applyAlignment="1">
      <alignment horizontal="centerContinuous"/>
      <protection/>
    </xf>
    <xf numFmtId="0" fontId="73" fillId="0" borderId="0" xfId="25" applyFont="1" applyAlignment="1">
      <alignment horizontal="centerContinuous"/>
      <protection/>
    </xf>
    <xf numFmtId="0" fontId="1" fillId="0" borderId="1" xfId="25" applyBorder="1">
      <alignment/>
      <protection/>
    </xf>
    <xf numFmtId="0" fontId="1" fillId="0" borderId="2" xfId="25" applyBorder="1">
      <alignment/>
      <protection/>
    </xf>
    <xf numFmtId="0" fontId="74" fillId="0" borderId="2" xfId="25" applyFont="1" applyBorder="1">
      <alignment/>
      <protection/>
    </xf>
    <xf numFmtId="0" fontId="1" fillId="0" borderId="3" xfId="25" applyBorder="1">
      <alignment/>
      <protection/>
    </xf>
    <xf numFmtId="0" fontId="20" fillId="0" borderId="4" xfId="25" applyFont="1" applyBorder="1" applyAlignment="1">
      <alignment horizontal="centerContinuous"/>
      <protection/>
    </xf>
    <xf numFmtId="0" fontId="74" fillId="0" borderId="0" xfId="25" applyFont="1" applyBorder="1" applyAlignment="1">
      <alignment horizontal="centerContinuous"/>
      <protection/>
    </xf>
    <xf numFmtId="0" fontId="1" fillId="0" borderId="0" xfId="25" applyBorder="1" applyAlignment="1">
      <alignment horizontal="centerContinuous"/>
      <protection/>
    </xf>
    <xf numFmtId="0" fontId="1" fillId="0" borderId="5" xfId="25" applyBorder="1" applyAlignment="1">
      <alignment horizontal="centerContinuous"/>
      <protection/>
    </xf>
    <xf numFmtId="0" fontId="1" fillId="0" borderId="4" xfId="25" applyBorder="1">
      <alignment/>
      <protection/>
    </xf>
    <xf numFmtId="0" fontId="1" fillId="0" borderId="41" xfId="25" applyBorder="1">
      <alignment/>
      <protection/>
    </xf>
    <xf numFmtId="0" fontId="74" fillId="0" borderId="0" xfId="25" applyFont="1" applyBorder="1" applyAlignment="1" applyProtection="1">
      <alignment horizontal="center"/>
      <protection/>
    </xf>
    <xf numFmtId="0" fontId="74" fillId="0" borderId="0" xfId="25" applyFont="1" applyBorder="1">
      <alignment/>
      <protection/>
    </xf>
    <xf numFmtId="0" fontId="1" fillId="0" borderId="0" xfId="25" applyBorder="1">
      <alignment/>
      <protection/>
    </xf>
    <xf numFmtId="0" fontId="1" fillId="0" borderId="5" xfId="25" applyBorder="1">
      <alignment/>
      <protection/>
    </xf>
    <xf numFmtId="0" fontId="75" fillId="0" borderId="0" xfId="25" applyFont="1" applyAlignment="1">
      <alignment horizontal="centerContinuous" vertical="center"/>
      <protection/>
    </xf>
    <xf numFmtId="0" fontId="75" fillId="0" borderId="4" xfId="25" applyFont="1" applyBorder="1" applyAlignment="1">
      <alignment horizontal="centerContinuous" vertical="center"/>
      <protection/>
    </xf>
    <xf numFmtId="0" fontId="75" fillId="19" borderId="42" xfId="25" applyFont="1" applyFill="1" applyBorder="1" applyAlignment="1" applyProtection="1">
      <alignment horizontal="centerContinuous" vertical="center"/>
      <protection/>
    </xf>
    <xf numFmtId="0" fontId="75" fillId="19" borderId="42" xfId="25" applyFont="1" applyFill="1" applyBorder="1" applyAlignment="1" applyProtection="1">
      <alignment horizontal="centerContinuous" vertical="center" wrapText="1"/>
      <protection/>
    </xf>
    <xf numFmtId="167" fontId="75" fillId="19" borderId="11" xfId="25" applyNumberFormat="1" applyFont="1" applyFill="1" applyBorder="1" applyAlignment="1" applyProtection="1">
      <alignment horizontal="centerContinuous" vertical="center" wrapText="1"/>
      <protection/>
    </xf>
    <xf numFmtId="17" fontId="75" fillId="19" borderId="7" xfId="25" applyNumberFormat="1" applyFont="1" applyFill="1" applyBorder="1" applyAlignment="1">
      <alignment horizontal="center" vertical="center"/>
      <protection/>
    </xf>
    <xf numFmtId="0" fontId="75" fillId="0" borderId="5" xfId="25" applyFont="1" applyBorder="1" applyAlignment="1">
      <alignment vertical="center"/>
      <protection/>
    </xf>
    <xf numFmtId="0" fontId="75" fillId="0" borderId="0" xfId="25" applyFont="1" applyAlignment="1">
      <alignment vertical="center"/>
      <protection/>
    </xf>
    <xf numFmtId="0" fontId="75" fillId="0" borderId="4" xfId="25" applyFont="1" applyBorder="1" applyAlignment="1">
      <alignment vertical="center"/>
      <protection/>
    </xf>
    <xf numFmtId="0" fontId="75" fillId="0" borderId="23" xfId="25" applyFont="1" applyBorder="1" applyAlignment="1">
      <alignment vertical="center"/>
      <protection/>
    </xf>
    <xf numFmtId="0" fontId="75" fillId="0" borderId="43" xfId="25" applyFont="1" applyBorder="1" applyAlignment="1">
      <alignment vertical="center"/>
      <protection/>
    </xf>
    <xf numFmtId="0" fontId="75" fillId="0" borderId="18" xfId="25" applyFont="1" applyBorder="1" applyAlignment="1">
      <alignment vertical="center"/>
      <protection/>
    </xf>
    <xf numFmtId="0" fontId="75" fillId="0" borderId="44" xfId="25" applyFont="1" applyBorder="1" applyAlignment="1">
      <alignment vertical="center"/>
      <protection/>
    </xf>
    <xf numFmtId="0" fontId="75" fillId="20" borderId="23" xfId="25" applyFont="1" applyFill="1" applyBorder="1" applyAlignment="1">
      <alignment horizontal="center" vertical="center"/>
      <protection/>
    </xf>
    <xf numFmtId="0" fontId="75" fillId="20" borderId="45" xfId="25" applyFont="1" applyFill="1" applyBorder="1" applyAlignment="1" applyProtection="1">
      <alignment horizontal="center" vertical="center"/>
      <protection/>
    </xf>
    <xf numFmtId="0" fontId="75" fillId="0" borderId="0" xfId="25" applyFont="1" applyBorder="1" applyAlignment="1">
      <alignment horizontal="center" vertical="center"/>
      <protection/>
    </xf>
    <xf numFmtId="0" fontId="75" fillId="0" borderId="0" xfId="25" applyFont="1" applyBorder="1" applyAlignment="1" applyProtection="1">
      <alignment horizontal="left" vertical="center"/>
      <protection/>
    </xf>
    <xf numFmtId="0" fontId="76" fillId="0" borderId="19" xfId="25" applyFont="1" applyBorder="1" applyAlignment="1" applyProtection="1">
      <alignment horizontal="right" vertical="center"/>
      <protection/>
    </xf>
    <xf numFmtId="167" fontId="76" fillId="0" borderId="17" xfId="25" applyNumberFormat="1" applyFont="1" applyBorder="1" applyAlignment="1" applyProtection="1">
      <alignment horizontal="center" vertical="center"/>
      <protection/>
    </xf>
    <xf numFmtId="1" fontId="75" fillId="0" borderId="11" xfId="25" applyNumberFormat="1" applyFont="1" applyFill="1" applyBorder="1" applyAlignment="1">
      <alignment horizontal="center" vertical="center"/>
      <protection/>
    </xf>
    <xf numFmtId="1" fontId="75" fillId="0" borderId="11" xfId="25" applyNumberFormat="1" applyFont="1" applyBorder="1" applyAlignment="1">
      <alignment horizontal="center" vertical="center"/>
      <protection/>
    </xf>
    <xf numFmtId="0" fontId="75" fillId="0" borderId="0" xfId="25" applyFont="1" applyBorder="1" applyAlignment="1">
      <alignment vertical="center"/>
      <protection/>
    </xf>
    <xf numFmtId="0" fontId="75" fillId="0" borderId="0" xfId="25" applyFont="1" applyBorder="1" applyAlignment="1" applyProtection="1">
      <alignment horizontal="center" vertical="center"/>
      <protection/>
    </xf>
    <xf numFmtId="0" fontId="76" fillId="0" borderId="0" xfId="25" applyFont="1" applyAlignment="1">
      <alignment horizontal="right" vertical="center"/>
      <protection/>
    </xf>
    <xf numFmtId="1" fontId="75" fillId="0" borderId="11" xfId="25" applyNumberFormat="1" applyFont="1" applyBorder="1" applyAlignment="1" applyProtection="1">
      <alignment horizontal="center" vertical="center"/>
      <protection/>
    </xf>
    <xf numFmtId="17" fontId="76" fillId="0" borderId="0" xfId="25" applyNumberFormat="1" applyFont="1" applyBorder="1" applyAlignment="1">
      <alignment horizontal="right" vertical="center"/>
      <protection/>
    </xf>
    <xf numFmtId="2" fontId="76" fillId="21" borderId="17" xfId="26" applyNumberFormat="1" applyFont="1" applyFill="1" applyBorder="1" applyAlignment="1">
      <alignment horizontal="center" vertical="center"/>
      <protection/>
    </xf>
    <xf numFmtId="0" fontId="6" fillId="0" borderId="0" xfId="25" applyFont="1" applyBorder="1">
      <alignment/>
      <protection/>
    </xf>
    <xf numFmtId="0" fontId="3" fillId="0" borderId="0" xfId="25" applyFont="1" applyBorder="1" applyAlignment="1" applyProtection="1">
      <alignment horizontal="center"/>
      <protection/>
    </xf>
    <xf numFmtId="167" fontId="3" fillId="0" borderId="0" xfId="25" applyNumberFormat="1" applyFont="1" applyBorder="1" applyAlignment="1" applyProtection="1">
      <alignment horizontal="right"/>
      <protection/>
    </xf>
    <xf numFmtId="2" fontId="1" fillId="0" borderId="0" xfId="25" applyNumberFormat="1" applyBorder="1" applyAlignment="1">
      <alignment horizontal="center"/>
      <protection/>
    </xf>
    <xf numFmtId="2" fontId="1" fillId="0" borderId="5" xfId="25" applyNumberFormat="1" applyBorder="1" applyAlignment="1">
      <alignment horizontal="center"/>
      <protection/>
    </xf>
    <xf numFmtId="0" fontId="77" fillId="0" borderId="4" xfId="25" applyFont="1" applyBorder="1">
      <alignment/>
      <protection/>
    </xf>
    <xf numFmtId="1" fontId="1" fillId="0" borderId="0" xfId="25" applyNumberFormat="1" applyBorder="1" applyAlignment="1">
      <alignment horizontal="center"/>
      <protection/>
    </xf>
    <xf numFmtId="0" fontId="77" fillId="0" borderId="8" xfId="25" applyFont="1" applyBorder="1">
      <alignment/>
      <protection/>
    </xf>
    <xf numFmtId="0" fontId="3" fillId="0" borderId="9" xfId="25" applyFont="1" applyBorder="1" applyAlignment="1" applyProtection="1">
      <alignment horizontal="left"/>
      <protection/>
    </xf>
    <xf numFmtId="0" fontId="6" fillId="0" borderId="9" xfId="25" applyFont="1" applyBorder="1">
      <alignment/>
      <protection/>
    </xf>
    <xf numFmtId="0" fontId="3" fillId="0" borderId="9" xfId="25" applyFont="1" applyBorder="1" applyAlignment="1">
      <alignment horizontal="center"/>
      <protection/>
    </xf>
    <xf numFmtId="0" fontId="1" fillId="0" borderId="9" xfId="25" applyBorder="1">
      <alignment/>
      <protection/>
    </xf>
    <xf numFmtId="0" fontId="1" fillId="0" borderId="10" xfId="25" applyBorder="1">
      <alignment/>
      <protection/>
    </xf>
    <xf numFmtId="2" fontId="1" fillId="0" borderId="0" xfId="25" applyNumberFormat="1">
      <alignment/>
      <protection/>
    </xf>
    <xf numFmtId="0" fontId="75" fillId="20" borderId="46" xfId="25" applyFont="1" applyFill="1" applyBorder="1" applyAlignment="1">
      <alignment horizontal="center" vertical="center"/>
      <protection/>
    </xf>
    <xf numFmtId="0" fontId="75" fillId="20" borderId="15" xfId="25" applyFont="1" applyFill="1" applyBorder="1" applyAlignment="1">
      <alignment horizontal="center" vertical="center"/>
      <protection/>
    </xf>
    <xf numFmtId="0" fontId="79" fillId="0" borderId="5" xfId="25" applyFont="1" applyBorder="1" applyAlignment="1">
      <alignment vertical="center"/>
      <protection/>
    </xf>
    <xf numFmtId="0" fontId="78" fillId="0" borderId="0" xfId="25" applyFont="1" applyBorder="1" applyAlignment="1">
      <alignment horizontal="right"/>
      <protection/>
    </xf>
    <xf numFmtId="0" fontId="78" fillId="0" borderId="0" xfId="25" applyFont="1" applyBorder="1" applyAlignment="1">
      <alignment horizontal="left"/>
      <protection/>
    </xf>
    <xf numFmtId="0" fontId="4" fillId="0" borderId="0" xfId="21" applyFont="1" applyFill="1" applyBorder="1" applyAlignment="1" applyProtection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mahue" xfId="20"/>
    <cellStyle name="Normal_Cuyo" xfId="21"/>
    <cellStyle name="Normal_F0413NEA" xfId="22"/>
    <cellStyle name="Normal_A0101 ANEXO I NEA" xfId="23"/>
    <cellStyle name="Normal_Cuyo 2" xfId="24"/>
    <cellStyle name="Normal_T0002CUY" xfId="25"/>
    <cellStyle name="Normal_T9904CUY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614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1076325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0"/>
          <a:ext cx="49530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0</xdr:col>
      <xdr:colOff>1038225</xdr:colOff>
      <xdr:row>2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0"/>
          <a:ext cx="48577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47</xdr:row>
          <xdr:rowOff>0</xdr:rowOff>
        </xdr:from>
        <xdr:to>
          <xdr:col>2</xdr:col>
          <xdr:colOff>0</xdr:colOff>
          <xdr:row>48</xdr:row>
          <xdr:rowOff>9525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0"/>
          <a:ext cx="4762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85725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247650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0"/>
          <a:ext cx="5810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43</xdr:row>
          <xdr:rowOff>9525</xdr:rowOff>
        </xdr:from>
        <xdr:to>
          <xdr:col>2</xdr:col>
          <xdr:colOff>0</xdr:colOff>
          <xdr:row>44</xdr:row>
          <xdr:rowOff>38100</xdr:rowOff>
        </xdr:to>
        <xdr:sp macro="" textlink="">
          <xdr:nvSpPr>
            <xdr:cNvPr id="15361" name="Button 1" hidden="1">
              <a:extLst xmlns:a="http://schemas.openxmlformats.org/drawingml/2006/main"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28575</xdr:rowOff>
    </xdr:from>
    <xdr:to>
      <xdr:col>1</xdr:col>
      <xdr:colOff>76200</xdr:colOff>
      <xdr:row>1</xdr:row>
      <xdr:rowOff>428625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28575"/>
          <a:ext cx="47625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SNEA\2013\F0413N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DSCUYO\TBASECU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413"/>
      <sheetName val="LI-04 (1)"/>
      <sheetName val="T-04 (1)"/>
      <sheetName val="SA-04 (1)"/>
      <sheetName val="LI-ELECT-04 (1)"/>
      <sheetName val="SA-ELECT-04 (1)"/>
      <sheetName val="CAUSAS-VST-04 (1)"/>
      <sheetName val="CAUSAS-VST-04 (2)"/>
      <sheetName val="CAUSAS-VST-04 (3)"/>
      <sheetName val="CAUSAS-VST-04 (4)"/>
      <sheetName val="SUP-ELECTROING"/>
      <sheetName val="DATO"/>
      <sheetName val="LI-DPEC-04 (1)"/>
      <sheetName val="LI-ENECOR-04 (1)"/>
      <sheetName val="T-ELECT-04 (1)"/>
      <sheetName val="SUP-ENECOR"/>
      <sheetName val="SUP-DPEC"/>
      <sheetName val="CONDICIONES CLIMATICAS 313-01"/>
      <sheetName val="ATENTADO 313-01 "/>
      <sheetName val="F0413NEA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IK15">
            <v>42125</v>
          </cell>
          <cell r="IL15">
            <v>42156</v>
          </cell>
          <cell r="IM15">
            <v>42186</v>
          </cell>
          <cell r="IN15">
            <v>42217</v>
          </cell>
          <cell r="IO15">
            <v>42248</v>
          </cell>
          <cell r="IP15">
            <v>42278</v>
          </cell>
          <cell r="IQ15">
            <v>42309</v>
          </cell>
          <cell r="IR15">
            <v>42339</v>
          </cell>
          <cell r="IS15">
            <v>42370</v>
          </cell>
          <cell r="IT15">
            <v>42401</v>
          </cell>
          <cell r="IU15">
            <v>42430</v>
          </cell>
          <cell r="IV15">
            <v>42461</v>
          </cell>
          <cell r="IW15">
            <v>42491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IS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  <cell r="IL21">
            <v>1</v>
          </cell>
          <cell r="IR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IL22">
            <v>1</v>
          </cell>
          <cell r="IS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  <cell r="IP27">
            <v>1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IR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IS31">
            <v>1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IK32" t="str">
            <v>XXXX</v>
          </cell>
          <cell r="IL32" t="str">
            <v>XXXX</v>
          </cell>
          <cell r="IM32" t="str">
            <v>XXXX</v>
          </cell>
          <cell r="IN32" t="str">
            <v>XXXX</v>
          </cell>
          <cell r="IO32" t="str">
            <v>XXXX</v>
          </cell>
          <cell r="IP32" t="str">
            <v>XXXX</v>
          </cell>
          <cell r="IQ32" t="str">
            <v>XXXX</v>
          </cell>
          <cell r="IR32" t="str">
            <v>XXXX</v>
          </cell>
          <cell r="IS32" t="str">
            <v>XXXX</v>
          </cell>
          <cell r="IT32" t="str">
            <v>XXXX</v>
          </cell>
          <cell r="IU32" t="str">
            <v>XXXX</v>
          </cell>
          <cell r="IV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IO37">
            <v>1</v>
          </cell>
        </row>
        <row r="38">
          <cell r="C38">
            <v>22</v>
          </cell>
          <cell r="D38" t="str">
            <v>CACHEUTA - LUJAN DE CUYO</v>
          </cell>
          <cell r="E38">
            <v>132</v>
          </cell>
          <cell r="F38">
            <v>14</v>
          </cell>
          <cell r="IL38">
            <v>1</v>
          </cell>
        </row>
        <row r="42">
          <cell r="IK42">
            <v>1.19</v>
          </cell>
          <cell r="IL42">
            <v>1.19</v>
          </cell>
          <cell r="IM42">
            <v>1.42</v>
          </cell>
          <cell r="IN42">
            <v>1.34</v>
          </cell>
          <cell r="IO42">
            <v>1.03</v>
          </cell>
          <cell r="IP42">
            <v>0.87</v>
          </cell>
          <cell r="IQ42">
            <v>0.95</v>
          </cell>
          <cell r="IR42">
            <v>0.95</v>
          </cell>
          <cell r="IS42">
            <v>1.03</v>
          </cell>
          <cell r="IT42">
            <v>1.27</v>
          </cell>
          <cell r="IU42">
            <v>0.87</v>
          </cell>
          <cell r="IV42">
            <v>0.79</v>
          </cell>
          <cell r="IW42">
            <v>0.79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/C:\Documents%20and%20Settings\aperez\Configuraci&#24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47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23.421875" style="10" customWidth="1"/>
    <col min="6" max="7" width="17.7109375" style="10" customWidth="1"/>
    <col min="8" max="8" width="16.140625" style="10" customWidth="1"/>
    <col min="9" max="9" width="20.140625" style="10" customWidth="1"/>
    <col min="10" max="10" width="10.42187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205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668" t="s">
        <v>3</v>
      </c>
      <c r="B4" s="66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668" t="s">
        <v>4</v>
      </c>
      <c r="B5" s="66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194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150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s="17" customFormat="1" ht="8.25" customHeight="1">
      <c r="B19" s="36"/>
      <c r="C19" s="41"/>
      <c r="D19" s="42"/>
      <c r="E19" s="22"/>
      <c r="F19" s="38"/>
      <c r="G19" s="38"/>
      <c r="H19" s="38"/>
      <c r="J19" s="39"/>
      <c r="K19" s="22"/>
      <c r="L19" s="22"/>
      <c r="M19" s="22"/>
      <c r="N19" s="22"/>
      <c r="O19" s="22"/>
      <c r="P19" s="22"/>
      <c r="Q19" s="22"/>
      <c r="R19" s="22"/>
      <c r="S19" s="22"/>
    </row>
    <row r="20" spans="2:19" s="17" customFormat="1" ht="19.5">
      <c r="B20" s="36"/>
      <c r="C20" s="41"/>
      <c r="D20" s="419" t="s">
        <v>142</v>
      </c>
      <c r="E20" s="51" t="s">
        <v>143</v>
      </c>
      <c r="F20" s="38"/>
      <c r="G20" s="38"/>
      <c r="H20" s="38"/>
      <c r="I20" s="43">
        <f>'LI-05 (1)'!AA43</f>
        <v>147568.86</v>
      </c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s="17" customFormat="1" ht="13.5" customHeight="1">
      <c r="B21" s="36"/>
      <c r="C21" s="41"/>
      <c r="D21" s="419"/>
      <c r="E21" s="22"/>
      <c r="F21" s="38"/>
      <c r="G21" s="38"/>
      <c r="H21" s="38"/>
      <c r="I21" s="43"/>
      <c r="J21" s="39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3.5">
      <c r="B22" s="44"/>
      <c r="C22" s="45"/>
      <c r="D22" s="46"/>
      <c r="E22" s="12"/>
      <c r="F22" s="47"/>
      <c r="G22" s="47"/>
      <c r="H22" s="47"/>
      <c r="I22" s="48"/>
      <c r="J22" s="49"/>
      <c r="K22" s="12"/>
      <c r="L22" s="12"/>
      <c r="M22" s="12"/>
      <c r="N22" s="12"/>
      <c r="O22" s="12"/>
      <c r="P22" s="12"/>
      <c r="Q22" s="12"/>
      <c r="R22" s="12"/>
      <c r="S22" s="12"/>
    </row>
    <row r="23" spans="2:19" s="17" customFormat="1" ht="19.5">
      <c r="B23" s="36"/>
      <c r="C23" s="41" t="s">
        <v>7</v>
      </c>
      <c r="D23" s="42" t="s">
        <v>8</v>
      </c>
      <c r="E23" s="22"/>
      <c r="F23" s="38"/>
      <c r="G23" s="38"/>
      <c r="H23" s="38"/>
      <c r="I23" s="43"/>
      <c r="J23" s="39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7.5" customHeight="1">
      <c r="B24" s="44"/>
      <c r="C24" s="45"/>
      <c r="D24" s="45"/>
      <c r="E24" s="12"/>
      <c r="F24" s="47"/>
      <c r="G24" s="47"/>
      <c r="H24" s="47"/>
      <c r="I24" s="50"/>
      <c r="J24" s="49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7" customFormat="1" ht="19.5">
      <c r="B25" s="36"/>
      <c r="C25" s="41"/>
      <c r="D25" s="420" t="s">
        <v>9</v>
      </c>
      <c r="E25" s="51" t="s">
        <v>10</v>
      </c>
      <c r="F25" s="38"/>
      <c r="G25" s="38"/>
      <c r="H25" s="38"/>
      <c r="I25" s="43">
        <f>'T-05 (1)'!AC48</f>
        <v>4154.14</v>
      </c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0.5" customHeight="1">
      <c r="B26" s="44"/>
      <c r="C26" s="45"/>
      <c r="D26" s="45"/>
      <c r="E26" s="12"/>
      <c r="F26" s="47"/>
      <c r="G26" s="47"/>
      <c r="H26" s="47"/>
      <c r="I26" s="50"/>
      <c r="J26" s="49"/>
      <c r="K26" s="12"/>
      <c r="L26" s="12"/>
      <c r="M26" s="12"/>
      <c r="N26" s="12"/>
      <c r="O26" s="12"/>
      <c r="P26" s="12"/>
      <c r="Q26" s="12"/>
      <c r="R26" s="12"/>
      <c r="S26" s="12"/>
    </row>
    <row r="27" spans="2:19" s="17" customFormat="1" ht="19.5">
      <c r="B27" s="36"/>
      <c r="C27" s="41"/>
      <c r="D27" s="420" t="s">
        <v>11</v>
      </c>
      <c r="E27" s="51" t="s">
        <v>12</v>
      </c>
      <c r="F27" s="38"/>
      <c r="G27" s="38"/>
      <c r="H27" s="38"/>
      <c r="I27" s="43">
        <f>'SA-05 (1)'!V43</f>
        <v>13720.35</v>
      </c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12" customHeight="1">
      <c r="B28" s="36"/>
      <c r="C28" s="41"/>
      <c r="D28" s="420"/>
      <c r="E28" s="51"/>
      <c r="F28" s="38"/>
      <c r="G28" s="38"/>
      <c r="H28" s="38"/>
      <c r="I28" s="43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>
      <c r="B29" s="36"/>
      <c r="C29" s="591"/>
      <c r="D29" s="592"/>
      <c r="E29" s="593"/>
      <c r="F29" s="38"/>
      <c r="G29" s="38"/>
      <c r="H29" s="38"/>
      <c r="I29" s="43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8.25" customHeight="1">
      <c r="B30" s="36"/>
      <c r="C30" s="591"/>
      <c r="D30" s="592"/>
      <c r="E30" s="593"/>
      <c r="F30" s="38"/>
      <c r="G30" s="38"/>
      <c r="H30" s="38"/>
      <c r="I30" s="43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ht="19.5">
      <c r="B31" s="36"/>
      <c r="C31" s="591"/>
      <c r="D31" s="591"/>
      <c r="E31" s="594"/>
      <c r="F31" s="38"/>
      <c r="G31" s="38"/>
      <c r="H31" s="38"/>
      <c r="I31" s="43"/>
      <c r="J31" s="39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17" customFormat="1" ht="20.25" thickBot="1">
      <c r="B32" s="36"/>
      <c r="C32" s="591"/>
      <c r="D32" s="591"/>
      <c r="E32" s="594"/>
      <c r="F32" s="38"/>
      <c r="G32" s="38"/>
      <c r="H32" s="38"/>
      <c r="I32" s="22"/>
      <c r="J32" s="39"/>
      <c r="K32" s="22"/>
      <c r="L32" s="22"/>
      <c r="M32" s="22"/>
      <c r="N32" s="22"/>
      <c r="O32" s="22"/>
      <c r="P32" s="22"/>
      <c r="Q32" s="22"/>
      <c r="R32" s="22"/>
      <c r="S32" s="22"/>
    </row>
    <row r="33" spans="2:19" s="17" customFormat="1" ht="20.25" thickBot="1" thickTop="1">
      <c r="B33" s="36"/>
      <c r="C33" s="41"/>
      <c r="D33" s="41"/>
      <c r="F33" s="52" t="s">
        <v>13</v>
      </c>
      <c r="G33" s="53">
        <f>SUM(I20:I31)</f>
        <v>165443.35</v>
      </c>
      <c r="H33" s="54"/>
      <c r="J33" s="39"/>
      <c r="K33" s="22"/>
      <c r="L33" s="22"/>
      <c r="M33" s="22"/>
      <c r="N33" s="22"/>
      <c r="O33" s="22"/>
      <c r="P33" s="22"/>
      <c r="Q33" s="22"/>
      <c r="R33" s="22"/>
      <c r="S33" s="22"/>
    </row>
    <row r="34" spans="2:19" s="17" customFormat="1" ht="19.5" thickTop="1">
      <c r="B34" s="36"/>
      <c r="C34" s="41"/>
      <c r="D34" s="41"/>
      <c r="F34" s="396"/>
      <c r="G34" s="54"/>
      <c r="H34" s="54"/>
      <c r="J34" s="39"/>
      <c r="K34" s="22"/>
      <c r="L34" s="22"/>
      <c r="M34" s="22"/>
      <c r="N34" s="22"/>
      <c r="O34" s="22"/>
      <c r="P34" s="22"/>
      <c r="Q34" s="22"/>
      <c r="R34" s="22"/>
      <c r="S34" s="22"/>
    </row>
    <row r="35" spans="2:19" s="17" customFormat="1" ht="18.75">
      <c r="B35" s="36"/>
      <c r="C35" s="397" t="s">
        <v>135</v>
      </c>
      <c r="D35" s="41"/>
      <c r="F35" s="396"/>
      <c r="G35" s="54"/>
      <c r="H35" s="54"/>
      <c r="J35" s="39"/>
      <c r="K35" s="22"/>
      <c r="L35" s="22"/>
      <c r="M35" s="22"/>
      <c r="N35" s="22"/>
      <c r="O35" s="22"/>
      <c r="P35" s="22"/>
      <c r="Q35" s="22"/>
      <c r="R35" s="22"/>
      <c r="S35" s="22"/>
    </row>
    <row r="36" spans="2:19" s="24" customFormat="1" ht="16.5" thickBot="1">
      <c r="B36" s="55"/>
      <c r="C36" s="56"/>
      <c r="D36" s="56"/>
      <c r="E36" s="57"/>
      <c r="F36" s="57"/>
      <c r="G36" s="57"/>
      <c r="H36" s="57"/>
      <c r="I36" s="57"/>
      <c r="J36" s="58"/>
      <c r="K36" s="26"/>
      <c r="L36" s="26"/>
      <c r="M36" s="59"/>
      <c r="N36" s="60"/>
      <c r="O36" s="60"/>
      <c r="P36" s="61"/>
      <c r="Q36" s="62"/>
      <c r="R36" s="26"/>
      <c r="S36" s="26"/>
    </row>
    <row r="37" spans="4:19" ht="13.5" thickTop="1">
      <c r="D37" s="12"/>
      <c r="F37" s="12"/>
      <c r="G37" s="12"/>
      <c r="H37" s="12"/>
      <c r="I37" s="12"/>
      <c r="J37" s="12"/>
      <c r="K37" s="12"/>
      <c r="L37" s="12"/>
      <c r="M37" s="63"/>
      <c r="N37" s="64"/>
      <c r="O37" s="64"/>
      <c r="P37" s="12"/>
      <c r="Q37" s="4"/>
      <c r="R37" s="12"/>
      <c r="S37" s="12"/>
    </row>
    <row r="38" spans="4:19" ht="12.75">
      <c r="D38" s="12"/>
      <c r="F38" s="12"/>
      <c r="G38" s="12"/>
      <c r="H38" s="12"/>
      <c r="I38" s="12"/>
      <c r="J38" s="12"/>
      <c r="K38" s="12"/>
      <c r="L38" s="12"/>
      <c r="M38" s="12"/>
      <c r="N38" s="65"/>
      <c r="O38" s="65"/>
      <c r="P38" s="66"/>
      <c r="Q38" s="4"/>
      <c r="R38" s="12"/>
      <c r="S38" s="12"/>
    </row>
    <row r="39" spans="4:19" ht="12.7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65"/>
      <c r="O39" s="65"/>
      <c r="P39" s="66"/>
      <c r="Q39" s="4"/>
      <c r="R39" s="12"/>
      <c r="S39" s="12"/>
    </row>
    <row r="40" spans="4:19" ht="12.75">
      <c r="D40" s="12"/>
      <c r="E40" s="12"/>
      <c r="L40" s="12"/>
      <c r="M40" s="12"/>
      <c r="N40" s="12"/>
      <c r="O40" s="12"/>
      <c r="P40" s="12"/>
      <c r="Q40" s="12"/>
      <c r="R40" s="12"/>
      <c r="S40" s="12"/>
    </row>
    <row r="41" spans="4:19" ht="12.75">
      <c r="D41" s="12"/>
      <c r="E41" s="12"/>
      <c r="P41" s="12"/>
      <c r="Q41" s="12"/>
      <c r="R41" s="12"/>
      <c r="S41" s="12"/>
    </row>
    <row r="42" spans="4:19" ht="12.75">
      <c r="D42" s="12"/>
      <c r="E42" s="12"/>
      <c r="P42" s="12"/>
      <c r="Q42" s="12"/>
      <c r="R42" s="12"/>
      <c r="S42" s="12"/>
    </row>
    <row r="43" spans="4:19" ht="12.75">
      <c r="D43" s="12"/>
      <c r="E43" s="12"/>
      <c r="P43" s="12"/>
      <c r="Q43" s="12"/>
      <c r="R43" s="12"/>
      <c r="S43" s="12"/>
    </row>
    <row r="44" spans="4:19" ht="12.75">
      <c r="D44" s="12"/>
      <c r="E44" s="12"/>
      <c r="P44" s="12"/>
      <c r="Q44" s="12"/>
      <c r="R44" s="12"/>
      <c r="S44" s="12"/>
    </row>
    <row r="45" spans="4:19" ht="12.75">
      <c r="D45" s="12"/>
      <c r="E45" s="12"/>
      <c r="P45" s="12"/>
      <c r="Q45" s="12"/>
      <c r="R45" s="12"/>
      <c r="S45" s="12"/>
    </row>
    <row r="46" spans="16:19" ht="12.75">
      <c r="P46" s="12"/>
      <c r="Q46" s="12"/>
      <c r="R46" s="12"/>
      <c r="S46" s="12"/>
    </row>
    <row r="47" spans="16:19" ht="12.75">
      <c r="P47" s="12"/>
      <c r="Q47" s="12"/>
      <c r="R47" s="12"/>
      <c r="S47" s="12"/>
    </row>
  </sheetData>
  <mergeCells count="2">
    <mergeCell ref="A4:B4"/>
    <mergeCell ref="A5:B5"/>
  </mergeCells>
  <printOptions/>
  <pageMargins left="0.25" right="0.25" top="0.75" bottom="0.75" header="0.3" footer="0.3"/>
  <pageSetup fitToHeight="1" fitToWidth="1" horizontalDpi="600" verticalDpi="600" orientation="landscape" paperSize="9" scale="90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pageSetUpPr fitToPage="1"/>
  </sheetPr>
  <dimension ref="A1:AB91"/>
  <sheetViews>
    <sheetView zoomScale="80" zoomScaleNormal="80" workbookViewId="0" topLeftCell="A1">
      <selection activeCell="B42" sqref="B42"/>
    </sheetView>
  </sheetViews>
  <sheetFormatPr defaultColWidth="11.421875" defaultRowHeight="12.75"/>
  <cols>
    <col min="1" max="1" width="18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0.2812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8.7109375" style="1" customWidth="1"/>
    <col min="16" max="17" width="11.57421875" style="1" hidden="1" customWidth="1"/>
    <col min="18" max="23" width="5.7109375" style="1" hidden="1" customWidth="1"/>
    <col min="24" max="25" width="11.5742187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7" t="str">
        <f>+'TOT-0516'!B2</f>
        <v>ANEXO VI al Memorándum D.T.E.E. N°        639    /2016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69" t="s">
        <v>3</v>
      </c>
      <c r="B4" s="69"/>
    </row>
    <row r="5" spans="1:2" s="13" customFormat="1" ht="11.25">
      <c r="A5" s="69" t="s">
        <v>4</v>
      </c>
      <c r="B5" s="69"/>
    </row>
    <row r="6" s="10" customFormat="1" ht="17.1" customHeight="1" thickBot="1"/>
    <row r="7" spans="2:28" s="10" customFormat="1" ht="17.1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F8" s="75" t="s">
        <v>14</v>
      </c>
      <c r="G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0" customFormat="1" ht="17.1" customHeight="1">
      <c r="B9" s="44"/>
      <c r="F9" s="78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3" customFormat="1" ht="20.25">
      <c r="B10" s="74"/>
      <c r="F10" s="75" t="s">
        <v>15</v>
      </c>
      <c r="G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73" customFormat="1" ht="8.25" customHeight="1">
      <c r="B11" s="74"/>
      <c r="F11" s="75"/>
      <c r="G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</row>
    <row r="12" spans="2:28" s="10" customFormat="1" ht="17.1" customHeight="1">
      <c r="B12" s="44"/>
      <c r="C12" s="78"/>
      <c r="D12" s="78"/>
      <c r="E12" s="78"/>
      <c r="F12" s="75" t="s">
        <v>141</v>
      </c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9"/>
    </row>
    <row r="13" spans="2:28" s="17" customFormat="1" ht="19.5">
      <c r="B13" s="31" t="str">
        <f>+'TOT-0516'!B14</f>
        <v>Desde el 01 al 31 de mayo de 2016</v>
      </c>
      <c r="C13" s="79"/>
      <c r="D13" s="79"/>
      <c r="E13" s="79"/>
      <c r="F13" s="34"/>
      <c r="G13" s="34"/>
      <c r="H13" s="80"/>
      <c r="I13" s="81"/>
      <c r="J13" s="80"/>
      <c r="K13" s="81"/>
      <c r="L13" s="81"/>
      <c r="M13" s="81"/>
      <c r="N13" s="81"/>
      <c r="O13" s="8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82"/>
    </row>
    <row r="14" spans="2:28" s="10" customFormat="1" ht="17.1" customHeight="1" thickBot="1">
      <c r="B14" s="44"/>
      <c r="C14" s="12"/>
      <c r="D14" s="12"/>
      <c r="E14" s="12"/>
      <c r="F14" s="12"/>
      <c r="G14" s="83"/>
      <c r="H14" s="84"/>
      <c r="I14" s="85"/>
      <c r="J14" s="85"/>
      <c r="K14" s="85"/>
      <c r="L14" s="85"/>
      <c r="M14" s="85"/>
      <c r="N14" s="85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7.1" customHeight="1" thickBot="1" thickTop="1">
      <c r="B15" s="44"/>
      <c r="C15" s="12"/>
      <c r="D15" s="12"/>
      <c r="E15" s="12"/>
      <c r="F15" s="86" t="s">
        <v>16</v>
      </c>
      <c r="G15" s="87">
        <v>572.392</v>
      </c>
      <c r="H15" s="88"/>
      <c r="I15" s="85"/>
      <c r="J15" s="85"/>
      <c r="K15" s="85"/>
      <c r="L15" s="85"/>
      <c r="M15" s="85"/>
      <c r="N15" s="85"/>
      <c r="O15" s="8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7.1" customHeight="1" thickBot="1" thickTop="1">
      <c r="B16" s="44"/>
      <c r="C16" s="12"/>
      <c r="D16" s="12"/>
      <c r="E16" s="12"/>
      <c r="F16" s="86" t="s">
        <v>17</v>
      </c>
      <c r="G16" s="87">
        <v>546.955</v>
      </c>
      <c r="H16" s="89"/>
      <c r="I16" s="12"/>
      <c r="J16" s="90"/>
      <c r="K16" s="91" t="s">
        <v>18</v>
      </c>
      <c r="L16" s="92">
        <f>30*'TOT-0516'!B13</f>
        <v>30</v>
      </c>
      <c r="M16" s="93" t="str">
        <f>IF(L16=30," ",IF(L16=60,"Coeficiente duplicado por tasa de falla &gt;4 Sal. x año/100 km.","REVISAR COEFICIENTE"))</f>
        <v xml:space="preserve"> 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7.1" customHeight="1" thickBot="1" thickTop="1">
      <c r="B17" s="44"/>
      <c r="C17" s="12"/>
      <c r="D17" s="12"/>
      <c r="E17" s="12"/>
      <c r="F17" s="86" t="s">
        <v>19</v>
      </c>
      <c r="G17" s="87" t="s">
        <v>132</v>
      </c>
      <c r="H17" s="89"/>
      <c r="I17" s="12"/>
      <c r="J17" s="12"/>
      <c r="K17" s="12"/>
      <c r="L17" s="50"/>
      <c r="M17" s="9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9"/>
    </row>
    <row r="18" spans="2:28" s="10" customFormat="1" ht="17.1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16">
        <v>23</v>
      </c>
      <c r="X18" s="416">
        <v>24</v>
      </c>
      <c r="Y18" s="416">
        <v>25</v>
      </c>
      <c r="Z18" s="416">
        <v>26</v>
      </c>
      <c r="AA18" s="416">
        <v>27</v>
      </c>
      <c r="AB18" s="49"/>
    </row>
    <row r="19" spans="2:28" s="95" customFormat="1" ht="35.1" customHeight="1" thickBot="1" thickTop="1">
      <c r="B19" s="96"/>
      <c r="C19" s="399" t="s">
        <v>20</v>
      </c>
      <c r="D19" s="399" t="s">
        <v>74</v>
      </c>
      <c r="E19" s="399" t="s">
        <v>75</v>
      </c>
      <c r="F19" s="97" t="s">
        <v>2</v>
      </c>
      <c r="G19" s="98" t="s">
        <v>21</v>
      </c>
      <c r="H19" s="98" t="s">
        <v>22</v>
      </c>
      <c r="I19" s="99" t="s">
        <v>23</v>
      </c>
      <c r="J19" s="97" t="s">
        <v>24</v>
      </c>
      <c r="K19" s="97" t="s">
        <v>25</v>
      </c>
      <c r="L19" s="98" t="s">
        <v>26</v>
      </c>
      <c r="M19" s="98" t="s">
        <v>27</v>
      </c>
      <c r="N19" s="98" t="s">
        <v>72</v>
      </c>
      <c r="O19" s="98" t="s">
        <v>28</v>
      </c>
      <c r="P19" s="100" t="s">
        <v>29</v>
      </c>
      <c r="Q19" s="101" t="s">
        <v>30</v>
      </c>
      <c r="R19" s="102" t="s">
        <v>31</v>
      </c>
      <c r="S19" s="103"/>
      <c r="T19" s="104"/>
      <c r="U19" s="105" t="s">
        <v>32</v>
      </c>
      <c r="V19" s="106"/>
      <c r="W19" s="107"/>
      <c r="X19" s="108" t="s">
        <v>33</v>
      </c>
      <c r="Y19" s="109" t="s">
        <v>34</v>
      </c>
      <c r="Z19" s="110" t="s">
        <v>35</v>
      </c>
      <c r="AA19" s="110" t="s">
        <v>36</v>
      </c>
      <c r="AB19" s="111"/>
    </row>
    <row r="20" spans="2:28" s="10" customFormat="1" ht="17.1" customHeight="1" thickTop="1">
      <c r="B20" s="44"/>
      <c r="C20" s="112"/>
      <c r="D20" s="112"/>
      <c r="E20" s="112"/>
      <c r="F20" s="113"/>
      <c r="G20" s="112"/>
      <c r="H20" s="112"/>
      <c r="I20" s="114"/>
      <c r="J20" s="112"/>
      <c r="K20" s="113"/>
      <c r="L20" s="115"/>
      <c r="M20" s="115"/>
      <c r="N20" s="112"/>
      <c r="O20" s="112"/>
      <c r="P20" s="116"/>
      <c r="Q20" s="117"/>
      <c r="R20" s="118"/>
      <c r="S20" s="119"/>
      <c r="T20" s="119"/>
      <c r="U20" s="120"/>
      <c r="V20" s="120"/>
      <c r="W20" s="120"/>
      <c r="X20" s="121"/>
      <c r="Y20" s="122"/>
      <c r="Z20" s="112"/>
      <c r="AA20" s="123"/>
      <c r="AB20" s="49"/>
    </row>
    <row r="21" spans="2:28" s="10" customFormat="1" ht="17.1" customHeight="1">
      <c r="B21" s="44"/>
      <c r="C21" s="124"/>
      <c r="D21" s="124"/>
      <c r="E21" s="124"/>
      <c r="F21" s="125"/>
      <c r="G21" s="125"/>
      <c r="H21" s="124"/>
      <c r="I21" s="126"/>
      <c r="J21" s="124"/>
      <c r="K21" s="127"/>
      <c r="L21" s="128"/>
      <c r="M21" s="128"/>
      <c r="N21" s="124"/>
      <c r="O21" s="124"/>
      <c r="P21" s="129"/>
      <c r="Q21" s="130"/>
      <c r="R21" s="131"/>
      <c r="S21" s="132"/>
      <c r="T21" s="132"/>
      <c r="U21" s="133"/>
      <c r="V21" s="133"/>
      <c r="W21" s="133"/>
      <c r="X21" s="134"/>
      <c r="Y21" s="135"/>
      <c r="Z21" s="124"/>
      <c r="AA21" s="136"/>
      <c r="AB21" s="49"/>
    </row>
    <row r="22" spans="2:28" s="10" customFormat="1" ht="17.1" customHeight="1">
      <c r="B22" s="44"/>
      <c r="C22" s="127">
        <v>1</v>
      </c>
      <c r="D22" s="127">
        <v>302267</v>
      </c>
      <c r="E22" s="127">
        <v>715</v>
      </c>
      <c r="F22" s="125" t="s">
        <v>151</v>
      </c>
      <c r="G22" s="125">
        <v>132</v>
      </c>
      <c r="H22" s="137">
        <v>15.6</v>
      </c>
      <c r="I22" s="138">
        <f aca="true" t="shared" si="0" ref="I22:I41">IF(G22=220,$G$15*IF(H22&gt;25,H22,25),IF(G22=132,$G$16*IF(H22&gt;25,+H22,25),$G$17*IF(H22&gt;25,H22,25)))/100</f>
        <v>136.73875</v>
      </c>
      <c r="J22" s="139">
        <v>42498.28680555556</v>
      </c>
      <c r="K22" s="139">
        <v>42498.464583333334</v>
      </c>
      <c r="L22" s="140">
        <f aca="true" t="shared" si="1" ref="L22:L41">IF(F22="","",(K22-J22)*24)</f>
        <v>4.2666666666045785</v>
      </c>
      <c r="M22" s="141">
        <f>IF(F22="","",ROUND((K22-J22)*24*60,0))</f>
        <v>256</v>
      </c>
      <c r="N22" s="142" t="s">
        <v>130</v>
      </c>
      <c r="O22" s="143" t="str">
        <f aca="true" t="shared" si="2" ref="O22:O37">IF(F22="","","--")</f>
        <v>--</v>
      </c>
      <c r="P22" s="144">
        <f aca="true" t="shared" si="3" ref="P22:P37">IF(N22="P",ROUND(M22/60,2)*I22*$L$16*0.01,"--")</f>
        <v>175.16233874999998</v>
      </c>
      <c r="Q22" s="145" t="str">
        <f aca="true" t="shared" si="4" ref="Q22:Q40">IF(N22="RP",ROUND(M22/60,2)*I22*$L$16*0.01*O22/100,"--")</f>
        <v>--</v>
      </c>
      <c r="R22" s="146" t="str">
        <f aca="true" t="shared" si="5" ref="R22:R37">IF(N22="F",I22*$L$16,"--")</f>
        <v>--</v>
      </c>
      <c r="S22" s="146" t="str">
        <f aca="true" t="shared" si="6" ref="S22:S41">IF(AND(M22&gt;10,N22="F"),$L$16*I22*IF(M22&gt;180,3,ROUND((M22)/60,2)),"--")</f>
        <v>--</v>
      </c>
      <c r="T22" s="147" t="str">
        <f aca="true" t="shared" si="7" ref="T22:T41">IF(AND(N22="F",M22&gt;180),(ROUND(M22/60,2)-3)*I22*$L$16*0.1,"--")</f>
        <v>--</v>
      </c>
      <c r="U22" s="148" t="str">
        <f aca="true" t="shared" si="8" ref="U22:U41">IF(N22="R",I22*$L$16*O22/100,"--")</f>
        <v>--</v>
      </c>
      <c r="V22" s="148" t="str">
        <f aca="true" t="shared" si="9" ref="V22:V41">IF(AND(M22&gt;10,N22="R"),$L$16*I22*O22/100*IF(M22&gt;180,3,ROUND((M22)/60,2)),"--")</f>
        <v>--</v>
      </c>
      <c r="W22" s="149" t="str">
        <f aca="true" t="shared" si="10" ref="W22:W41">IF(AND(N22="R",M22&gt;180),(ROUND(M22/60,2)-3)*I22*$L$16*0.1*O22/100,"--")</f>
        <v>--</v>
      </c>
      <c r="X22" s="150" t="str">
        <f aca="true" t="shared" si="11" ref="X22:X41">IF(N22="RF",ROUND(M22/60,2)*I22*$L$16*0.1,"--")</f>
        <v>--</v>
      </c>
      <c r="Y22" s="151" t="str">
        <f aca="true" t="shared" si="12" ref="Y22:Y41">IF(N22="RR",ROUND(M22/60,2)*I22*$L$16*0.1*O22/100,"--")</f>
        <v>--</v>
      </c>
      <c r="Z22" s="152" t="str">
        <f aca="true" t="shared" si="13" ref="Z22:Z41">IF(F22="","","SI")</f>
        <v>SI</v>
      </c>
      <c r="AA22" s="153">
        <f>IF(F22="","",SUM(P22:Y22)*IF(Z22="SI",1,2))</f>
        <v>175.16233874999998</v>
      </c>
      <c r="AB22" s="154"/>
    </row>
    <row r="23" spans="2:28" s="10" customFormat="1" ht="17.1" customHeight="1">
      <c r="B23" s="44"/>
      <c r="C23" s="127">
        <v>2</v>
      </c>
      <c r="D23" s="127">
        <v>302561</v>
      </c>
      <c r="E23" s="127">
        <v>697</v>
      </c>
      <c r="F23" s="125" t="s">
        <v>152</v>
      </c>
      <c r="G23" s="125">
        <v>220</v>
      </c>
      <c r="H23" s="137">
        <v>177.9</v>
      </c>
      <c r="I23" s="138">
        <f t="shared" si="0"/>
        <v>1018.2853680000002</v>
      </c>
      <c r="J23" s="139">
        <v>42500.45208333333</v>
      </c>
      <c r="K23" s="139">
        <v>42500.77222222222</v>
      </c>
      <c r="L23" s="140">
        <f t="shared" si="1"/>
        <v>7.683333333407063</v>
      </c>
      <c r="M23" s="141">
        <f aca="true" t="shared" si="14" ref="M23:M37">IF(F23="","",ROUND((K23-J23)*24*60,0))</f>
        <v>461</v>
      </c>
      <c r="N23" s="142" t="s">
        <v>139</v>
      </c>
      <c r="O23" s="143" t="str">
        <f t="shared" si="2"/>
        <v>--</v>
      </c>
      <c r="P23" s="144" t="str">
        <f t="shared" si="3"/>
        <v>--</v>
      </c>
      <c r="Q23" s="145" t="str">
        <f t="shared" si="4"/>
        <v>--</v>
      </c>
      <c r="R23" s="146">
        <f t="shared" si="5"/>
        <v>30548.561040000004</v>
      </c>
      <c r="S23" s="146">
        <f t="shared" si="6"/>
        <v>91645.68312000002</v>
      </c>
      <c r="T23" s="147">
        <f t="shared" si="7"/>
        <v>14296.72656672</v>
      </c>
      <c r="U23" s="148" t="str">
        <f t="shared" si="8"/>
        <v>--</v>
      </c>
      <c r="V23" s="148" t="str">
        <f t="shared" si="9"/>
        <v>--</v>
      </c>
      <c r="W23" s="149" t="str">
        <f t="shared" si="10"/>
        <v>--</v>
      </c>
      <c r="X23" s="150" t="str">
        <f t="shared" si="11"/>
        <v>--</v>
      </c>
      <c r="Y23" s="151" t="str">
        <f t="shared" si="12"/>
        <v>--</v>
      </c>
      <c r="Z23" s="152" t="str">
        <f t="shared" si="13"/>
        <v>SI</v>
      </c>
      <c r="AA23" s="153">
        <f aca="true" t="shared" si="15" ref="AA23:AA41">IF(F23="","",SUM(P23:Y23)*IF(Z23="SI",1,2))</f>
        <v>136490.97072672003</v>
      </c>
      <c r="AB23" s="154"/>
    </row>
    <row r="24" spans="2:28" s="10" customFormat="1" ht="17.1" customHeight="1">
      <c r="B24" s="44"/>
      <c r="C24" s="127">
        <v>3</v>
      </c>
      <c r="D24" s="127">
        <v>302883</v>
      </c>
      <c r="E24" s="127">
        <v>701</v>
      </c>
      <c r="F24" s="125" t="s">
        <v>144</v>
      </c>
      <c r="G24" s="125">
        <v>132</v>
      </c>
      <c r="H24" s="137">
        <v>33.5</v>
      </c>
      <c r="I24" s="138">
        <f t="shared" si="0"/>
        <v>183.229925</v>
      </c>
      <c r="J24" s="139">
        <v>42508.22152777778</v>
      </c>
      <c r="K24" s="139">
        <v>42508.259722222225</v>
      </c>
      <c r="L24" s="140">
        <f t="shared" si="1"/>
        <v>0.9166666666860692</v>
      </c>
      <c r="M24" s="141">
        <f t="shared" si="14"/>
        <v>55</v>
      </c>
      <c r="N24" s="142" t="s">
        <v>139</v>
      </c>
      <c r="O24" s="143" t="str">
        <f t="shared" si="2"/>
        <v>--</v>
      </c>
      <c r="P24" s="144" t="str">
        <f t="shared" si="3"/>
        <v>--</v>
      </c>
      <c r="Q24" s="145" t="str">
        <f t="shared" si="4"/>
        <v>--</v>
      </c>
      <c r="R24" s="146">
        <f t="shared" si="5"/>
        <v>5496.89775</v>
      </c>
      <c r="S24" s="146">
        <f t="shared" si="6"/>
        <v>5057.145930000001</v>
      </c>
      <c r="T24" s="147" t="str">
        <f t="shared" si="7"/>
        <v>--</v>
      </c>
      <c r="U24" s="148" t="str">
        <f t="shared" si="8"/>
        <v>--</v>
      </c>
      <c r="V24" s="148" t="str">
        <f t="shared" si="9"/>
        <v>--</v>
      </c>
      <c r="W24" s="149" t="str">
        <f t="shared" si="10"/>
        <v>--</v>
      </c>
      <c r="X24" s="150" t="str">
        <f t="shared" si="11"/>
        <v>--</v>
      </c>
      <c r="Y24" s="151" t="str">
        <f t="shared" si="12"/>
        <v>--</v>
      </c>
      <c r="Z24" s="152" t="str">
        <f t="shared" si="13"/>
        <v>SI</v>
      </c>
      <c r="AA24" s="153">
        <f t="shared" si="15"/>
        <v>10554.04368</v>
      </c>
      <c r="AB24" s="154"/>
    </row>
    <row r="25" spans="2:28" s="10" customFormat="1" ht="17.1" customHeight="1">
      <c r="B25" s="44"/>
      <c r="C25" s="127">
        <v>4</v>
      </c>
      <c r="D25" s="127">
        <v>303094</v>
      </c>
      <c r="E25" s="127">
        <v>707</v>
      </c>
      <c r="F25" s="125" t="s">
        <v>153</v>
      </c>
      <c r="G25" s="125">
        <v>132</v>
      </c>
      <c r="H25" s="137">
        <v>22</v>
      </c>
      <c r="I25" s="138">
        <f t="shared" si="0"/>
        <v>136.73875</v>
      </c>
      <c r="J25" s="139">
        <v>42514.356944444444</v>
      </c>
      <c r="K25" s="139">
        <v>42514.71111111111</v>
      </c>
      <c r="L25" s="140">
        <f t="shared" si="1"/>
        <v>8.499999999941792</v>
      </c>
      <c r="M25" s="141">
        <f t="shared" si="14"/>
        <v>510</v>
      </c>
      <c r="N25" s="142" t="s">
        <v>130</v>
      </c>
      <c r="O25" s="143" t="str">
        <f t="shared" si="2"/>
        <v>--</v>
      </c>
      <c r="P25" s="144">
        <f t="shared" si="3"/>
        <v>348.68381250000004</v>
      </c>
      <c r="Q25" s="145" t="str">
        <f t="shared" si="4"/>
        <v>--</v>
      </c>
      <c r="R25" s="146" t="str">
        <f t="shared" si="5"/>
        <v>--</v>
      </c>
      <c r="S25" s="146" t="str">
        <f t="shared" si="6"/>
        <v>--</v>
      </c>
      <c r="T25" s="147" t="str">
        <f t="shared" si="7"/>
        <v>--</v>
      </c>
      <c r="U25" s="148" t="str">
        <f t="shared" si="8"/>
        <v>--</v>
      </c>
      <c r="V25" s="148" t="str">
        <f t="shared" si="9"/>
        <v>--</v>
      </c>
      <c r="W25" s="149" t="str">
        <f t="shared" si="10"/>
        <v>--</v>
      </c>
      <c r="X25" s="150" t="str">
        <f t="shared" si="11"/>
        <v>--</v>
      </c>
      <c r="Y25" s="151" t="str">
        <f t="shared" si="12"/>
        <v>--</v>
      </c>
      <c r="Z25" s="152" t="str">
        <f t="shared" si="13"/>
        <v>SI</v>
      </c>
      <c r="AA25" s="153">
        <f t="shared" si="15"/>
        <v>348.68381250000004</v>
      </c>
      <c r="AB25" s="154"/>
    </row>
    <row r="26" spans="2:28" s="10" customFormat="1" ht="17.1" customHeight="1">
      <c r="B26" s="44"/>
      <c r="C26" s="127"/>
      <c r="D26" s="127"/>
      <c r="E26" s="127"/>
      <c r="F26" s="125"/>
      <c r="G26" s="125"/>
      <c r="H26" s="137"/>
      <c r="I26" s="138" t="e">
        <f t="shared" si="0"/>
        <v>#VALUE!</v>
      </c>
      <c r="J26" s="139"/>
      <c r="K26" s="139"/>
      <c r="L26" s="140" t="str">
        <f aca="true" t="shared" si="16" ref="L26:L37">IF(F26="","",(K26-J26)*24)</f>
        <v/>
      </c>
      <c r="M26" s="141" t="str">
        <f t="shared" si="14"/>
        <v/>
      </c>
      <c r="N26" s="139"/>
      <c r="O26" s="143" t="str">
        <f t="shared" si="2"/>
        <v/>
      </c>
      <c r="P26" s="144" t="str">
        <f t="shared" si="3"/>
        <v>--</v>
      </c>
      <c r="Q26" s="145" t="str">
        <f aca="true" t="shared" si="17" ref="Q26:Q37">IF(N26="RP",ROUND(M26/60,2)*I26*$L$16*0.01*O26/100,"--")</f>
        <v>--</v>
      </c>
      <c r="R26" s="146" t="str">
        <f t="shared" si="5"/>
        <v>--</v>
      </c>
      <c r="S26" s="146" t="str">
        <f aca="true" t="shared" si="18" ref="S26:S37">IF(AND(M26&gt;10,N26="F"),$L$16*I26*IF(M26&gt;180,3,ROUND((M26)/60,2)),"--")</f>
        <v>--</v>
      </c>
      <c r="T26" s="147" t="str">
        <f aca="true" t="shared" si="19" ref="T26:T37">IF(AND(N26="F",M26&gt;180),(ROUND(M26/60,2)-3)*I26*$L$16*0.1,"--")</f>
        <v>--</v>
      </c>
      <c r="U26" s="148" t="str">
        <f aca="true" t="shared" si="20" ref="U26:U37">IF(N26="R",I26*$L$16*O26/100,"--")</f>
        <v>--</v>
      </c>
      <c r="V26" s="148" t="str">
        <f aca="true" t="shared" si="21" ref="V26:V37">IF(AND(M26&gt;10,N26="R"),$L$16*I26*O26/100*IF(M26&gt;180,3,ROUND((M26)/60,2)),"--")</f>
        <v>--</v>
      </c>
      <c r="W26" s="149" t="str">
        <f aca="true" t="shared" si="22" ref="W26:W37">IF(AND(N26="R",M26&gt;180),(ROUND(M26/60,2)-3)*I26*$L$16*0.1*O26/100,"--")</f>
        <v>--</v>
      </c>
      <c r="X26" s="150" t="str">
        <f aca="true" t="shared" si="23" ref="X26:X37">IF(N26="RF",ROUND(M26/60,2)*I26*$L$16*0.1,"--")</f>
        <v>--</v>
      </c>
      <c r="Y26" s="151" t="str">
        <f aca="true" t="shared" si="24" ref="Y26:Y37">IF(N26="RR",ROUND(M26/60,2)*I26*$L$16*0.1*O26/100,"--")</f>
        <v>--</v>
      </c>
      <c r="Z26" s="152" t="str">
        <f aca="true" t="shared" si="25" ref="Z26:Z37">IF(F26="","","SI")</f>
        <v/>
      </c>
      <c r="AA26" s="153" t="str">
        <f aca="true" t="shared" si="26" ref="AA26:AA37">IF(F26="","",SUM(P26:Y26)*IF(Z26="SI",1,2))</f>
        <v/>
      </c>
      <c r="AB26" s="154"/>
    </row>
    <row r="27" spans="2:28" s="10" customFormat="1" ht="17.1" customHeight="1">
      <c r="B27" s="44"/>
      <c r="C27" s="127"/>
      <c r="D27" s="127"/>
      <c r="E27" s="127"/>
      <c r="F27" s="125"/>
      <c r="G27" s="125"/>
      <c r="H27" s="137"/>
      <c r="I27" s="138" t="e">
        <f t="shared" si="0"/>
        <v>#VALUE!</v>
      </c>
      <c r="J27" s="139"/>
      <c r="K27" s="139"/>
      <c r="L27" s="140" t="str">
        <f t="shared" si="16"/>
        <v/>
      </c>
      <c r="M27" s="141" t="str">
        <f t="shared" si="14"/>
        <v/>
      </c>
      <c r="N27" s="139"/>
      <c r="O27" s="143" t="str">
        <f t="shared" si="2"/>
        <v/>
      </c>
      <c r="P27" s="144" t="str">
        <f t="shared" si="3"/>
        <v>--</v>
      </c>
      <c r="Q27" s="145" t="str">
        <f t="shared" si="17"/>
        <v>--</v>
      </c>
      <c r="R27" s="146" t="str">
        <f t="shared" si="5"/>
        <v>--</v>
      </c>
      <c r="S27" s="146" t="str">
        <f t="shared" si="18"/>
        <v>--</v>
      </c>
      <c r="T27" s="147" t="str">
        <f t="shared" si="19"/>
        <v>--</v>
      </c>
      <c r="U27" s="148" t="str">
        <f t="shared" si="20"/>
        <v>--</v>
      </c>
      <c r="V27" s="148" t="str">
        <f t="shared" si="21"/>
        <v>--</v>
      </c>
      <c r="W27" s="149" t="str">
        <f t="shared" si="22"/>
        <v>--</v>
      </c>
      <c r="X27" s="150" t="str">
        <f t="shared" si="23"/>
        <v>--</v>
      </c>
      <c r="Y27" s="151" t="str">
        <f t="shared" si="24"/>
        <v>--</v>
      </c>
      <c r="Z27" s="152" t="str">
        <f t="shared" si="25"/>
        <v/>
      </c>
      <c r="AA27" s="153" t="str">
        <f t="shared" si="26"/>
        <v/>
      </c>
      <c r="AB27" s="154"/>
    </row>
    <row r="28" spans="2:28" s="10" customFormat="1" ht="17.1" customHeight="1">
      <c r="B28" s="44"/>
      <c r="C28" s="127"/>
      <c r="D28" s="127"/>
      <c r="E28" s="127"/>
      <c r="F28" s="125"/>
      <c r="G28" s="125"/>
      <c r="H28" s="137"/>
      <c r="I28" s="138" t="e">
        <f t="shared" si="0"/>
        <v>#VALUE!</v>
      </c>
      <c r="J28" s="139"/>
      <c r="K28" s="139"/>
      <c r="L28" s="140" t="str">
        <f t="shared" si="16"/>
        <v/>
      </c>
      <c r="M28" s="141" t="str">
        <f t="shared" si="14"/>
        <v/>
      </c>
      <c r="N28" s="139"/>
      <c r="O28" s="143" t="str">
        <f t="shared" si="2"/>
        <v/>
      </c>
      <c r="P28" s="144" t="str">
        <f t="shared" si="3"/>
        <v>--</v>
      </c>
      <c r="Q28" s="145" t="str">
        <f t="shared" si="17"/>
        <v>--</v>
      </c>
      <c r="R28" s="146" t="str">
        <f t="shared" si="5"/>
        <v>--</v>
      </c>
      <c r="S28" s="146" t="str">
        <f t="shared" si="18"/>
        <v>--</v>
      </c>
      <c r="T28" s="147" t="str">
        <f t="shared" si="19"/>
        <v>--</v>
      </c>
      <c r="U28" s="148" t="str">
        <f t="shared" si="20"/>
        <v>--</v>
      </c>
      <c r="V28" s="148" t="str">
        <f t="shared" si="21"/>
        <v>--</v>
      </c>
      <c r="W28" s="149" t="str">
        <f t="shared" si="22"/>
        <v>--</v>
      </c>
      <c r="X28" s="150" t="str">
        <f t="shared" si="23"/>
        <v>--</v>
      </c>
      <c r="Y28" s="151" t="str">
        <f t="shared" si="24"/>
        <v>--</v>
      </c>
      <c r="Z28" s="152" t="str">
        <f t="shared" si="25"/>
        <v/>
      </c>
      <c r="AA28" s="153" t="str">
        <f t="shared" si="26"/>
        <v/>
      </c>
      <c r="AB28" s="154"/>
    </row>
    <row r="29" spans="2:28" s="10" customFormat="1" ht="17.1" customHeight="1">
      <c r="B29" s="44"/>
      <c r="C29" s="127"/>
      <c r="D29" s="127"/>
      <c r="E29" s="127"/>
      <c r="F29" s="125"/>
      <c r="G29" s="125"/>
      <c r="H29" s="137"/>
      <c r="I29" s="138" t="e">
        <f t="shared" si="0"/>
        <v>#VALUE!</v>
      </c>
      <c r="J29" s="139"/>
      <c r="K29" s="139"/>
      <c r="L29" s="140" t="str">
        <f t="shared" si="16"/>
        <v/>
      </c>
      <c r="M29" s="141" t="str">
        <f t="shared" si="14"/>
        <v/>
      </c>
      <c r="N29" s="139"/>
      <c r="O29" s="143" t="str">
        <f t="shared" si="2"/>
        <v/>
      </c>
      <c r="P29" s="144" t="str">
        <f t="shared" si="3"/>
        <v>--</v>
      </c>
      <c r="Q29" s="145" t="str">
        <f t="shared" si="17"/>
        <v>--</v>
      </c>
      <c r="R29" s="146" t="str">
        <f t="shared" si="5"/>
        <v>--</v>
      </c>
      <c r="S29" s="146" t="str">
        <f t="shared" si="18"/>
        <v>--</v>
      </c>
      <c r="T29" s="147" t="str">
        <f t="shared" si="19"/>
        <v>--</v>
      </c>
      <c r="U29" s="148" t="str">
        <f t="shared" si="20"/>
        <v>--</v>
      </c>
      <c r="V29" s="148" t="str">
        <f t="shared" si="21"/>
        <v>--</v>
      </c>
      <c r="W29" s="149" t="str">
        <f t="shared" si="22"/>
        <v>--</v>
      </c>
      <c r="X29" s="150" t="str">
        <f t="shared" si="23"/>
        <v>--</v>
      </c>
      <c r="Y29" s="151" t="str">
        <f t="shared" si="24"/>
        <v>--</v>
      </c>
      <c r="Z29" s="152" t="str">
        <f t="shared" si="25"/>
        <v/>
      </c>
      <c r="AA29" s="153" t="str">
        <f t="shared" si="26"/>
        <v/>
      </c>
      <c r="AB29" s="154"/>
    </row>
    <row r="30" spans="2:28" s="10" customFormat="1" ht="17.1" customHeight="1">
      <c r="B30" s="44"/>
      <c r="C30" s="127"/>
      <c r="D30" s="127"/>
      <c r="E30" s="127"/>
      <c r="F30" s="125"/>
      <c r="G30" s="125"/>
      <c r="H30" s="137"/>
      <c r="I30" s="138" t="e">
        <f t="shared" si="0"/>
        <v>#VALUE!</v>
      </c>
      <c r="J30" s="139"/>
      <c r="K30" s="139"/>
      <c r="L30" s="140" t="str">
        <f t="shared" si="16"/>
        <v/>
      </c>
      <c r="M30" s="141" t="str">
        <f t="shared" si="14"/>
        <v/>
      </c>
      <c r="N30" s="139"/>
      <c r="O30" s="143" t="str">
        <f t="shared" si="2"/>
        <v/>
      </c>
      <c r="P30" s="144" t="str">
        <f t="shared" si="3"/>
        <v>--</v>
      </c>
      <c r="Q30" s="145" t="str">
        <f t="shared" si="17"/>
        <v>--</v>
      </c>
      <c r="R30" s="146" t="str">
        <f t="shared" si="5"/>
        <v>--</v>
      </c>
      <c r="S30" s="146" t="str">
        <f t="shared" si="18"/>
        <v>--</v>
      </c>
      <c r="T30" s="147" t="str">
        <f t="shared" si="19"/>
        <v>--</v>
      </c>
      <c r="U30" s="148" t="str">
        <f t="shared" si="20"/>
        <v>--</v>
      </c>
      <c r="V30" s="148" t="str">
        <f t="shared" si="21"/>
        <v>--</v>
      </c>
      <c r="W30" s="149" t="str">
        <f t="shared" si="22"/>
        <v>--</v>
      </c>
      <c r="X30" s="150" t="str">
        <f t="shared" si="23"/>
        <v>--</v>
      </c>
      <c r="Y30" s="151" t="str">
        <f t="shared" si="24"/>
        <v>--</v>
      </c>
      <c r="Z30" s="152" t="str">
        <f t="shared" si="25"/>
        <v/>
      </c>
      <c r="AA30" s="153" t="str">
        <f t="shared" si="26"/>
        <v/>
      </c>
      <c r="AB30" s="154"/>
    </row>
    <row r="31" spans="2:28" s="10" customFormat="1" ht="17.1" customHeight="1">
      <c r="B31" s="44"/>
      <c r="C31" s="127"/>
      <c r="D31" s="127"/>
      <c r="E31" s="127"/>
      <c r="F31" s="125"/>
      <c r="G31" s="125"/>
      <c r="H31" s="137"/>
      <c r="I31" s="138" t="e">
        <f t="shared" si="0"/>
        <v>#VALUE!</v>
      </c>
      <c r="J31" s="139"/>
      <c r="K31" s="139"/>
      <c r="L31" s="140" t="str">
        <f t="shared" si="16"/>
        <v/>
      </c>
      <c r="M31" s="141" t="str">
        <f t="shared" si="14"/>
        <v/>
      </c>
      <c r="N31" s="139"/>
      <c r="O31" s="143" t="str">
        <f t="shared" si="2"/>
        <v/>
      </c>
      <c r="P31" s="144" t="str">
        <f t="shared" si="3"/>
        <v>--</v>
      </c>
      <c r="Q31" s="145" t="str">
        <f t="shared" si="17"/>
        <v>--</v>
      </c>
      <c r="R31" s="146" t="str">
        <f t="shared" si="5"/>
        <v>--</v>
      </c>
      <c r="S31" s="146" t="str">
        <f t="shared" si="18"/>
        <v>--</v>
      </c>
      <c r="T31" s="147" t="str">
        <f t="shared" si="19"/>
        <v>--</v>
      </c>
      <c r="U31" s="148" t="str">
        <f t="shared" si="20"/>
        <v>--</v>
      </c>
      <c r="V31" s="148" t="str">
        <f t="shared" si="21"/>
        <v>--</v>
      </c>
      <c r="W31" s="149" t="str">
        <f t="shared" si="22"/>
        <v>--</v>
      </c>
      <c r="X31" s="150" t="str">
        <f t="shared" si="23"/>
        <v>--</v>
      </c>
      <c r="Y31" s="151" t="str">
        <f t="shared" si="24"/>
        <v>--</v>
      </c>
      <c r="Z31" s="152" t="str">
        <f t="shared" si="25"/>
        <v/>
      </c>
      <c r="AA31" s="153" t="str">
        <f t="shared" si="26"/>
        <v/>
      </c>
      <c r="AB31" s="154"/>
    </row>
    <row r="32" spans="2:28" s="10" customFormat="1" ht="17.1" customHeight="1">
      <c r="B32" s="44"/>
      <c r="C32" s="127"/>
      <c r="D32" s="127"/>
      <c r="E32" s="127"/>
      <c r="F32" s="125"/>
      <c r="G32" s="125"/>
      <c r="H32" s="137"/>
      <c r="I32" s="138" t="e">
        <f t="shared" si="0"/>
        <v>#VALUE!</v>
      </c>
      <c r="J32" s="139"/>
      <c r="K32" s="139"/>
      <c r="L32" s="140" t="str">
        <f t="shared" si="16"/>
        <v/>
      </c>
      <c r="M32" s="141" t="str">
        <f t="shared" si="14"/>
        <v/>
      </c>
      <c r="N32" s="139"/>
      <c r="O32" s="143" t="str">
        <f t="shared" si="2"/>
        <v/>
      </c>
      <c r="P32" s="144" t="str">
        <f t="shared" si="3"/>
        <v>--</v>
      </c>
      <c r="Q32" s="145" t="str">
        <f t="shared" si="17"/>
        <v>--</v>
      </c>
      <c r="R32" s="146" t="str">
        <f t="shared" si="5"/>
        <v>--</v>
      </c>
      <c r="S32" s="146" t="str">
        <f t="shared" si="18"/>
        <v>--</v>
      </c>
      <c r="T32" s="147" t="str">
        <f t="shared" si="19"/>
        <v>--</v>
      </c>
      <c r="U32" s="148" t="str">
        <f t="shared" si="20"/>
        <v>--</v>
      </c>
      <c r="V32" s="148" t="str">
        <f t="shared" si="21"/>
        <v>--</v>
      </c>
      <c r="W32" s="149" t="str">
        <f t="shared" si="22"/>
        <v>--</v>
      </c>
      <c r="X32" s="150" t="str">
        <f t="shared" si="23"/>
        <v>--</v>
      </c>
      <c r="Y32" s="151" t="str">
        <f t="shared" si="24"/>
        <v>--</v>
      </c>
      <c r="Z32" s="152" t="str">
        <f t="shared" si="25"/>
        <v/>
      </c>
      <c r="AA32" s="153" t="str">
        <f t="shared" si="26"/>
        <v/>
      </c>
      <c r="AB32" s="154"/>
    </row>
    <row r="33" spans="2:28" s="10" customFormat="1" ht="17.1" customHeight="1">
      <c r="B33" s="44"/>
      <c r="C33" s="127"/>
      <c r="D33" s="127"/>
      <c r="E33" s="127"/>
      <c r="F33" s="125"/>
      <c r="G33" s="125"/>
      <c r="H33" s="137"/>
      <c r="I33" s="138" t="e">
        <f t="shared" si="0"/>
        <v>#VALUE!</v>
      </c>
      <c r="J33" s="139"/>
      <c r="K33" s="139"/>
      <c r="L33" s="140" t="str">
        <f t="shared" si="16"/>
        <v/>
      </c>
      <c r="M33" s="141" t="str">
        <f t="shared" si="14"/>
        <v/>
      </c>
      <c r="N33" s="139"/>
      <c r="O33" s="143" t="str">
        <f t="shared" si="2"/>
        <v/>
      </c>
      <c r="P33" s="144" t="str">
        <f t="shared" si="3"/>
        <v>--</v>
      </c>
      <c r="Q33" s="145" t="str">
        <f t="shared" si="17"/>
        <v>--</v>
      </c>
      <c r="R33" s="146" t="str">
        <f t="shared" si="5"/>
        <v>--</v>
      </c>
      <c r="S33" s="146" t="str">
        <f t="shared" si="18"/>
        <v>--</v>
      </c>
      <c r="T33" s="147" t="str">
        <f t="shared" si="19"/>
        <v>--</v>
      </c>
      <c r="U33" s="148" t="str">
        <f t="shared" si="20"/>
        <v>--</v>
      </c>
      <c r="V33" s="148" t="str">
        <f t="shared" si="21"/>
        <v>--</v>
      </c>
      <c r="W33" s="149" t="str">
        <f t="shared" si="22"/>
        <v>--</v>
      </c>
      <c r="X33" s="150" t="str">
        <f t="shared" si="23"/>
        <v>--</v>
      </c>
      <c r="Y33" s="151" t="str">
        <f t="shared" si="24"/>
        <v>--</v>
      </c>
      <c r="Z33" s="152" t="str">
        <f t="shared" si="25"/>
        <v/>
      </c>
      <c r="AA33" s="153" t="str">
        <f t="shared" si="26"/>
        <v/>
      </c>
      <c r="AB33" s="154"/>
    </row>
    <row r="34" spans="2:28" s="10" customFormat="1" ht="17.1" customHeight="1">
      <c r="B34" s="44"/>
      <c r="C34" s="127"/>
      <c r="D34" s="127"/>
      <c r="E34" s="127"/>
      <c r="F34" s="125"/>
      <c r="G34" s="125"/>
      <c r="H34" s="137"/>
      <c r="I34" s="138" t="e">
        <f t="shared" si="0"/>
        <v>#VALUE!</v>
      </c>
      <c r="J34" s="139"/>
      <c r="K34" s="139"/>
      <c r="L34" s="140" t="str">
        <f t="shared" si="16"/>
        <v/>
      </c>
      <c r="M34" s="141" t="str">
        <f t="shared" si="14"/>
        <v/>
      </c>
      <c r="N34" s="139"/>
      <c r="O34" s="143" t="str">
        <f t="shared" si="2"/>
        <v/>
      </c>
      <c r="P34" s="144" t="str">
        <f t="shared" si="3"/>
        <v>--</v>
      </c>
      <c r="Q34" s="145" t="str">
        <f t="shared" si="17"/>
        <v>--</v>
      </c>
      <c r="R34" s="146" t="str">
        <f t="shared" si="5"/>
        <v>--</v>
      </c>
      <c r="S34" s="146" t="str">
        <f t="shared" si="18"/>
        <v>--</v>
      </c>
      <c r="T34" s="147" t="str">
        <f t="shared" si="19"/>
        <v>--</v>
      </c>
      <c r="U34" s="148" t="str">
        <f t="shared" si="20"/>
        <v>--</v>
      </c>
      <c r="V34" s="148" t="str">
        <f t="shared" si="21"/>
        <v>--</v>
      </c>
      <c r="W34" s="149" t="str">
        <f t="shared" si="22"/>
        <v>--</v>
      </c>
      <c r="X34" s="150" t="str">
        <f t="shared" si="23"/>
        <v>--</v>
      </c>
      <c r="Y34" s="151" t="str">
        <f t="shared" si="24"/>
        <v>--</v>
      </c>
      <c r="Z34" s="152" t="str">
        <f t="shared" si="25"/>
        <v/>
      </c>
      <c r="AA34" s="153" t="str">
        <f t="shared" si="26"/>
        <v/>
      </c>
      <c r="AB34" s="154"/>
    </row>
    <row r="35" spans="2:28" s="10" customFormat="1" ht="17.1" customHeight="1">
      <c r="B35" s="155"/>
      <c r="C35" s="127"/>
      <c r="D35" s="127"/>
      <c r="E35" s="127"/>
      <c r="F35" s="125"/>
      <c r="G35" s="125"/>
      <c r="H35" s="137"/>
      <c r="I35" s="138" t="e">
        <f t="shared" si="0"/>
        <v>#VALUE!</v>
      </c>
      <c r="J35" s="139"/>
      <c r="K35" s="139"/>
      <c r="L35" s="140" t="str">
        <f t="shared" si="16"/>
        <v/>
      </c>
      <c r="M35" s="141" t="str">
        <f t="shared" si="14"/>
        <v/>
      </c>
      <c r="N35" s="139"/>
      <c r="O35" s="143" t="str">
        <f t="shared" si="2"/>
        <v/>
      </c>
      <c r="P35" s="144" t="str">
        <f t="shared" si="3"/>
        <v>--</v>
      </c>
      <c r="Q35" s="145" t="str">
        <f t="shared" si="17"/>
        <v>--</v>
      </c>
      <c r="R35" s="146" t="str">
        <f t="shared" si="5"/>
        <v>--</v>
      </c>
      <c r="S35" s="146" t="str">
        <f t="shared" si="18"/>
        <v>--</v>
      </c>
      <c r="T35" s="147" t="str">
        <f t="shared" si="19"/>
        <v>--</v>
      </c>
      <c r="U35" s="148" t="str">
        <f t="shared" si="20"/>
        <v>--</v>
      </c>
      <c r="V35" s="148" t="str">
        <f t="shared" si="21"/>
        <v>--</v>
      </c>
      <c r="W35" s="149" t="str">
        <f t="shared" si="22"/>
        <v>--</v>
      </c>
      <c r="X35" s="150" t="str">
        <f t="shared" si="23"/>
        <v>--</v>
      </c>
      <c r="Y35" s="151" t="str">
        <f t="shared" si="24"/>
        <v>--</v>
      </c>
      <c r="Z35" s="152" t="str">
        <f t="shared" si="25"/>
        <v/>
      </c>
      <c r="AA35" s="153" t="str">
        <f t="shared" si="26"/>
        <v/>
      </c>
      <c r="AB35" s="154"/>
    </row>
    <row r="36" spans="2:28" s="10" customFormat="1" ht="17.1" customHeight="1">
      <c r="B36" s="155"/>
      <c r="C36" s="127"/>
      <c r="D36" s="127"/>
      <c r="E36" s="127"/>
      <c r="F36" s="125"/>
      <c r="G36" s="125"/>
      <c r="H36" s="137"/>
      <c r="I36" s="138" t="e">
        <f t="shared" si="0"/>
        <v>#VALUE!</v>
      </c>
      <c r="J36" s="139"/>
      <c r="K36" s="139"/>
      <c r="L36" s="140" t="str">
        <f t="shared" si="16"/>
        <v/>
      </c>
      <c r="M36" s="141" t="str">
        <f t="shared" si="14"/>
        <v/>
      </c>
      <c r="N36" s="139"/>
      <c r="O36" s="143" t="str">
        <f t="shared" si="2"/>
        <v/>
      </c>
      <c r="P36" s="144" t="str">
        <f t="shared" si="3"/>
        <v>--</v>
      </c>
      <c r="Q36" s="145" t="str">
        <f t="shared" si="17"/>
        <v>--</v>
      </c>
      <c r="R36" s="146" t="str">
        <f t="shared" si="5"/>
        <v>--</v>
      </c>
      <c r="S36" s="146" t="str">
        <f t="shared" si="18"/>
        <v>--</v>
      </c>
      <c r="T36" s="147" t="str">
        <f t="shared" si="19"/>
        <v>--</v>
      </c>
      <c r="U36" s="148" t="str">
        <f t="shared" si="20"/>
        <v>--</v>
      </c>
      <c r="V36" s="148" t="str">
        <f t="shared" si="21"/>
        <v>--</v>
      </c>
      <c r="W36" s="149" t="str">
        <f t="shared" si="22"/>
        <v>--</v>
      </c>
      <c r="X36" s="150" t="str">
        <f t="shared" si="23"/>
        <v>--</v>
      </c>
      <c r="Y36" s="151" t="str">
        <f t="shared" si="24"/>
        <v>--</v>
      </c>
      <c r="Z36" s="152" t="str">
        <f t="shared" si="25"/>
        <v/>
      </c>
      <c r="AA36" s="153" t="str">
        <f t="shared" si="26"/>
        <v/>
      </c>
      <c r="AB36" s="154"/>
    </row>
    <row r="37" spans="2:28" s="10" customFormat="1" ht="17.1" customHeight="1">
      <c r="B37" s="155"/>
      <c r="C37" s="127"/>
      <c r="D37" s="127"/>
      <c r="E37" s="127"/>
      <c r="F37" s="125"/>
      <c r="G37" s="125"/>
      <c r="H37" s="137"/>
      <c r="I37" s="138" t="e">
        <f t="shared" si="0"/>
        <v>#VALUE!</v>
      </c>
      <c r="J37" s="139"/>
      <c r="K37" s="139"/>
      <c r="L37" s="140" t="str">
        <f t="shared" si="16"/>
        <v/>
      </c>
      <c r="M37" s="141" t="str">
        <f t="shared" si="14"/>
        <v/>
      </c>
      <c r="N37" s="139"/>
      <c r="O37" s="143" t="str">
        <f t="shared" si="2"/>
        <v/>
      </c>
      <c r="P37" s="144" t="str">
        <f t="shared" si="3"/>
        <v>--</v>
      </c>
      <c r="Q37" s="145" t="str">
        <f t="shared" si="17"/>
        <v>--</v>
      </c>
      <c r="R37" s="146" t="str">
        <f t="shared" si="5"/>
        <v>--</v>
      </c>
      <c r="S37" s="146" t="str">
        <f t="shared" si="18"/>
        <v>--</v>
      </c>
      <c r="T37" s="147" t="str">
        <f t="shared" si="19"/>
        <v>--</v>
      </c>
      <c r="U37" s="148" t="str">
        <f t="shared" si="20"/>
        <v>--</v>
      </c>
      <c r="V37" s="148" t="str">
        <f t="shared" si="21"/>
        <v>--</v>
      </c>
      <c r="W37" s="149" t="str">
        <f t="shared" si="22"/>
        <v>--</v>
      </c>
      <c r="X37" s="150" t="str">
        <f t="shared" si="23"/>
        <v>--</v>
      </c>
      <c r="Y37" s="151" t="str">
        <f t="shared" si="24"/>
        <v>--</v>
      </c>
      <c r="Z37" s="152" t="str">
        <f t="shared" si="25"/>
        <v/>
      </c>
      <c r="AA37" s="153" t="str">
        <f t="shared" si="26"/>
        <v/>
      </c>
      <c r="AB37" s="154"/>
    </row>
    <row r="38" spans="2:28" s="10" customFormat="1" ht="17.1" customHeight="1">
      <c r="B38" s="155"/>
      <c r="C38" s="127"/>
      <c r="D38" s="127"/>
      <c r="E38" s="127"/>
      <c r="F38" s="125"/>
      <c r="G38" s="125"/>
      <c r="H38" s="137"/>
      <c r="I38" s="138" t="e">
        <f t="shared" si="0"/>
        <v>#VALUE!</v>
      </c>
      <c r="J38" s="139"/>
      <c r="K38" s="139"/>
      <c r="L38" s="140" t="str">
        <f t="shared" si="1"/>
        <v/>
      </c>
      <c r="M38" s="141" t="str">
        <f aca="true" t="shared" si="27" ref="M38:M41">IF(F38="","",ROUND((K38-J38)*24*60,0))</f>
        <v/>
      </c>
      <c r="N38" s="139"/>
      <c r="O38" s="143" t="str">
        <f aca="true" t="shared" si="28" ref="O38:O41">IF(F38="","","--")</f>
        <v/>
      </c>
      <c r="P38" s="144" t="str">
        <f aca="true" t="shared" si="29" ref="P38:P41">IF(N38="P",ROUND(M38/60,2)*I38*$L$16*0.01,"--")</f>
        <v>--</v>
      </c>
      <c r="Q38" s="145" t="str">
        <f t="shared" si="4"/>
        <v>--</v>
      </c>
      <c r="R38" s="146" t="str">
        <f aca="true" t="shared" si="30" ref="R38:R40">IF(N38="F",I38*$L$16,"--")</f>
        <v>--</v>
      </c>
      <c r="S38" s="146" t="str">
        <f t="shared" si="6"/>
        <v>--</v>
      </c>
      <c r="T38" s="147" t="str">
        <f t="shared" si="7"/>
        <v>--</v>
      </c>
      <c r="U38" s="148" t="str">
        <f t="shared" si="8"/>
        <v>--</v>
      </c>
      <c r="V38" s="148" t="str">
        <f t="shared" si="9"/>
        <v>--</v>
      </c>
      <c r="W38" s="149" t="str">
        <f t="shared" si="10"/>
        <v>--</v>
      </c>
      <c r="X38" s="150" t="str">
        <f t="shared" si="11"/>
        <v>--</v>
      </c>
      <c r="Y38" s="151" t="str">
        <f t="shared" si="12"/>
        <v>--</v>
      </c>
      <c r="Z38" s="152" t="str">
        <f t="shared" si="13"/>
        <v/>
      </c>
      <c r="AA38" s="153" t="str">
        <f t="shared" si="15"/>
        <v/>
      </c>
      <c r="AB38" s="154"/>
    </row>
    <row r="39" spans="2:28" s="10" customFormat="1" ht="17.1" customHeight="1">
      <c r="B39" s="155"/>
      <c r="C39" s="127"/>
      <c r="D39" s="127"/>
      <c r="E39" s="127"/>
      <c r="F39" s="125"/>
      <c r="G39" s="125"/>
      <c r="H39" s="137"/>
      <c r="I39" s="138" t="e">
        <f t="shared" si="0"/>
        <v>#VALUE!</v>
      </c>
      <c r="J39" s="139"/>
      <c r="K39" s="139"/>
      <c r="L39" s="140" t="str">
        <f t="shared" si="1"/>
        <v/>
      </c>
      <c r="M39" s="141" t="str">
        <f t="shared" si="27"/>
        <v/>
      </c>
      <c r="N39" s="139"/>
      <c r="O39" s="143" t="str">
        <f t="shared" si="28"/>
        <v/>
      </c>
      <c r="P39" s="144" t="str">
        <f t="shared" si="29"/>
        <v>--</v>
      </c>
      <c r="Q39" s="145" t="str">
        <f t="shared" si="4"/>
        <v>--</v>
      </c>
      <c r="R39" s="146" t="str">
        <f>IF(N39="F",I39*$L$16,"--")</f>
        <v>--</v>
      </c>
      <c r="S39" s="146" t="str">
        <f t="shared" si="6"/>
        <v>--</v>
      </c>
      <c r="T39" s="147" t="str">
        <f t="shared" si="7"/>
        <v>--</v>
      </c>
      <c r="U39" s="148" t="str">
        <f t="shared" si="8"/>
        <v>--</v>
      </c>
      <c r="V39" s="148" t="str">
        <f t="shared" si="9"/>
        <v>--</v>
      </c>
      <c r="W39" s="149" t="str">
        <f t="shared" si="10"/>
        <v>--</v>
      </c>
      <c r="X39" s="150" t="str">
        <f t="shared" si="11"/>
        <v>--</v>
      </c>
      <c r="Y39" s="151" t="str">
        <f t="shared" si="12"/>
        <v>--</v>
      </c>
      <c r="Z39" s="152" t="str">
        <f t="shared" si="13"/>
        <v/>
      </c>
      <c r="AA39" s="153" t="str">
        <f t="shared" si="15"/>
        <v/>
      </c>
      <c r="AB39" s="154"/>
    </row>
    <row r="40" spans="2:28" s="10" customFormat="1" ht="17.1" customHeight="1">
      <c r="B40" s="155"/>
      <c r="C40" s="127"/>
      <c r="D40" s="127"/>
      <c r="E40" s="127"/>
      <c r="F40" s="125"/>
      <c r="G40" s="125"/>
      <c r="H40" s="137"/>
      <c r="I40" s="138" t="e">
        <f t="shared" si="0"/>
        <v>#VALUE!</v>
      </c>
      <c r="J40" s="139"/>
      <c r="K40" s="139"/>
      <c r="L40" s="140" t="str">
        <f t="shared" si="1"/>
        <v/>
      </c>
      <c r="M40" s="141" t="str">
        <f t="shared" si="27"/>
        <v/>
      </c>
      <c r="N40" s="139"/>
      <c r="O40" s="143" t="str">
        <f t="shared" si="28"/>
        <v/>
      </c>
      <c r="P40" s="144" t="str">
        <f t="shared" si="29"/>
        <v>--</v>
      </c>
      <c r="Q40" s="145" t="str">
        <f t="shared" si="4"/>
        <v>--</v>
      </c>
      <c r="R40" s="146" t="str">
        <f t="shared" si="30"/>
        <v>--</v>
      </c>
      <c r="S40" s="146" t="str">
        <f t="shared" si="6"/>
        <v>--</v>
      </c>
      <c r="T40" s="147" t="str">
        <f t="shared" si="7"/>
        <v>--</v>
      </c>
      <c r="U40" s="148" t="str">
        <f t="shared" si="8"/>
        <v>--</v>
      </c>
      <c r="V40" s="148" t="str">
        <f t="shared" si="9"/>
        <v>--</v>
      </c>
      <c r="W40" s="149" t="str">
        <f t="shared" si="10"/>
        <v>--</v>
      </c>
      <c r="X40" s="150" t="str">
        <f t="shared" si="11"/>
        <v>--</v>
      </c>
      <c r="Y40" s="151" t="str">
        <f t="shared" si="12"/>
        <v>--</v>
      </c>
      <c r="Z40" s="152" t="str">
        <f t="shared" si="13"/>
        <v/>
      </c>
      <c r="AA40" s="153" t="str">
        <f t="shared" si="15"/>
        <v/>
      </c>
      <c r="AB40" s="154"/>
    </row>
    <row r="41" spans="2:28" s="10" customFormat="1" ht="17.1" customHeight="1">
      <c r="B41" s="155"/>
      <c r="C41" s="127"/>
      <c r="D41" s="127"/>
      <c r="E41" s="127"/>
      <c r="F41" s="125"/>
      <c r="G41" s="125"/>
      <c r="H41" s="137"/>
      <c r="I41" s="138" t="e">
        <f t="shared" si="0"/>
        <v>#VALUE!</v>
      </c>
      <c r="J41" s="139"/>
      <c r="K41" s="139"/>
      <c r="L41" s="140" t="str">
        <f t="shared" si="1"/>
        <v/>
      </c>
      <c r="M41" s="141" t="str">
        <f t="shared" si="27"/>
        <v/>
      </c>
      <c r="N41" s="139"/>
      <c r="O41" s="143" t="str">
        <f t="shared" si="28"/>
        <v/>
      </c>
      <c r="P41" s="144" t="str">
        <f t="shared" si="29"/>
        <v>--</v>
      </c>
      <c r="Q41" s="145" t="str">
        <f aca="true" t="shared" si="31" ref="Q41">IF(N41="RP",ROUND(M41/60,2)*I41*$L$16*0.01*O41/100,"--")</f>
        <v>--</v>
      </c>
      <c r="R41" s="146" t="str">
        <f>IF(N41="F",I41*$L$16,"--")</f>
        <v>--</v>
      </c>
      <c r="S41" s="146" t="str">
        <f t="shared" si="6"/>
        <v>--</v>
      </c>
      <c r="T41" s="147" t="str">
        <f t="shared" si="7"/>
        <v>--</v>
      </c>
      <c r="U41" s="148" t="str">
        <f t="shared" si="8"/>
        <v>--</v>
      </c>
      <c r="V41" s="148" t="str">
        <f t="shared" si="9"/>
        <v>--</v>
      </c>
      <c r="W41" s="149" t="str">
        <f t="shared" si="10"/>
        <v>--</v>
      </c>
      <c r="X41" s="150" t="str">
        <f t="shared" si="11"/>
        <v>--</v>
      </c>
      <c r="Y41" s="151" t="str">
        <f t="shared" si="12"/>
        <v>--</v>
      </c>
      <c r="Z41" s="152" t="str">
        <f t="shared" si="13"/>
        <v/>
      </c>
      <c r="AA41" s="153" t="str">
        <f t="shared" si="15"/>
        <v/>
      </c>
      <c r="AB41" s="154"/>
    </row>
    <row r="42" spans="2:28" s="10" customFormat="1" ht="17.1" customHeight="1" thickBot="1">
      <c r="B42" s="44"/>
      <c r="C42" s="156"/>
      <c r="D42" s="156"/>
      <c r="E42" s="156"/>
      <c r="F42" s="157"/>
      <c r="G42" s="158"/>
      <c r="H42" s="159"/>
      <c r="I42" s="160"/>
      <c r="J42" s="159"/>
      <c r="K42" s="159"/>
      <c r="L42" s="159"/>
      <c r="M42" s="159"/>
      <c r="N42" s="159"/>
      <c r="O42" s="161"/>
      <c r="P42" s="162"/>
      <c r="Q42" s="163"/>
      <c r="R42" s="164"/>
      <c r="S42" s="165"/>
      <c r="T42" s="165"/>
      <c r="U42" s="166"/>
      <c r="V42" s="166"/>
      <c r="W42" s="166"/>
      <c r="X42" s="167"/>
      <c r="Y42" s="168"/>
      <c r="Z42" s="169"/>
      <c r="AA42" s="170"/>
      <c r="AB42" s="154"/>
    </row>
    <row r="43" spans="2:28" s="10" customFormat="1" ht="17.1" customHeight="1" thickBot="1" thickTop="1">
      <c r="B43" s="44"/>
      <c r="C43" s="171" t="s">
        <v>73</v>
      </c>
      <c r="D43" s="418" t="s">
        <v>149</v>
      </c>
      <c r="E43" s="186"/>
      <c r="F43" s="172"/>
      <c r="G43" s="3"/>
      <c r="H43" s="5"/>
      <c r="I43" s="173"/>
      <c r="J43" s="173"/>
      <c r="K43" s="173"/>
      <c r="L43" s="173"/>
      <c r="M43" s="173"/>
      <c r="N43" s="173"/>
      <c r="O43" s="174"/>
      <c r="P43" s="175">
        <f aca="true" t="shared" si="32" ref="P43:Y43">SUM(P20:P42)</f>
        <v>523.84615125</v>
      </c>
      <c r="Q43" s="176">
        <f t="shared" si="32"/>
        <v>0</v>
      </c>
      <c r="R43" s="177">
        <f t="shared" si="32"/>
        <v>36045.458790000004</v>
      </c>
      <c r="S43" s="177">
        <f t="shared" si="32"/>
        <v>96702.82905000001</v>
      </c>
      <c r="T43" s="177">
        <f t="shared" si="32"/>
        <v>14296.72656672</v>
      </c>
      <c r="U43" s="178">
        <f t="shared" si="32"/>
        <v>0</v>
      </c>
      <c r="V43" s="178">
        <f t="shared" si="32"/>
        <v>0</v>
      </c>
      <c r="W43" s="178">
        <f t="shared" si="32"/>
        <v>0</v>
      </c>
      <c r="X43" s="179">
        <f t="shared" si="32"/>
        <v>0</v>
      </c>
      <c r="Y43" s="180">
        <f t="shared" si="32"/>
        <v>0</v>
      </c>
      <c r="Z43" s="181"/>
      <c r="AA43" s="182">
        <f>ROUND(SUM(AA20:AA42),2)</f>
        <v>147568.86</v>
      </c>
      <c r="AB43" s="183"/>
    </row>
    <row r="44" spans="2:28" s="184" customFormat="1" ht="9.75" thickTop="1">
      <c r="B44" s="185"/>
      <c r="C44" s="186"/>
      <c r="D44" s="186"/>
      <c r="E44" s="186"/>
      <c r="F44" s="187"/>
      <c r="G44" s="188"/>
      <c r="H44" s="189"/>
      <c r="I44" s="190"/>
      <c r="J44" s="190"/>
      <c r="K44" s="190"/>
      <c r="L44" s="190"/>
      <c r="M44" s="190"/>
      <c r="N44" s="190"/>
      <c r="O44" s="191"/>
      <c r="P44" s="192"/>
      <c r="Q44" s="192"/>
      <c r="R44" s="193"/>
      <c r="S44" s="193"/>
      <c r="T44" s="194"/>
      <c r="U44" s="194"/>
      <c r="V44" s="194"/>
      <c r="W44" s="194"/>
      <c r="X44" s="194"/>
      <c r="Y44" s="194"/>
      <c r="Z44" s="194"/>
      <c r="AA44" s="195"/>
      <c r="AB44" s="196"/>
    </row>
    <row r="45" spans="2:28" s="10" customFormat="1" ht="17.1" customHeight="1" thickBo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9"/>
    </row>
    <row r="46" spans="2:28" ht="13.5" thickTop="1">
      <c r="B46" s="200"/>
      <c r="AB46" s="200"/>
    </row>
    <row r="91" ht="12.75">
      <c r="B91" s="200"/>
    </row>
  </sheetData>
  <printOptions/>
  <pageMargins left="0.25" right="0.25" top="0.75" bottom="0.75" header="0.3" footer="0.3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Referencias_Lineas">
                <anchor moveWithCells="1" sizeWithCells="1">
                  <from>
                    <xdr:col>0</xdr:col>
                    <xdr:colOff>57150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AD51"/>
  <sheetViews>
    <sheetView zoomScale="80" zoomScaleNormal="80" workbookViewId="0" topLeftCell="A1">
      <selection activeCell="B42" sqref="B42"/>
    </sheetView>
  </sheetViews>
  <sheetFormatPr defaultColWidth="11.421875" defaultRowHeight="12.75"/>
  <cols>
    <col min="1" max="1" width="18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3.421875" style="1" customWidth="1"/>
    <col min="10" max="10" width="7.8515625" style="1" hidden="1" customWidth="1"/>
    <col min="11" max="12" width="16.28125" style="1" customWidth="1"/>
    <col min="13" max="15" width="9.7109375" style="1" customWidth="1"/>
    <col min="16" max="17" width="7.7109375" style="1" customWidth="1"/>
    <col min="18" max="18" width="6.7109375" style="1" bestFit="1" customWidth="1"/>
    <col min="19" max="19" width="11.28125" style="1" hidden="1" customWidth="1"/>
    <col min="20" max="21" width="11.57421875" style="1" hidden="1" customWidth="1"/>
    <col min="22" max="22" width="8.7109375" style="1" hidden="1" customWidth="1"/>
    <col min="23" max="23" width="7.7109375" style="1" hidden="1" customWidth="1"/>
    <col min="24" max="25" width="6.57421875" style="1" hidden="1" customWidth="1"/>
    <col min="26" max="27" width="11.5742187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395"/>
    </row>
    <row r="2" spans="2:30" s="6" customFormat="1" ht="26.25">
      <c r="B2" s="67" t="str">
        <f>+'TOT-0516'!B2</f>
        <v>ANEXO VI al Memorándum D.T.E.E. N°        639    /2016</v>
      </c>
      <c r="C2" s="202"/>
      <c r="D2" s="202"/>
      <c r="E2" s="202"/>
      <c r="F2" s="202"/>
      <c r="G2" s="9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2:30" s="10" customFormat="1" ht="12" customHeight="1">
      <c r="B3" s="68"/>
      <c r="C3" s="203"/>
      <c r="D3" s="203"/>
      <c r="E3" s="203"/>
      <c r="F3" s="203"/>
      <c r="G3" s="1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s="13" customFormat="1" ht="11.25">
      <c r="A4" s="204" t="s">
        <v>3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3" customFormat="1" ht="11.25">
      <c r="A5" s="204" t="s">
        <v>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2:30" s="10" customFormat="1" ht="17.1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2:30" s="10" customFormat="1" ht="17.1" customHeight="1" thickTop="1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</row>
    <row r="8" spans="2:30" s="73" customFormat="1" ht="20.25">
      <c r="B8" s="211"/>
      <c r="C8" s="212"/>
      <c r="D8" s="212"/>
      <c r="E8" s="212"/>
      <c r="F8" s="213" t="s">
        <v>14</v>
      </c>
      <c r="H8" s="212"/>
      <c r="I8" s="214"/>
      <c r="J8" s="214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5"/>
    </row>
    <row r="9" spans="2:30" s="10" customFormat="1" ht="17.1" customHeight="1">
      <c r="B9" s="216"/>
      <c r="C9" s="63"/>
      <c r="D9" s="63"/>
      <c r="E9" s="63"/>
      <c r="F9" s="63"/>
      <c r="G9" s="63"/>
      <c r="H9" s="63"/>
      <c r="I9" s="207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217"/>
    </row>
    <row r="10" spans="2:30" s="73" customFormat="1" ht="20.25">
      <c r="B10" s="211"/>
      <c r="C10" s="212"/>
      <c r="D10" s="212"/>
      <c r="E10" s="212"/>
      <c r="F10" s="213" t="s">
        <v>37</v>
      </c>
      <c r="G10" s="212"/>
      <c r="H10" s="212"/>
      <c r="I10" s="214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5"/>
    </row>
    <row r="11" spans="2:30" s="10" customFormat="1" ht="17.1" customHeight="1">
      <c r="B11" s="216"/>
      <c r="C11" s="63"/>
      <c r="D11" s="63"/>
      <c r="E11" s="63"/>
      <c r="F11" s="218"/>
      <c r="G11" s="63"/>
      <c r="H11" s="63"/>
      <c r="I11" s="207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217"/>
    </row>
    <row r="12" spans="2:30" s="73" customFormat="1" ht="20.25">
      <c r="B12" s="211"/>
      <c r="C12" s="212"/>
      <c r="D12" s="212"/>
      <c r="E12" s="212"/>
      <c r="F12" s="219" t="s">
        <v>38</v>
      </c>
      <c r="G12" s="213"/>
      <c r="H12" s="214"/>
      <c r="I12" s="214"/>
      <c r="J12" s="220"/>
      <c r="K12" s="212"/>
      <c r="L12" s="214"/>
      <c r="M12" s="214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</row>
    <row r="13" spans="2:30" s="10" customFormat="1" ht="17.1" customHeight="1">
      <c r="B13" s="216"/>
      <c r="C13" s="63"/>
      <c r="D13" s="63"/>
      <c r="E13" s="63"/>
      <c r="F13" s="221"/>
      <c r="G13" s="221"/>
      <c r="H13" s="221"/>
      <c r="I13" s="222"/>
      <c r="J13" s="22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217"/>
    </row>
    <row r="14" spans="2:30" s="17" customFormat="1" ht="19.5">
      <c r="B14" s="224" t="str">
        <f>+'TOT-0516'!B14</f>
        <v>Desde el 01 al 31 de mayo de 2016</v>
      </c>
      <c r="C14" s="79"/>
      <c r="D14" s="79"/>
      <c r="E14" s="79"/>
      <c r="F14" s="225"/>
      <c r="G14" s="225"/>
      <c r="H14" s="225"/>
      <c r="I14" s="225"/>
      <c r="J14" s="225"/>
      <c r="K14" s="80"/>
      <c r="L14" s="80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6"/>
    </row>
    <row r="15" spans="2:30" s="10" customFormat="1" ht="17.1" customHeight="1" thickBot="1">
      <c r="B15" s="216"/>
      <c r="C15" s="63"/>
      <c r="D15" s="63"/>
      <c r="E15" s="63"/>
      <c r="F15" s="63"/>
      <c r="G15" s="63"/>
      <c r="H15" s="63"/>
      <c r="I15" s="227"/>
      <c r="J15" s="63"/>
      <c r="K15" s="228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17"/>
    </row>
    <row r="16" spans="2:30" s="10" customFormat="1" ht="17.1" customHeight="1" thickBot="1" thickTop="1">
      <c r="B16" s="216"/>
      <c r="C16" s="63"/>
      <c r="D16" s="63"/>
      <c r="E16" s="63"/>
      <c r="F16" s="229" t="s">
        <v>39</v>
      </c>
      <c r="G16" s="230"/>
      <c r="H16" s="231"/>
      <c r="I16" s="232">
        <v>1.912</v>
      </c>
      <c r="J16" s="207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17"/>
    </row>
    <row r="17" spans="2:30" s="10" customFormat="1" ht="17.1" customHeight="1" thickBot="1" thickTop="1">
      <c r="B17" s="216"/>
      <c r="C17" s="63"/>
      <c r="D17" s="63"/>
      <c r="E17" s="63"/>
      <c r="F17" s="233" t="s">
        <v>40</v>
      </c>
      <c r="G17" s="234"/>
      <c r="H17" s="234"/>
      <c r="I17" s="235">
        <f>30*'TOT-0516'!B13</f>
        <v>30</v>
      </c>
      <c r="J17" s="236" t="str">
        <f>IF(I17=30," ",IF(I17=60,"     Coeficiente duplicado por tasa de falla &gt;4 Sal. x año/100 km.","    REVISAR COEFICIENTE"))</f>
        <v xml:space="preserve"> </v>
      </c>
      <c r="K17" s="236" t="str">
        <f>IF(I17=30," ",IF(I17=60,"    Coeficiente duplicado por tasa de falla &gt;4 Sal. x año/100 km.","    REVISAR COEFICIENTE"))</f>
        <v xml:space="preserve"> 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37"/>
      <c r="X17" s="63"/>
      <c r="Y17" s="237"/>
      <c r="Z17" s="237"/>
      <c r="AA17" s="237"/>
      <c r="AB17" s="237"/>
      <c r="AC17" s="237"/>
      <c r="AD17" s="217"/>
    </row>
    <row r="18" spans="2:30" s="10" customFormat="1" ht="17.1" customHeight="1" thickBot="1" thickTop="1">
      <c r="B18" s="216"/>
      <c r="C18" s="63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217"/>
    </row>
    <row r="19" spans="2:30" s="238" customFormat="1" ht="35.1" customHeight="1" thickBot="1" thickTop="1">
      <c r="B19" s="239"/>
      <c r="C19" s="399" t="s">
        <v>20</v>
      </c>
      <c r="D19" s="399" t="s">
        <v>74</v>
      </c>
      <c r="E19" s="399" t="s">
        <v>75</v>
      </c>
      <c r="F19" s="240" t="s">
        <v>41</v>
      </c>
      <c r="G19" s="241" t="s">
        <v>42</v>
      </c>
      <c r="H19" s="242" t="s">
        <v>43</v>
      </c>
      <c r="I19" s="243" t="s">
        <v>21</v>
      </c>
      <c r="J19" s="244" t="s">
        <v>23</v>
      </c>
      <c r="K19" s="241" t="s">
        <v>24</v>
      </c>
      <c r="L19" s="241" t="s">
        <v>25</v>
      </c>
      <c r="M19" s="240" t="s">
        <v>44</v>
      </c>
      <c r="N19" s="240" t="s">
        <v>45</v>
      </c>
      <c r="O19" s="98" t="s">
        <v>72</v>
      </c>
      <c r="P19" s="241" t="s">
        <v>46</v>
      </c>
      <c r="Q19" s="240" t="s">
        <v>28</v>
      </c>
      <c r="R19" s="241" t="s">
        <v>47</v>
      </c>
      <c r="S19" s="245" t="s">
        <v>48</v>
      </c>
      <c r="T19" s="246" t="s">
        <v>29</v>
      </c>
      <c r="U19" s="247" t="s">
        <v>30</v>
      </c>
      <c r="V19" s="248" t="s">
        <v>49</v>
      </c>
      <c r="W19" s="249"/>
      <c r="X19" s="250" t="s">
        <v>50</v>
      </c>
      <c r="Y19" s="251"/>
      <c r="Z19" s="252" t="s">
        <v>33</v>
      </c>
      <c r="AA19" s="253" t="s">
        <v>34</v>
      </c>
      <c r="AB19" s="243" t="s">
        <v>51</v>
      </c>
      <c r="AC19" s="243" t="s">
        <v>36</v>
      </c>
      <c r="AD19" s="254"/>
    </row>
    <row r="20" spans="2:30" s="10" customFormat="1" ht="17.1" customHeight="1" thickTop="1">
      <c r="B20" s="216"/>
      <c r="C20" s="255"/>
      <c r="D20" s="255"/>
      <c r="E20" s="255"/>
      <c r="F20" s="256"/>
      <c r="G20" s="257"/>
      <c r="H20" s="257"/>
      <c r="I20" s="257"/>
      <c r="J20" s="258"/>
      <c r="K20" s="256"/>
      <c r="L20" s="257"/>
      <c r="M20" s="259"/>
      <c r="N20" s="259"/>
      <c r="O20" s="257"/>
      <c r="P20" s="257"/>
      <c r="Q20" s="257"/>
      <c r="R20" s="257"/>
      <c r="S20" s="122"/>
      <c r="T20" s="120"/>
      <c r="U20" s="260"/>
      <c r="V20" s="261"/>
      <c r="W20" s="262"/>
      <c r="X20" s="263"/>
      <c r="Y20" s="264"/>
      <c r="Z20" s="265"/>
      <c r="AA20" s="266"/>
      <c r="AB20" s="257"/>
      <c r="AC20" s="267"/>
      <c r="AD20" s="217"/>
    </row>
    <row r="21" spans="2:30" s="10" customFormat="1" ht="17.1" customHeight="1">
      <c r="B21" s="216"/>
      <c r="C21" s="268"/>
      <c r="D21" s="268"/>
      <c r="E21" s="268"/>
      <c r="F21" s="269"/>
      <c r="G21" s="269"/>
      <c r="H21" s="269"/>
      <c r="I21" s="269"/>
      <c r="J21" s="270"/>
      <c r="K21" s="271"/>
      <c r="L21" s="269"/>
      <c r="M21" s="272"/>
      <c r="N21" s="272"/>
      <c r="O21" s="269"/>
      <c r="P21" s="269"/>
      <c r="Q21" s="269"/>
      <c r="R21" s="269"/>
      <c r="S21" s="135"/>
      <c r="T21" s="133"/>
      <c r="U21" s="273"/>
      <c r="V21" s="274"/>
      <c r="W21" s="275"/>
      <c r="X21" s="276"/>
      <c r="Y21" s="277"/>
      <c r="Z21" s="278"/>
      <c r="AA21" s="279"/>
      <c r="AB21" s="269"/>
      <c r="AC21" s="280"/>
      <c r="AD21" s="217"/>
    </row>
    <row r="22" spans="2:30" s="10" customFormat="1" ht="17.1" customHeight="1">
      <c r="B22" s="216"/>
      <c r="C22" s="268">
        <v>5</v>
      </c>
      <c r="D22" s="268">
        <v>302266</v>
      </c>
      <c r="E22" s="268">
        <v>873</v>
      </c>
      <c r="F22" s="125" t="s">
        <v>154</v>
      </c>
      <c r="G22" s="127" t="s">
        <v>148</v>
      </c>
      <c r="H22" s="281">
        <v>30</v>
      </c>
      <c r="I22" s="282" t="s">
        <v>137</v>
      </c>
      <c r="J22" s="283">
        <f aca="true" t="shared" si="0" ref="J22:J40">H22*$I$16</f>
        <v>57.36</v>
      </c>
      <c r="K22" s="284">
        <v>42497.42361111111</v>
      </c>
      <c r="L22" s="284">
        <v>42499.48125</v>
      </c>
      <c r="M22" s="285">
        <f aca="true" t="shared" si="1" ref="M22:M46">IF(F22="","",(L22-K22)*24)</f>
        <v>49.38333333330229</v>
      </c>
      <c r="N22" s="286">
        <f aca="true" t="shared" si="2" ref="N22:N46">IF(F22="","",ROUND((L22-K22)*24*60,0))</f>
        <v>2963</v>
      </c>
      <c r="O22" s="287" t="s">
        <v>130</v>
      </c>
      <c r="P22" s="288" t="str">
        <f>IF(F22="","",IF(OR(O22="P",O22="RP"),"--","NO"))</f>
        <v>--</v>
      </c>
      <c r="Q22" s="288" t="str">
        <f aca="true" t="shared" si="3" ref="Q22:Q35">IF(F22="","","--")</f>
        <v>--</v>
      </c>
      <c r="R22" s="287" t="s">
        <v>147</v>
      </c>
      <c r="S22" s="151">
        <f aca="true" t="shared" si="4" ref="S22:S38">$I$17*IF(OR(O22="P",O22="RP"),0.1,1)*IF(R22="SI",1,0.1)</f>
        <v>0.30000000000000004</v>
      </c>
      <c r="T22" s="289">
        <f aca="true" t="shared" si="5" ref="T22:T39">IF(O22="P",J22*S22*ROUND(N22/60,2),"--")</f>
        <v>849.7310400000001</v>
      </c>
      <c r="U22" s="290" t="str">
        <f aca="true" t="shared" si="6" ref="U22:U46">IF(O22="RP",J22*S22*ROUND(N22/60,2)*Q22/100,"--")</f>
        <v>--</v>
      </c>
      <c r="V22" s="291" t="str">
        <f aca="true" t="shared" si="7" ref="V22:V46">IF(AND(O22="F",P22="NO"),J22*S22,"--")</f>
        <v>--</v>
      </c>
      <c r="W22" s="292" t="str">
        <f aca="true" t="shared" si="8" ref="W22:W46">IF(O22="F",J22*S22*ROUND(N22/60,2),"--")</f>
        <v>--</v>
      </c>
      <c r="X22" s="293" t="str">
        <f aca="true" t="shared" si="9" ref="X22:X46">IF(AND(O22="R",P22="NO"),J22*S22*Q22/100,"--")</f>
        <v>--</v>
      </c>
      <c r="Y22" s="294" t="str">
        <f aca="true" t="shared" si="10" ref="Y22:Y46">IF(O22="R",J22*S22*ROUND(N22/60,2)*Q22/100,"--")</f>
        <v>--</v>
      </c>
      <c r="Z22" s="295" t="str">
        <f aca="true" t="shared" si="11" ref="Z22:Z46">IF(O22="RF",J22*S22*ROUND(N22/60,2),"--")</f>
        <v>--</v>
      </c>
      <c r="AA22" s="296" t="str">
        <f aca="true" t="shared" si="12" ref="AA22:AA46">IF(O22="RR",J22*S22*ROUND(N22/60,2)*Q22/100,"--")</f>
        <v>--</v>
      </c>
      <c r="AB22" s="287" t="str">
        <f aca="true" t="shared" si="13" ref="AB22:AB38">IF(F22="","","SI")</f>
        <v>SI</v>
      </c>
      <c r="AC22" s="297">
        <f aca="true" t="shared" si="14" ref="AC22:AC46">IF(F22="","",SUM(T22:AA22)*IF(AB22="SI",1,2))</f>
        <v>849.7310400000001</v>
      </c>
      <c r="AD22" s="298"/>
    </row>
    <row r="23" spans="2:30" s="10" customFormat="1" ht="17.1" customHeight="1">
      <c r="B23" s="216"/>
      <c r="C23" s="268">
        <v>6</v>
      </c>
      <c r="D23" s="268">
        <v>302554</v>
      </c>
      <c r="E23" s="268">
        <v>3287</v>
      </c>
      <c r="F23" s="125" t="s">
        <v>155</v>
      </c>
      <c r="G23" s="127" t="s">
        <v>156</v>
      </c>
      <c r="H23" s="281">
        <v>40</v>
      </c>
      <c r="I23" s="282" t="s">
        <v>137</v>
      </c>
      <c r="J23" s="283">
        <f t="shared" si="0"/>
        <v>76.47999999999999</v>
      </c>
      <c r="K23" s="284">
        <v>42499.39375</v>
      </c>
      <c r="L23" s="284">
        <v>42499.8125</v>
      </c>
      <c r="M23" s="285">
        <f t="shared" si="1"/>
        <v>10.04999999993015</v>
      </c>
      <c r="N23" s="286">
        <f t="shared" si="2"/>
        <v>603</v>
      </c>
      <c r="O23" s="287" t="s">
        <v>130</v>
      </c>
      <c r="P23" s="288" t="str">
        <f aca="true" t="shared" si="15" ref="P23:P46">IF(F23="","",IF(OR(O23="P",O23="RP"),"--","NO"))</f>
        <v>--</v>
      </c>
      <c r="Q23" s="288" t="str">
        <f t="shared" si="3"/>
        <v>--</v>
      </c>
      <c r="R23" s="287" t="str">
        <f aca="true" t="shared" si="16" ref="R23:R46">IF(F23="","","NO")</f>
        <v>NO</v>
      </c>
      <c r="S23" s="151">
        <f t="shared" si="4"/>
        <v>0.30000000000000004</v>
      </c>
      <c r="T23" s="289">
        <f t="shared" si="5"/>
        <v>230.5872</v>
      </c>
      <c r="U23" s="290" t="str">
        <f t="shared" si="6"/>
        <v>--</v>
      </c>
      <c r="V23" s="291" t="str">
        <f t="shared" si="7"/>
        <v>--</v>
      </c>
      <c r="W23" s="292" t="str">
        <f t="shared" si="8"/>
        <v>--</v>
      </c>
      <c r="X23" s="293" t="str">
        <f t="shared" si="9"/>
        <v>--</v>
      </c>
      <c r="Y23" s="294" t="str">
        <f t="shared" si="10"/>
        <v>--</v>
      </c>
      <c r="Z23" s="295" t="str">
        <f t="shared" si="11"/>
        <v>--</v>
      </c>
      <c r="AA23" s="296" t="str">
        <f t="shared" si="12"/>
        <v>--</v>
      </c>
      <c r="AB23" s="287" t="str">
        <f t="shared" si="13"/>
        <v>SI</v>
      </c>
      <c r="AC23" s="297">
        <f t="shared" si="14"/>
        <v>230.5872</v>
      </c>
      <c r="AD23" s="298"/>
    </row>
    <row r="24" spans="2:30" s="10" customFormat="1" ht="17.1" customHeight="1">
      <c r="B24" s="216"/>
      <c r="C24" s="268">
        <v>7</v>
      </c>
      <c r="D24" s="268">
        <v>302558</v>
      </c>
      <c r="E24" s="268">
        <v>3405</v>
      </c>
      <c r="F24" s="125" t="s">
        <v>155</v>
      </c>
      <c r="G24" s="127" t="s">
        <v>157</v>
      </c>
      <c r="H24" s="281">
        <v>40</v>
      </c>
      <c r="I24" s="137" t="s">
        <v>137</v>
      </c>
      <c r="J24" s="283">
        <f>H24*$I$16</f>
        <v>76.47999999999999</v>
      </c>
      <c r="K24" s="284">
        <v>42500.396527777775</v>
      </c>
      <c r="L24" s="284">
        <v>42500.614583333336</v>
      </c>
      <c r="M24" s="285">
        <f t="shared" si="1"/>
        <v>5.233333333453629</v>
      </c>
      <c r="N24" s="286">
        <f t="shared" si="2"/>
        <v>314</v>
      </c>
      <c r="O24" s="287" t="s">
        <v>130</v>
      </c>
      <c r="P24" s="288" t="str">
        <f t="shared" si="15"/>
        <v>--</v>
      </c>
      <c r="Q24" s="288" t="str">
        <f t="shared" si="3"/>
        <v>--</v>
      </c>
      <c r="R24" s="287" t="str">
        <f t="shared" si="16"/>
        <v>NO</v>
      </c>
      <c r="S24" s="151">
        <f t="shared" si="4"/>
        <v>0.30000000000000004</v>
      </c>
      <c r="T24" s="289">
        <f>IF(O24="P",J24*S24*ROUND(N24/60,2),"--")</f>
        <v>119.99712000000001</v>
      </c>
      <c r="U24" s="290" t="str">
        <f>IF(O24="RP",J24*S24*ROUND(N24/60,2)*Q24/100,"--")</f>
        <v>--</v>
      </c>
      <c r="V24" s="291" t="str">
        <f>IF(AND(O24="F",P24="NO"),J24*S24,"--")</f>
        <v>--</v>
      </c>
      <c r="W24" s="292" t="str">
        <f>IF(O24="F",J24*S24*ROUND(N24/60,2),"--")</f>
        <v>--</v>
      </c>
      <c r="X24" s="293" t="str">
        <f>IF(AND(O24="R",P24="NO"),J24*S24*Q24/100,"--")</f>
        <v>--</v>
      </c>
      <c r="Y24" s="294" t="str">
        <f>IF(O24="R",J24*S24*ROUND(N24/60,2)*Q24/100,"--")</f>
        <v>--</v>
      </c>
      <c r="Z24" s="295" t="str">
        <f>IF(O24="RF",J24*S24*ROUND(N24/60,2),"--")</f>
        <v>--</v>
      </c>
      <c r="AA24" s="296" t="str">
        <f>IF(O24="RR",J24*S24*ROUND(N24/60,2)*Q24/100,"--")</f>
        <v>--</v>
      </c>
      <c r="AB24" s="287" t="str">
        <f t="shared" si="13"/>
        <v>SI</v>
      </c>
      <c r="AC24" s="297">
        <f t="shared" si="14"/>
        <v>119.99712000000001</v>
      </c>
      <c r="AD24" s="217"/>
    </row>
    <row r="25" spans="2:30" s="10" customFormat="1" ht="17.1" customHeight="1">
      <c r="B25" s="216"/>
      <c r="C25" s="268">
        <v>8</v>
      </c>
      <c r="D25" s="268">
        <v>302562</v>
      </c>
      <c r="E25" s="268">
        <v>3287</v>
      </c>
      <c r="F25" s="125" t="s">
        <v>155</v>
      </c>
      <c r="G25" s="127" t="s">
        <v>158</v>
      </c>
      <c r="H25" s="281">
        <v>40</v>
      </c>
      <c r="I25" s="137" t="s">
        <v>137</v>
      </c>
      <c r="J25" s="283">
        <f>H25*$I$16</f>
        <v>76.47999999999999</v>
      </c>
      <c r="K25" s="284">
        <v>42500.50486111111</v>
      </c>
      <c r="L25" s="284">
        <v>42500.50625</v>
      </c>
      <c r="M25" s="285">
        <f aca="true" t="shared" si="17" ref="M25:M26">IF(F25="","",(L25-K25)*24)</f>
        <v>0.03333333326736465</v>
      </c>
      <c r="N25" s="286">
        <f aca="true" t="shared" si="18" ref="N25:N26">IF(F25="","",ROUND((L25-K25)*24*60,0))</f>
        <v>2</v>
      </c>
      <c r="O25" s="287" t="s">
        <v>139</v>
      </c>
      <c r="P25" s="288" t="str">
        <f t="shared" si="15"/>
        <v>NO</v>
      </c>
      <c r="Q25" s="288" t="str">
        <f t="shared" si="3"/>
        <v>--</v>
      </c>
      <c r="R25" s="287" t="s">
        <v>131</v>
      </c>
      <c r="S25" s="151">
        <f aca="true" t="shared" si="19" ref="S25">$I$17*IF(OR(O25="P",O25="RP"),0.1,1)*IF(R25="SI",1,0.1)</f>
        <v>30</v>
      </c>
      <c r="T25" s="289" t="str">
        <f>IF(O25="P",J25*S25*ROUND(N25/60,2),"--")</f>
        <v>--</v>
      </c>
      <c r="U25" s="290" t="str">
        <f>IF(O25="RP",J25*S25*ROUND(N25/60,2)*Q25/100,"--")</f>
        <v>--</v>
      </c>
      <c r="V25" s="291">
        <f>IF(AND(O25="F",P25="NO"),J25*S25,"--")</f>
        <v>2294.3999999999996</v>
      </c>
      <c r="W25" s="292">
        <f>IF(O25="F",J25*S25*ROUND(N25/60,2),"--")</f>
        <v>68.832</v>
      </c>
      <c r="X25" s="293" t="str">
        <f>IF(AND(O25="R",P25="NO"),J25*S25*Q25/100,"--")</f>
        <v>--</v>
      </c>
      <c r="Y25" s="294" t="str">
        <f>IF(O25="R",J25*S25*ROUND(N25/60,2)*Q25/100,"--")</f>
        <v>--</v>
      </c>
      <c r="Z25" s="295" t="str">
        <f>IF(O25="RF",J25*S25*ROUND(N25/60,2),"--")</f>
        <v>--</v>
      </c>
      <c r="AA25" s="296" t="str">
        <f>IF(O25="RR",J25*S25*ROUND(N25/60,2)*Q25/100,"--")</f>
        <v>--</v>
      </c>
      <c r="AB25" s="287" t="str">
        <f aca="true" t="shared" si="20" ref="AB25">IF(F25="","","SI")</f>
        <v>SI</v>
      </c>
      <c r="AC25" s="297">
        <f aca="true" t="shared" si="21" ref="AC25">IF(F25="","",SUM(T25:AA25)*IF(AB25="SI",1,2))</f>
        <v>2363.2319999999995</v>
      </c>
      <c r="AD25" s="217"/>
    </row>
    <row r="26" spans="2:30" s="10" customFormat="1" ht="17.1" customHeight="1">
      <c r="B26" s="216"/>
      <c r="C26" s="268">
        <v>9</v>
      </c>
      <c r="D26" s="268">
        <v>302565</v>
      </c>
      <c r="E26" s="268">
        <v>5566</v>
      </c>
      <c r="F26" s="125" t="s">
        <v>154</v>
      </c>
      <c r="G26" s="127" t="s">
        <v>159</v>
      </c>
      <c r="H26" s="281">
        <v>45</v>
      </c>
      <c r="I26" s="137" t="s">
        <v>137</v>
      </c>
      <c r="J26" s="283">
        <f>H26*$I$16</f>
        <v>86.03999999999999</v>
      </c>
      <c r="K26" s="284">
        <v>42473.55416666667</v>
      </c>
      <c r="L26" s="284">
        <v>42473.72430555556</v>
      </c>
      <c r="M26" s="285">
        <f t="shared" si="17"/>
        <v>4.083333333372138</v>
      </c>
      <c r="N26" s="286">
        <f t="shared" si="18"/>
        <v>245</v>
      </c>
      <c r="O26" s="287" t="s">
        <v>136</v>
      </c>
      <c r="P26" s="288" t="str">
        <f t="shared" si="15"/>
        <v>--</v>
      </c>
      <c r="Q26" s="288">
        <v>50</v>
      </c>
      <c r="R26" s="287" t="s">
        <v>147</v>
      </c>
      <c r="S26" s="151">
        <f aca="true" t="shared" si="22" ref="S26">$I$17*IF(OR(O26="P",O26="RP"),0.1,1)*IF(R26="SI",1,0.1)</f>
        <v>0.30000000000000004</v>
      </c>
      <c r="T26" s="289" t="str">
        <f>IF(O26="P",J26*S26*ROUND(N26/60,2),"--")</f>
        <v>--</v>
      </c>
      <c r="U26" s="290">
        <f>IF(O26="RP",J26*S26*ROUND(N26/60,2)*Q26/100,"--")</f>
        <v>52.65648</v>
      </c>
      <c r="V26" s="291" t="str">
        <f>IF(AND(O26="F",P26="NO"),J26*S26,"--")</f>
        <v>--</v>
      </c>
      <c r="W26" s="292" t="str">
        <f>IF(O26="F",J26*S26*ROUND(N26/60,2),"--")</f>
        <v>--</v>
      </c>
      <c r="X26" s="293" t="str">
        <f>IF(AND(O26="R",P26="NO"),J26*S26*Q26/100,"--")</f>
        <v>--</v>
      </c>
      <c r="Y26" s="294" t="str">
        <f>IF(O26="R",J26*S26*ROUND(N26/60,2)*Q26/100,"--")</f>
        <v>--</v>
      </c>
      <c r="Z26" s="295" t="str">
        <f>IF(O26="RF",J26*S26*ROUND(N26/60,2),"--")</f>
        <v>--</v>
      </c>
      <c r="AA26" s="296" t="str">
        <f>IF(O26="RR",J26*S26*ROUND(N26/60,2)*Q26/100,"--")</f>
        <v>--</v>
      </c>
      <c r="AB26" s="287" t="str">
        <f aca="true" t="shared" si="23" ref="AB26">IF(F26="","","SI")</f>
        <v>SI</v>
      </c>
      <c r="AC26" s="297">
        <f aca="true" t="shared" si="24" ref="AC26">IF(F26="","",SUM(T26:AA26)*IF(AB26="SI",1,2))</f>
        <v>52.65648</v>
      </c>
      <c r="AD26" s="217"/>
    </row>
    <row r="27" spans="2:30" s="10" customFormat="1" ht="17.1" customHeight="1">
      <c r="B27" s="216"/>
      <c r="C27" s="268">
        <v>10</v>
      </c>
      <c r="D27" s="268">
        <v>302889</v>
      </c>
      <c r="E27" s="268">
        <v>874</v>
      </c>
      <c r="F27" s="125" t="s">
        <v>154</v>
      </c>
      <c r="G27" s="127" t="s">
        <v>160</v>
      </c>
      <c r="H27" s="281">
        <v>15</v>
      </c>
      <c r="I27" s="421" t="s">
        <v>161</v>
      </c>
      <c r="J27" s="283">
        <f t="shared" si="0"/>
        <v>28.68</v>
      </c>
      <c r="K27" s="284">
        <v>42510.42986111111</v>
      </c>
      <c r="L27" s="284">
        <v>42511.73402777778</v>
      </c>
      <c r="M27" s="285">
        <f t="shared" si="1"/>
        <v>31.300000000046566</v>
      </c>
      <c r="N27" s="286">
        <f t="shared" si="2"/>
        <v>1878</v>
      </c>
      <c r="O27" s="287" t="s">
        <v>130</v>
      </c>
      <c r="P27" s="288" t="str">
        <f t="shared" si="15"/>
        <v>--</v>
      </c>
      <c r="Q27" s="288" t="str">
        <f t="shared" si="3"/>
        <v>--</v>
      </c>
      <c r="R27" s="287" t="str">
        <f t="shared" si="16"/>
        <v>NO</v>
      </c>
      <c r="S27" s="151">
        <f t="shared" si="4"/>
        <v>0.30000000000000004</v>
      </c>
      <c r="T27" s="289">
        <f t="shared" si="5"/>
        <v>269.3052</v>
      </c>
      <c r="U27" s="290" t="str">
        <f t="shared" si="6"/>
        <v>--</v>
      </c>
      <c r="V27" s="291" t="str">
        <f t="shared" si="7"/>
        <v>--</v>
      </c>
      <c r="W27" s="292" t="str">
        <f t="shared" si="8"/>
        <v>--</v>
      </c>
      <c r="X27" s="293" t="str">
        <f t="shared" si="9"/>
        <v>--</v>
      </c>
      <c r="Y27" s="294" t="str">
        <f t="shared" si="10"/>
        <v>--</v>
      </c>
      <c r="Z27" s="295" t="str">
        <f t="shared" si="11"/>
        <v>--</v>
      </c>
      <c r="AA27" s="296" t="str">
        <f t="shared" si="12"/>
        <v>--</v>
      </c>
      <c r="AB27" s="287" t="str">
        <f t="shared" si="13"/>
        <v>SI</v>
      </c>
      <c r="AC27" s="297">
        <f t="shared" si="14"/>
        <v>269.3052</v>
      </c>
      <c r="AD27" s="217"/>
    </row>
    <row r="28" spans="2:30" s="10" customFormat="1" ht="17.1" customHeight="1">
      <c r="B28" s="216"/>
      <c r="C28" s="268">
        <v>11</v>
      </c>
      <c r="D28" s="268">
        <v>301343</v>
      </c>
      <c r="E28" s="268">
        <v>4663</v>
      </c>
      <c r="F28" s="125" t="s">
        <v>162</v>
      </c>
      <c r="G28" s="127" t="s">
        <v>145</v>
      </c>
      <c r="H28" s="281">
        <v>30</v>
      </c>
      <c r="I28" s="282" t="s">
        <v>137</v>
      </c>
      <c r="J28" s="283">
        <f t="shared" si="0"/>
        <v>57.36</v>
      </c>
      <c r="K28" s="284">
        <v>42477.31597222222</v>
      </c>
      <c r="L28" s="284">
        <v>42477.71319444444</v>
      </c>
      <c r="M28" s="285">
        <f t="shared" si="1"/>
        <v>9.533333333325572</v>
      </c>
      <c r="N28" s="286">
        <f t="shared" si="2"/>
        <v>572</v>
      </c>
      <c r="O28" s="287" t="s">
        <v>130</v>
      </c>
      <c r="P28" s="288" t="str">
        <f t="shared" si="15"/>
        <v>--</v>
      </c>
      <c r="Q28" s="288" t="str">
        <f t="shared" si="3"/>
        <v>--</v>
      </c>
      <c r="R28" s="287" t="str">
        <f t="shared" si="16"/>
        <v>NO</v>
      </c>
      <c r="S28" s="151">
        <f t="shared" si="4"/>
        <v>0.30000000000000004</v>
      </c>
      <c r="T28" s="289">
        <f t="shared" si="5"/>
        <v>163.99224</v>
      </c>
      <c r="U28" s="290" t="str">
        <f t="shared" si="6"/>
        <v>--</v>
      </c>
      <c r="V28" s="291" t="str">
        <f t="shared" si="7"/>
        <v>--</v>
      </c>
      <c r="W28" s="292" t="str">
        <f t="shared" si="8"/>
        <v>--</v>
      </c>
      <c r="X28" s="293" t="str">
        <f t="shared" si="9"/>
        <v>--</v>
      </c>
      <c r="Y28" s="294" t="str">
        <f t="shared" si="10"/>
        <v>--</v>
      </c>
      <c r="Z28" s="295" t="str">
        <f t="shared" si="11"/>
        <v>--</v>
      </c>
      <c r="AA28" s="296" t="str">
        <f t="shared" si="12"/>
        <v>--</v>
      </c>
      <c r="AB28" s="287" t="str">
        <f t="shared" si="13"/>
        <v>SI</v>
      </c>
      <c r="AC28" s="297">
        <f t="shared" si="14"/>
        <v>163.99224</v>
      </c>
      <c r="AD28" s="217"/>
    </row>
    <row r="29" spans="2:30" s="10" customFormat="1" ht="17.1" customHeight="1">
      <c r="B29" s="216"/>
      <c r="C29" s="268">
        <v>12</v>
      </c>
      <c r="D29" s="268">
        <v>302890</v>
      </c>
      <c r="E29" s="268">
        <v>4437</v>
      </c>
      <c r="F29" s="125" t="s">
        <v>138</v>
      </c>
      <c r="G29" s="127" t="s">
        <v>146</v>
      </c>
      <c r="H29" s="281">
        <v>15</v>
      </c>
      <c r="I29" s="282" t="s">
        <v>163</v>
      </c>
      <c r="J29" s="283">
        <f t="shared" si="0"/>
        <v>28.68</v>
      </c>
      <c r="K29" s="284">
        <v>42512.34097222222</v>
      </c>
      <c r="L29" s="284">
        <v>42512.555555555555</v>
      </c>
      <c r="M29" s="285">
        <f t="shared" si="1"/>
        <v>5.150000000023283</v>
      </c>
      <c r="N29" s="286">
        <f t="shared" si="2"/>
        <v>309</v>
      </c>
      <c r="O29" s="287" t="s">
        <v>130</v>
      </c>
      <c r="P29" s="288" t="str">
        <f t="shared" si="15"/>
        <v>--</v>
      </c>
      <c r="Q29" s="288" t="str">
        <f t="shared" si="3"/>
        <v>--</v>
      </c>
      <c r="R29" s="287" t="str">
        <f t="shared" si="16"/>
        <v>NO</v>
      </c>
      <c r="S29" s="151">
        <f aca="true" t="shared" si="25" ref="S29:S35">$I$17*IF(OR(O29="P",O29="RP"),0.1,1)*IF(R29="SI",1,0.1)</f>
        <v>0.30000000000000004</v>
      </c>
      <c r="T29" s="289">
        <f t="shared" si="5"/>
        <v>44.31060000000001</v>
      </c>
      <c r="U29" s="290" t="str">
        <f t="shared" si="6"/>
        <v>--</v>
      </c>
      <c r="V29" s="291" t="str">
        <f t="shared" si="7"/>
        <v>--</v>
      </c>
      <c r="W29" s="292" t="str">
        <f t="shared" si="8"/>
        <v>--</v>
      </c>
      <c r="X29" s="293" t="str">
        <f t="shared" si="9"/>
        <v>--</v>
      </c>
      <c r="Y29" s="294" t="str">
        <f t="shared" si="10"/>
        <v>--</v>
      </c>
      <c r="Z29" s="295" t="str">
        <f t="shared" si="11"/>
        <v>--</v>
      </c>
      <c r="AA29" s="296" t="str">
        <f t="shared" si="12"/>
        <v>--</v>
      </c>
      <c r="AB29" s="287" t="str">
        <f aca="true" t="shared" si="26" ref="AB29:AB35">IF(F29="","","SI")</f>
        <v>SI</v>
      </c>
      <c r="AC29" s="297">
        <f t="shared" si="14"/>
        <v>44.31060000000001</v>
      </c>
      <c r="AD29" s="217"/>
    </row>
    <row r="30" spans="2:30" s="10" customFormat="1" ht="17.1" customHeight="1">
      <c r="B30" s="216"/>
      <c r="C30" s="268">
        <v>13</v>
      </c>
      <c r="D30" s="268">
        <v>303243</v>
      </c>
      <c r="E30" s="268">
        <v>4269</v>
      </c>
      <c r="F30" s="125" t="s">
        <v>134</v>
      </c>
      <c r="G30" s="127" t="s">
        <v>165</v>
      </c>
      <c r="H30" s="281">
        <v>20</v>
      </c>
      <c r="I30" s="282" t="s">
        <v>164</v>
      </c>
      <c r="J30" s="283">
        <f t="shared" si="0"/>
        <v>38.239999999999995</v>
      </c>
      <c r="K30" s="284">
        <v>42520.45416666667</v>
      </c>
      <c r="L30" s="284">
        <v>42520.7625</v>
      </c>
      <c r="M30" s="285">
        <f t="shared" si="1"/>
        <v>7.39999999984866</v>
      </c>
      <c r="N30" s="286">
        <f t="shared" si="2"/>
        <v>444</v>
      </c>
      <c r="O30" s="287" t="s">
        <v>136</v>
      </c>
      <c r="P30" s="288" t="str">
        <f t="shared" si="15"/>
        <v>--</v>
      </c>
      <c r="Q30" s="288">
        <v>33</v>
      </c>
      <c r="R30" s="287" t="str">
        <f t="shared" si="16"/>
        <v>NO</v>
      </c>
      <c r="S30" s="151">
        <f t="shared" si="25"/>
        <v>0.30000000000000004</v>
      </c>
      <c r="T30" s="289" t="str">
        <f t="shared" si="5"/>
        <v>--</v>
      </c>
      <c r="U30" s="290">
        <f t="shared" si="6"/>
        <v>28.014623999999998</v>
      </c>
      <c r="V30" s="291" t="str">
        <f t="shared" si="7"/>
        <v>--</v>
      </c>
      <c r="W30" s="292" t="str">
        <f t="shared" si="8"/>
        <v>--</v>
      </c>
      <c r="X30" s="293" t="str">
        <f t="shared" si="9"/>
        <v>--</v>
      </c>
      <c r="Y30" s="294" t="str">
        <f t="shared" si="10"/>
        <v>--</v>
      </c>
      <c r="Z30" s="295" t="str">
        <f t="shared" si="11"/>
        <v>--</v>
      </c>
      <c r="AA30" s="296" t="str">
        <f t="shared" si="12"/>
        <v>--</v>
      </c>
      <c r="AB30" s="287" t="str">
        <f t="shared" si="26"/>
        <v>SI</v>
      </c>
      <c r="AC30" s="297">
        <f t="shared" si="14"/>
        <v>28.014623999999998</v>
      </c>
      <c r="AD30" s="217"/>
    </row>
    <row r="31" spans="2:30" s="10" customFormat="1" ht="17.1" customHeight="1">
      <c r="B31" s="216"/>
      <c r="C31" s="268">
        <v>14</v>
      </c>
      <c r="D31" s="268">
        <v>303244</v>
      </c>
      <c r="E31" s="268">
        <v>1023</v>
      </c>
      <c r="F31" s="125" t="s">
        <v>166</v>
      </c>
      <c r="G31" s="127" t="s">
        <v>165</v>
      </c>
      <c r="H31" s="281">
        <v>30</v>
      </c>
      <c r="I31" s="282" t="s">
        <v>164</v>
      </c>
      <c r="J31" s="283">
        <f t="shared" si="0"/>
        <v>57.36</v>
      </c>
      <c r="K31" s="284">
        <v>42521.44930555556</v>
      </c>
      <c r="L31" s="284">
        <v>42521.57986111111</v>
      </c>
      <c r="M31" s="285">
        <f t="shared" si="1"/>
        <v>3.1333333332440816</v>
      </c>
      <c r="N31" s="286">
        <f t="shared" si="2"/>
        <v>188</v>
      </c>
      <c r="O31" s="287" t="s">
        <v>136</v>
      </c>
      <c r="P31" s="288" t="str">
        <f t="shared" si="15"/>
        <v>--</v>
      </c>
      <c r="Q31" s="288">
        <v>60</v>
      </c>
      <c r="R31" s="287" t="str">
        <f t="shared" si="16"/>
        <v>NO</v>
      </c>
      <c r="S31" s="151">
        <f t="shared" si="25"/>
        <v>0.30000000000000004</v>
      </c>
      <c r="T31" s="289" t="str">
        <f t="shared" si="5"/>
        <v>--</v>
      </c>
      <c r="U31" s="290">
        <f t="shared" si="6"/>
        <v>32.316624000000004</v>
      </c>
      <c r="V31" s="291" t="str">
        <f t="shared" si="7"/>
        <v>--</v>
      </c>
      <c r="W31" s="292" t="str">
        <f t="shared" si="8"/>
        <v>--</v>
      </c>
      <c r="X31" s="293" t="str">
        <f t="shared" si="9"/>
        <v>--</v>
      </c>
      <c r="Y31" s="294" t="str">
        <f t="shared" si="10"/>
        <v>--</v>
      </c>
      <c r="Z31" s="295" t="str">
        <f t="shared" si="11"/>
        <v>--</v>
      </c>
      <c r="AA31" s="296" t="str">
        <f t="shared" si="12"/>
        <v>--</v>
      </c>
      <c r="AB31" s="287" t="str">
        <f t="shared" si="26"/>
        <v>SI</v>
      </c>
      <c r="AC31" s="297">
        <f t="shared" si="14"/>
        <v>32.316624000000004</v>
      </c>
      <c r="AD31" s="217"/>
    </row>
    <row r="32" spans="2:30" s="10" customFormat="1" ht="17.1" customHeight="1">
      <c r="B32" s="216"/>
      <c r="C32" s="268"/>
      <c r="D32" s="268"/>
      <c r="E32" s="268"/>
      <c r="F32" s="125"/>
      <c r="G32" s="127"/>
      <c r="H32" s="281"/>
      <c r="I32" s="282"/>
      <c r="J32" s="283">
        <f t="shared" si="0"/>
        <v>0</v>
      </c>
      <c r="K32" s="284"/>
      <c r="L32" s="284"/>
      <c r="M32" s="285" t="str">
        <f t="shared" si="1"/>
        <v/>
      </c>
      <c r="N32" s="286" t="str">
        <f t="shared" si="2"/>
        <v/>
      </c>
      <c r="O32" s="287"/>
      <c r="P32" s="288" t="str">
        <f t="shared" si="15"/>
        <v/>
      </c>
      <c r="Q32" s="288" t="str">
        <f t="shared" si="3"/>
        <v/>
      </c>
      <c r="R32" s="287" t="str">
        <f t="shared" si="16"/>
        <v/>
      </c>
      <c r="S32" s="151">
        <f t="shared" si="25"/>
        <v>3</v>
      </c>
      <c r="T32" s="289" t="str">
        <f t="shared" si="5"/>
        <v>--</v>
      </c>
      <c r="U32" s="290" t="str">
        <f t="shared" si="6"/>
        <v>--</v>
      </c>
      <c r="V32" s="291" t="str">
        <f t="shared" si="7"/>
        <v>--</v>
      </c>
      <c r="W32" s="292" t="str">
        <f t="shared" si="8"/>
        <v>--</v>
      </c>
      <c r="X32" s="293" t="str">
        <f t="shared" si="9"/>
        <v>--</v>
      </c>
      <c r="Y32" s="294" t="str">
        <f t="shared" si="10"/>
        <v>--</v>
      </c>
      <c r="Z32" s="295" t="str">
        <f t="shared" si="11"/>
        <v>--</v>
      </c>
      <c r="AA32" s="296" t="str">
        <f t="shared" si="12"/>
        <v>--</v>
      </c>
      <c r="AB32" s="287" t="str">
        <f t="shared" si="26"/>
        <v/>
      </c>
      <c r="AC32" s="297" t="str">
        <f t="shared" si="14"/>
        <v/>
      </c>
      <c r="AD32" s="217"/>
    </row>
    <row r="33" spans="2:30" s="10" customFormat="1" ht="17.1" customHeight="1">
      <c r="B33" s="216"/>
      <c r="C33" s="268"/>
      <c r="D33" s="268"/>
      <c r="E33" s="268"/>
      <c r="F33" s="125"/>
      <c r="G33" s="127"/>
      <c r="H33" s="281"/>
      <c r="I33" s="282"/>
      <c r="J33" s="283">
        <f t="shared" si="0"/>
        <v>0</v>
      </c>
      <c r="K33" s="284"/>
      <c r="L33" s="284"/>
      <c r="M33" s="285" t="str">
        <f t="shared" si="1"/>
        <v/>
      </c>
      <c r="N33" s="286" t="str">
        <f t="shared" si="2"/>
        <v/>
      </c>
      <c r="O33" s="287"/>
      <c r="P33" s="288" t="str">
        <f t="shared" si="15"/>
        <v/>
      </c>
      <c r="Q33" s="288" t="str">
        <f t="shared" si="3"/>
        <v/>
      </c>
      <c r="R33" s="287" t="str">
        <f t="shared" si="16"/>
        <v/>
      </c>
      <c r="S33" s="151">
        <f t="shared" si="25"/>
        <v>3</v>
      </c>
      <c r="T33" s="289" t="str">
        <f t="shared" si="5"/>
        <v>--</v>
      </c>
      <c r="U33" s="290" t="str">
        <f t="shared" si="6"/>
        <v>--</v>
      </c>
      <c r="V33" s="291" t="str">
        <f t="shared" si="7"/>
        <v>--</v>
      </c>
      <c r="W33" s="292" t="str">
        <f t="shared" si="8"/>
        <v>--</v>
      </c>
      <c r="X33" s="293" t="str">
        <f t="shared" si="9"/>
        <v>--</v>
      </c>
      <c r="Y33" s="294" t="str">
        <f t="shared" si="10"/>
        <v>--</v>
      </c>
      <c r="Z33" s="295" t="str">
        <f t="shared" si="11"/>
        <v>--</v>
      </c>
      <c r="AA33" s="296" t="str">
        <f t="shared" si="12"/>
        <v>--</v>
      </c>
      <c r="AB33" s="287" t="str">
        <f t="shared" si="26"/>
        <v/>
      </c>
      <c r="AC33" s="297" t="str">
        <f t="shared" si="14"/>
        <v/>
      </c>
      <c r="AD33" s="217"/>
    </row>
    <row r="34" spans="2:30" s="10" customFormat="1" ht="17.1" customHeight="1">
      <c r="B34" s="216"/>
      <c r="C34" s="268"/>
      <c r="D34" s="268"/>
      <c r="E34" s="268"/>
      <c r="F34" s="125"/>
      <c r="G34" s="127"/>
      <c r="H34" s="281"/>
      <c r="I34" s="137"/>
      <c r="J34" s="283">
        <f t="shared" si="0"/>
        <v>0</v>
      </c>
      <c r="K34" s="284"/>
      <c r="L34" s="284"/>
      <c r="M34" s="285" t="str">
        <f t="shared" si="1"/>
        <v/>
      </c>
      <c r="N34" s="286" t="str">
        <f t="shared" si="2"/>
        <v/>
      </c>
      <c r="O34" s="287"/>
      <c r="P34" s="288" t="str">
        <f t="shared" si="15"/>
        <v/>
      </c>
      <c r="Q34" s="288" t="str">
        <f t="shared" si="3"/>
        <v/>
      </c>
      <c r="R34" s="287" t="str">
        <f t="shared" si="16"/>
        <v/>
      </c>
      <c r="S34" s="151">
        <f t="shared" si="25"/>
        <v>3</v>
      </c>
      <c r="T34" s="289" t="str">
        <f t="shared" si="5"/>
        <v>--</v>
      </c>
      <c r="U34" s="290" t="str">
        <f t="shared" si="6"/>
        <v>--</v>
      </c>
      <c r="V34" s="291" t="str">
        <f t="shared" si="7"/>
        <v>--</v>
      </c>
      <c r="W34" s="292" t="str">
        <f t="shared" si="8"/>
        <v>--</v>
      </c>
      <c r="X34" s="293" t="str">
        <f t="shared" si="9"/>
        <v>--</v>
      </c>
      <c r="Y34" s="294" t="str">
        <f t="shared" si="10"/>
        <v>--</v>
      </c>
      <c r="Z34" s="295" t="str">
        <f t="shared" si="11"/>
        <v>--</v>
      </c>
      <c r="AA34" s="296" t="str">
        <f t="shared" si="12"/>
        <v>--</v>
      </c>
      <c r="AB34" s="287" t="str">
        <f t="shared" si="26"/>
        <v/>
      </c>
      <c r="AC34" s="297" t="str">
        <f t="shared" si="14"/>
        <v/>
      </c>
      <c r="AD34" s="217"/>
    </row>
    <row r="35" spans="2:30" s="10" customFormat="1" ht="17.1" customHeight="1">
      <c r="B35" s="216"/>
      <c r="C35" s="268"/>
      <c r="D35" s="268"/>
      <c r="E35" s="268"/>
      <c r="F35" s="125"/>
      <c r="G35" s="127"/>
      <c r="H35" s="281"/>
      <c r="I35" s="282"/>
      <c r="J35" s="283">
        <f t="shared" si="0"/>
        <v>0</v>
      </c>
      <c r="K35" s="284"/>
      <c r="L35" s="284"/>
      <c r="M35" s="285"/>
      <c r="N35" s="286"/>
      <c r="O35" s="287"/>
      <c r="P35" s="288" t="str">
        <f t="shared" si="15"/>
        <v/>
      </c>
      <c r="Q35" s="288" t="str">
        <f t="shared" si="3"/>
        <v/>
      </c>
      <c r="R35" s="287" t="str">
        <f t="shared" si="16"/>
        <v/>
      </c>
      <c r="S35" s="151">
        <f t="shared" si="25"/>
        <v>3</v>
      </c>
      <c r="T35" s="289" t="str">
        <f t="shared" si="5"/>
        <v>--</v>
      </c>
      <c r="U35" s="290" t="str">
        <f t="shared" si="6"/>
        <v>--</v>
      </c>
      <c r="V35" s="291" t="str">
        <f t="shared" si="7"/>
        <v>--</v>
      </c>
      <c r="W35" s="292" t="str">
        <f t="shared" si="8"/>
        <v>--</v>
      </c>
      <c r="X35" s="293" t="str">
        <f t="shared" si="9"/>
        <v>--</v>
      </c>
      <c r="Y35" s="294" t="str">
        <f t="shared" si="10"/>
        <v>--</v>
      </c>
      <c r="Z35" s="295" t="str">
        <f t="shared" si="11"/>
        <v>--</v>
      </c>
      <c r="AA35" s="296" t="str">
        <f t="shared" si="12"/>
        <v>--</v>
      </c>
      <c r="AB35" s="287" t="str">
        <f t="shared" si="26"/>
        <v/>
      </c>
      <c r="AC35" s="297" t="str">
        <f aca="true" t="shared" si="27" ref="AC35:AC38">IF(F35="","",SUM(T35:AA35)*IF(AB35="SI",1,2))</f>
        <v/>
      </c>
      <c r="AD35" s="217"/>
    </row>
    <row r="36" spans="2:30" s="10" customFormat="1" ht="17.1" customHeight="1">
      <c r="B36" s="216"/>
      <c r="C36" s="268"/>
      <c r="D36" s="268"/>
      <c r="E36" s="268"/>
      <c r="F36" s="125"/>
      <c r="G36" s="127"/>
      <c r="H36" s="281"/>
      <c r="I36" s="282"/>
      <c r="J36" s="283">
        <f t="shared" si="0"/>
        <v>0</v>
      </c>
      <c r="K36" s="284"/>
      <c r="L36" s="284"/>
      <c r="M36" s="285"/>
      <c r="N36" s="286"/>
      <c r="O36" s="287"/>
      <c r="P36" s="288" t="str">
        <f aca="true" t="shared" si="28" ref="P36:P38">IF(F36="","",IF(OR(O36="P",O36="RP"),"--","NO"))</f>
        <v/>
      </c>
      <c r="Q36" s="288" t="str">
        <f aca="true" t="shared" si="29" ref="Q36:Q38">IF(F36="","","--")</f>
        <v/>
      </c>
      <c r="R36" s="287" t="str">
        <f aca="true" t="shared" si="30" ref="R36:R38">IF(F36="","","NO")</f>
        <v/>
      </c>
      <c r="S36" s="151">
        <f t="shared" si="4"/>
        <v>3</v>
      </c>
      <c r="T36" s="289" t="str">
        <f aca="true" t="shared" si="31" ref="T36:T38">IF(O36="P",J36*S36*ROUND(N36/60,2),"--")</f>
        <v>--</v>
      </c>
      <c r="U36" s="290" t="str">
        <f aca="true" t="shared" si="32" ref="U36:U38">IF(O36="RP",J36*S36*ROUND(N36/60,2)*Q36/100,"--")</f>
        <v>--</v>
      </c>
      <c r="V36" s="291" t="str">
        <f aca="true" t="shared" si="33" ref="V36:V38">IF(AND(O36="F",P36="NO"),J36*S36,"--")</f>
        <v>--</v>
      </c>
      <c r="W36" s="292" t="str">
        <f aca="true" t="shared" si="34" ref="W36:W38">IF(O36="F",J36*S36*ROUND(N36/60,2),"--")</f>
        <v>--</v>
      </c>
      <c r="X36" s="293" t="str">
        <f aca="true" t="shared" si="35" ref="X36:X38">IF(AND(O36="R",P36="NO"),J36*S36*Q36/100,"--")</f>
        <v>--</v>
      </c>
      <c r="Y36" s="294" t="str">
        <f aca="true" t="shared" si="36" ref="Y36:Y38">IF(O36="R",J36*S36*ROUND(N36/60,2)*Q36/100,"--")</f>
        <v>--</v>
      </c>
      <c r="Z36" s="295" t="str">
        <f aca="true" t="shared" si="37" ref="Z36:Z38">IF(O36="RF",J36*S36*ROUND(N36/60,2),"--")</f>
        <v>--</v>
      </c>
      <c r="AA36" s="296" t="str">
        <f aca="true" t="shared" si="38" ref="AA36:AA38">IF(O36="RR",J36*S36*ROUND(N36/60,2)*Q36/100,"--")</f>
        <v>--</v>
      </c>
      <c r="AB36" s="287" t="str">
        <f t="shared" si="13"/>
        <v/>
      </c>
      <c r="AC36" s="297" t="str">
        <f t="shared" si="27"/>
        <v/>
      </c>
      <c r="AD36" s="217"/>
    </row>
    <row r="37" spans="2:30" s="10" customFormat="1" ht="17.1" customHeight="1">
      <c r="B37" s="216"/>
      <c r="C37" s="268"/>
      <c r="D37" s="268"/>
      <c r="E37" s="268"/>
      <c r="F37" s="125"/>
      <c r="G37" s="127"/>
      <c r="H37" s="281"/>
      <c r="I37" s="282"/>
      <c r="J37" s="283">
        <f t="shared" si="0"/>
        <v>0</v>
      </c>
      <c r="K37" s="284"/>
      <c r="L37" s="284"/>
      <c r="M37" s="285"/>
      <c r="N37" s="286"/>
      <c r="O37" s="287"/>
      <c r="P37" s="288" t="str">
        <f t="shared" si="28"/>
        <v/>
      </c>
      <c r="Q37" s="288" t="str">
        <f t="shared" si="29"/>
        <v/>
      </c>
      <c r="R37" s="287" t="str">
        <f t="shared" si="30"/>
        <v/>
      </c>
      <c r="S37" s="151">
        <f t="shared" si="4"/>
        <v>3</v>
      </c>
      <c r="T37" s="289" t="str">
        <f t="shared" si="31"/>
        <v>--</v>
      </c>
      <c r="U37" s="290" t="str">
        <f t="shared" si="32"/>
        <v>--</v>
      </c>
      <c r="V37" s="291" t="str">
        <f t="shared" si="33"/>
        <v>--</v>
      </c>
      <c r="W37" s="292" t="str">
        <f t="shared" si="34"/>
        <v>--</v>
      </c>
      <c r="X37" s="293" t="str">
        <f t="shared" si="35"/>
        <v>--</v>
      </c>
      <c r="Y37" s="294" t="str">
        <f t="shared" si="36"/>
        <v>--</v>
      </c>
      <c r="Z37" s="295" t="str">
        <f t="shared" si="37"/>
        <v>--</v>
      </c>
      <c r="AA37" s="296" t="str">
        <f t="shared" si="38"/>
        <v>--</v>
      </c>
      <c r="AB37" s="287" t="str">
        <f t="shared" si="13"/>
        <v/>
      </c>
      <c r="AC37" s="297" t="str">
        <f t="shared" si="27"/>
        <v/>
      </c>
      <c r="AD37" s="217"/>
    </row>
    <row r="38" spans="2:30" s="10" customFormat="1" ht="17.1" customHeight="1">
      <c r="B38" s="216"/>
      <c r="C38" s="268"/>
      <c r="D38" s="268"/>
      <c r="E38" s="268"/>
      <c r="F38" s="125"/>
      <c r="G38" s="127"/>
      <c r="H38" s="281"/>
      <c r="I38" s="137"/>
      <c r="J38" s="283">
        <f t="shared" si="0"/>
        <v>0</v>
      </c>
      <c r="K38" s="284"/>
      <c r="L38" s="284"/>
      <c r="M38" s="285"/>
      <c r="N38" s="286"/>
      <c r="O38" s="287"/>
      <c r="P38" s="288" t="str">
        <f t="shared" si="28"/>
        <v/>
      </c>
      <c r="Q38" s="288" t="str">
        <f t="shared" si="29"/>
        <v/>
      </c>
      <c r="R38" s="287" t="str">
        <f t="shared" si="30"/>
        <v/>
      </c>
      <c r="S38" s="151">
        <f t="shared" si="4"/>
        <v>3</v>
      </c>
      <c r="T38" s="289" t="str">
        <f t="shared" si="31"/>
        <v>--</v>
      </c>
      <c r="U38" s="290" t="str">
        <f t="shared" si="32"/>
        <v>--</v>
      </c>
      <c r="V38" s="291" t="str">
        <f t="shared" si="33"/>
        <v>--</v>
      </c>
      <c r="W38" s="292" t="str">
        <f t="shared" si="34"/>
        <v>--</v>
      </c>
      <c r="X38" s="293" t="str">
        <f t="shared" si="35"/>
        <v>--</v>
      </c>
      <c r="Y38" s="294" t="str">
        <f t="shared" si="36"/>
        <v>--</v>
      </c>
      <c r="Z38" s="295" t="str">
        <f t="shared" si="37"/>
        <v>--</v>
      </c>
      <c r="AA38" s="296" t="str">
        <f t="shared" si="38"/>
        <v>--</v>
      </c>
      <c r="AB38" s="287" t="str">
        <f t="shared" si="13"/>
        <v/>
      </c>
      <c r="AC38" s="297" t="str">
        <f t="shared" si="27"/>
        <v/>
      </c>
      <c r="AD38" s="217"/>
    </row>
    <row r="39" spans="2:30" s="10" customFormat="1" ht="17.1" customHeight="1">
      <c r="B39" s="216"/>
      <c r="C39" s="268"/>
      <c r="D39" s="268"/>
      <c r="E39" s="268"/>
      <c r="F39" s="125"/>
      <c r="G39" s="127"/>
      <c r="H39" s="281"/>
      <c r="I39" s="282"/>
      <c r="J39" s="283">
        <f t="shared" si="0"/>
        <v>0</v>
      </c>
      <c r="K39" s="284"/>
      <c r="L39" s="284"/>
      <c r="M39" s="285" t="str">
        <f t="shared" si="1"/>
        <v/>
      </c>
      <c r="N39" s="286" t="str">
        <f t="shared" si="2"/>
        <v/>
      </c>
      <c r="O39" s="287"/>
      <c r="P39" s="288" t="str">
        <f t="shared" si="15"/>
        <v/>
      </c>
      <c r="Q39" s="288" t="str">
        <f aca="true" t="shared" si="39" ref="Q39:Q46">IF(F39="","","--")</f>
        <v/>
      </c>
      <c r="R39" s="287" t="str">
        <f t="shared" si="16"/>
        <v/>
      </c>
      <c r="S39" s="151">
        <f aca="true" t="shared" si="40" ref="S39:S46">$I$17*IF(OR(O39="P",O39="RP"),0.1,1)*IF(R39="SI",1,0.1)</f>
        <v>3</v>
      </c>
      <c r="T39" s="289" t="str">
        <f t="shared" si="5"/>
        <v>--</v>
      </c>
      <c r="U39" s="290" t="str">
        <f t="shared" si="6"/>
        <v>--</v>
      </c>
      <c r="V39" s="291" t="str">
        <f t="shared" si="7"/>
        <v>--</v>
      </c>
      <c r="W39" s="292" t="str">
        <f t="shared" si="8"/>
        <v>--</v>
      </c>
      <c r="X39" s="293" t="str">
        <f t="shared" si="9"/>
        <v>--</v>
      </c>
      <c r="Y39" s="294" t="str">
        <f t="shared" si="10"/>
        <v>--</v>
      </c>
      <c r="Z39" s="295" t="str">
        <f t="shared" si="11"/>
        <v>--</v>
      </c>
      <c r="AA39" s="296" t="str">
        <f t="shared" si="12"/>
        <v>--</v>
      </c>
      <c r="AB39" s="287" t="str">
        <f>IF(F39="","","SI")</f>
        <v/>
      </c>
      <c r="AC39" s="297" t="str">
        <f t="shared" si="14"/>
        <v/>
      </c>
      <c r="AD39" s="217"/>
    </row>
    <row r="40" spans="2:30" s="10" customFormat="1" ht="17.1" customHeight="1">
      <c r="B40" s="216"/>
      <c r="C40" s="268"/>
      <c r="D40" s="268"/>
      <c r="E40" s="268"/>
      <c r="F40" s="125"/>
      <c r="G40" s="127"/>
      <c r="H40" s="281"/>
      <c r="I40" s="282"/>
      <c r="J40" s="283">
        <f t="shared" si="0"/>
        <v>0</v>
      </c>
      <c r="K40" s="284"/>
      <c r="L40" s="284"/>
      <c r="M40" s="285" t="str">
        <f t="shared" si="1"/>
        <v/>
      </c>
      <c r="N40" s="286" t="str">
        <f t="shared" si="2"/>
        <v/>
      </c>
      <c r="O40" s="287"/>
      <c r="P40" s="288" t="str">
        <f t="shared" si="15"/>
        <v/>
      </c>
      <c r="Q40" s="288" t="str">
        <f t="shared" si="39"/>
        <v/>
      </c>
      <c r="R40" s="287" t="str">
        <f t="shared" si="16"/>
        <v/>
      </c>
      <c r="S40" s="151">
        <f t="shared" si="40"/>
        <v>3</v>
      </c>
      <c r="T40" s="289" t="str">
        <f aca="true" t="shared" si="41" ref="T40:T46">IF(O40="P",J40*S40*ROUND(N40/60,2),"--")</f>
        <v>--</v>
      </c>
      <c r="U40" s="290" t="str">
        <f t="shared" si="6"/>
        <v>--</v>
      </c>
      <c r="V40" s="291" t="str">
        <f t="shared" si="7"/>
        <v>--</v>
      </c>
      <c r="W40" s="292" t="str">
        <f t="shared" si="8"/>
        <v>--</v>
      </c>
      <c r="X40" s="293" t="str">
        <f t="shared" si="9"/>
        <v>--</v>
      </c>
      <c r="Y40" s="294" t="str">
        <f t="shared" si="10"/>
        <v>--</v>
      </c>
      <c r="Z40" s="295" t="str">
        <f t="shared" si="11"/>
        <v>--</v>
      </c>
      <c r="AA40" s="296" t="str">
        <f t="shared" si="12"/>
        <v>--</v>
      </c>
      <c r="AB40" s="287" t="str">
        <f aca="true" t="shared" si="42" ref="AB40:AB46">IF(F40="","","SI")</f>
        <v/>
      </c>
      <c r="AC40" s="297" t="str">
        <f t="shared" si="14"/>
        <v/>
      </c>
      <c r="AD40" s="217"/>
    </row>
    <row r="41" spans="2:30" s="10" customFormat="1" ht="17.1" customHeight="1">
      <c r="B41" s="216"/>
      <c r="C41" s="268"/>
      <c r="D41" s="268"/>
      <c r="E41" s="268"/>
      <c r="F41" s="125"/>
      <c r="G41" s="127"/>
      <c r="H41" s="281"/>
      <c r="I41" s="282"/>
      <c r="J41" s="283">
        <f aca="true" t="shared" si="43" ref="J41:J46">H41*$I$16</f>
        <v>0</v>
      </c>
      <c r="K41" s="284"/>
      <c r="L41" s="284"/>
      <c r="M41" s="285" t="str">
        <f t="shared" si="1"/>
        <v/>
      </c>
      <c r="N41" s="286" t="str">
        <f t="shared" si="2"/>
        <v/>
      </c>
      <c r="O41" s="287"/>
      <c r="P41" s="288" t="str">
        <f t="shared" si="15"/>
        <v/>
      </c>
      <c r="Q41" s="288" t="str">
        <f t="shared" si="39"/>
        <v/>
      </c>
      <c r="R41" s="287" t="str">
        <f t="shared" si="16"/>
        <v/>
      </c>
      <c r="S41" s="151">
        <f t="shared" si="40"/>
        <v>3</v>
      </c>
      <c r="T41" s="289" t="str">
        <f t="shared" si="41"/>
        <v>--</v>
      </c>
      <c r="U41" s="290" t="str">
        <f t="shared" si="6"/>
        <v>--</v>
      </c>
      <c r="V41" s="291" t="str">
        <f t="shared" si="7"/>
        <v>--</v>
      </c>
      <c r="W41" s="292" t="str">
        <f t="shared" si="8"/>
        <v>--</v>
      </c>
      <c r="X41" s="293" t="str">
        <f t="shared" si="9"/>
        <v>--</v>
      </c>
      <c r="Y41" s="294" t="str">
        <f t="shared" si="10"/>
        <v>--</v>
      </c>
      <c r="Z41" s="295" t="str">
        <f t="shared" si="11"/>
        <v>--</v>
      </c>
      <c r="AA41" s="296" t="str">
        <f t="shared" si="12"/>
        <v>--</v>
      </c>
      <c r="AB41" s="287" t="str">
        <f>IF(F41="","","SI")</f>
        <v/>
      </c>
      <c r="AC41" s="297" t="str">
        <f t="shared" si="14"/>
        <v/>
      </c>
      <c r="AD41" s="217"/>
    </row>
    <row r="42" spans="2:30" s="10" customFormat="1" ht="17.1" customHeight="1">
      <c r="B42" s="216"/>
      <c r="C42" s="268"/>
      <c r="D42" s="268"/>
      <c r="E42" s="268"/>
      <c r="F42" s="125"/>
      <c r="G42" s="127"/>
      <c r="H42" s="281"/>
      <c r="I42" s="282"/>
      <c r="J42" s="283">
        <f t="shared" si="43"/>
        <v>0</v>
      </c>
      <c r="K42" s="284"/>
      <c r="L42" s="284"/>
      <c r="M42" s="285" t="str">
        <f t="shared" si="1"/>
        <v/>
      </c>
      <c r="N42" s="286" t="str">
        <f t="shared" si="2"/>
        <v/>
      </c>
      <c r="O42" s="287"/>
      <c r="P42" s="288" t="str">
        <f t="shared" si="15"/>
        <v/>
      </c>
      <c r="Q42" s="288" t="str">
        <f t="shared" si="39"/>
        <v/>
      </c>
      <c r="R42" s="287" t="str">
        <f t="shared" si="16"/>
        <v/>
      </c>
      <c r="S42" s="151">
        <f t="shared" si="40"/>
        <v>3</v>
      </c>
      <c r="T42" s="289" t="str">
        <f t="shared" si="41"/>
        <v>--</v>
      </c>
      <c r="U42" s="290" t="str">
        <f t="shared" si="6"/>
        <v>--</v>
      </c>
      <c r="V42" s="291" t="str">
        <f t="shared" si="7"/>
        <v>--</v>
      </c>
      <c r="W42" s="292" t="str">
        <f t="shared" si="8"/>
        <v>--</v>
      </c>
      <c r="X42" s="293" t="str">
        <f t="shared" si="9"/>
        <v>--</v>
      </c>
      <c r="Y42" s="294" t="str">
        <f t="shared" si="10"/>
        <v>--</v>
      </c>
      <c r="Z42" s="295" t="str">
        <f t="shared" si="11"/>
        <v>--</v>
      </c>
      <c r="AA42" s="296" t="str">
        <f t="shared" si="12"/>
        <v>--</v>
      </c>
      <c r="AB42" s="287" t="str">
        <f t="shared" si="42"/>
        <v/>
      </c>
      <c r="AC42" s="297" t="str">
        <f t="shared" si="14"/>
        <v/>
      </c>
      <c r="AD42" s="217"/>
    </row>
    <row r="43" spans="2:30" s="10" customFormat="1" ht="17.1" customHeight="1">
      <c r="B43" s="216"/>
      <c r="C43" s="268"/>
      <c r="D43" s="268"/>
      <c r="E43" s="268"/>
      <c r="F43" s="125"/>
      <c r="G43" s="127"/>
      <c r="H43" s="281"/>
      <c r="I43" s="282"/>
      <c r="J43" s="283">
        <f t="shared" si="43"/>
        <v>0</v>
      </c>
      <c r="K43" s="284"/>
      <c r="L43" s="284"/>
      <c r="M43" s="285" t="str">
        <f t="shared" si="1"/>
        <v/>
      </c>
      <c r="N43" s="286" t="str">
        <f t="shared" si="2"/>
        <v/>
      </c>
      <c r="O43" s="287"/>
      <c r="P43" s="288" t="str">
        <f t="shared" si="15"/>
        <v/>
      </c>
      <c r="Q43" s="288" t="str">
        <f t="shared" si="39"/>
        <v/>
      </c>
      <c r="R43" s="287" t="str">
        <f t="shared" si="16"/>
        <v/>
      </c>
      <c r="S43" s="151">
        <f t="shared" si="40"/>
        <v>3</v>
      </c>
      <c r="T43" s="289" t="str">
        <f t="shared" si="41"/>
        <v>--</v>
      </c>
      <c r="U43" s="290" t="str">
        <f t="shared" si="6"/>
        <v>--</v>
      </c>
      <c r="V43" s="291" t="str">
        <f t="shared" si="7"/>
        <v>--</v>
      </c>
      <c r="W43" s="292" t="str">
        <f t="shared" si="8"/>
        <v>--</v>
      </c>
      <c r="X43" s="293" t="str">
        <f t="shared" si="9"/>
        <v>--</v>
      </c>
      <c r="Y43" s="294" t="str">
        <f t="shared" si="10"/>
        <v>--</v>
      </c>
      <c r="Z43" s="295" t="str">
        <f t="shared" si="11"/>
        <v>--</v>
      </c>
      <c r="AA43" s="296" t="str">
        <f t="shared" si="12"/>
        <v>--</v>
      </c>
      <c r="AB43" s="287" t="str">
        <f>IF(F43="","","SI")</f>
        <v/>
      </c>
      <c r="AC43" s="297" t="str">
        <f t="shared" si="14"/>
        <v/>
      </c>
      <c r="AD43" s="217"/>
    </row>
    <row r="44" spans="2:30" s="10" customFormat="1" ht="17.1" customHeight="1">
      <c r="B44" s="216"/>
      <c r="C44" s="268"/>
      <c r="D44" s="268"/>
      <c r="E44" s="268"/>
      <c r="F44" s="125"/>
      <c r="G44" s="127"/>
      <c r="H44" s="281"/>
      <c r="I44" s="282"/>
      <c r="J44" s="283">
        <f t="shared" si="43"/>
        <v>0</v>
      </c>
      <c r="K44" s="284"/>
      <c r="L44" s="284"/>
      <c r="M44" s="285" t="str">
        <f t="shared" si="1"/>
        <v/>
      </c>
      <c r="N44" s="286" t="str">
        <f t="shared" si="2"/>
        <v/>
      </c>
      <c r="O44" s="287"/>
      <c r="P44" s="288" t="str">
        <f t="shared" si="15"/>
        <v/>
      </c>
      <c r="Q44" s="288" t="str">
        <f t="shared" si="39"/>
        <v/>
      </c>
      <c r="R44" s="287" t="str">
        <f t="shared" si="16"/>
        <v/>
      </c>
      <c r="S44" s="151">
        <f t="shared" si="40"/>
        <v>3</v>
      </c>
      <c r="T44" s="289" t="str">
        <f t="shared" si="41"/>
        <v>--</v>
      </c>
      <c r="U44" s="290" t="str">
        <f t="shared" si="6"/>
        <v>--</v>
      </c>
      <c r="V44" s="291" t="str">
        <f t="shared" si="7"/>
        <v>--</v>
      </c>
      <c r="W44" s="292" t="str">
        <f t="shared" si="8"/>
        <v>--</v>
      </c>
      <c r="X44" s="293" t="str">
        <f t="shared" si="9"/>
        <v>--</v>
      </c>
      <c r="Y44" s="294" t="str">
        <f t="shared" si="10"/>
        <v>--</v>
      </c>
      <c r="Z44" s="295" t="str">
        <f t="shared" si="11"/>
        <v>--</v>
      </c>
      <c r="AA44" s="296" t="str">
        <f t="shared" si="12"/>
        <v>--</v>
      </c>
      <c r="AB44" s="287" t="str">
        <f t="shared" si="42"/>
        <v/>
      </c>
      <c r="AC44" s="297" t="str">
        <f t="shared" si="14"/>
        <v/>
      </c>
      <c r="AD44" s="217"/>
    </row>
    <row r="45" spans="2:30" s="10" customFormat="1" ht="17.1" customHeight="1">
      <c r="B45" s="216"/>
      <c r="C45" s="268"/>
      <c r="D45" s="268"/>
      <c r="E45" s="268"/>
      <c r="F45" s="125"/>
      <c r="G45" s="127"/>
      <c r="H45" s="281"/>
      <c r="I45" s="282"/>
      <c r="J45" s="283">
        <f t="shared" si="43"/>
        <v>0</v>
      </c>
      <c r="K45" s="284"/>
      <c r="L45" s="284"/>
      <c r="M45" s="285" t="str">
        <f t="shared" si="1"/>
        <v/>
      </c>
      <c r="N45" s="286" t="str">
        <f t="shared" si="2"/>
        <v/>
      </c>
      <c r="O45" s="287"/>
      <c r="P45" s="288" t="str">
        <f t="shared" si="15"/>
        <v/>
      </c>
      <c r="Q45" s="288" t="str">
        <f t="shared" si="39"/>
        <v/>
      </c>
      <c r="R45" s="287" t="str">
        <f t="shared" si="16"/>
        <v/>
      </c>
      <c r="S45" s="151">
        <f t="shared" si="40"/>
        <v>3</v>
      </c>
      <c r="T45" s="289" t="str">
        <f t="shared" si="41"/>
        <v>--</v>
      </c>
      <c r="U45" s="290" t="str">
        <f t="shared" si="6"/>
        <v>--</v>
      </c>
      <c r="V45" s="291" t="str">
        <f t="shared" si="7"/>
        <v>--</v>
      </c>
      <c r="W45" s="292" t="str">
        <f t="shared" si="8"/>
        <v>--</v>
      </c>
      <c r="X45" s="293" t="str">
        <f t="shared" si="9"/>
        <v>--</v>
      </c>
      <c r="Y45" s="294" t="str">
        <f t="shared" si="10"/>
        <v>--</v>
      </c>
      <c r="Z45" s="295" t="str">
        <f t="shared" si="11"/>
        <v>--</v>
      </c>
      <c r="AA45" s="296" t="str">
        <f t="shared" si="12"/>
        <v>--</v>
      </c>
      <c r="AB45" s="287" t="str">
        <f>IF(F45="","","SI")</f>
        <v/>
      </c>
      <c r="AC45" s="297" t="str">
        <f t="shared" si="14"/>
        <v/>
      </c>
      <c r="AD45" s="217"/>
    </row>
    <row r="46" spans="2:30" s="10" customFormat="1" ht="17.1" customHeight="1">
      <c r="B46" s="216"/>
      <c r="C46" s="268"/>
      <c r="D46" s="268"/>
      <c r="E46" s="268"/>
      <c r="F46" s="125"/>
      <c r="G46" s="127"/>
      <c r="H46" s="281"/>
      <c r="I46" s="282"/>
      <c r="J46" s="283">
        <f t="shared" si="43"/>
        <v>0</v>
      </c>
      <c r="K46" s="284"/>
      <c r="L46" s="284"/>
      <c r="M46" s="285" t="str">
        <f t="shared" si="1"/>
        <v/>
      </c>
      <c r="N46" s="286" t="str">
        <f t="shared" si="2"/>
        <v/>
      </c>
      <c r="O46" s="287"/>
      <c r="P46" s="288" t="str">
        <f t="shared" si="15"/>
        <v/>
      </c>
      <c r="Q46" s="288" t="str">
        <f t="shared" si="39"/>
        <v/>
      </c>
      <c r="R46" s="287" t="str">
        <f t="shared" si="16"/>
        <v/>
      </c>
      <c r="S46" s="151">
        <f t="shared" si="40"/>
        <v>3</v>
      </c>
      <c r="T46" s="289" t="str">
        <f t="shared" si="41"/>
        <v>--</v>
      </c>
      <c r="U46" s="290" t="str">
        <f t="shared" si="6"/>
        <v>--</v>
      </c>
      <c r="V46" s="291" t="str">
        <f t="shared" si="7"/>
        <v>--</v>
      </c>
      <c r="W46" s="292" t="str">
        <f t="shared" si="8"/>
        <v>--</v>
      </c>
      <c r="X46" s="293" t="str">
        <f t="shared" si="9"/>
        <v>--</v>
      </c>
      <c r="Y46" s="294" t="str">
        <f t="shared" si="10"/>
        <v>--</v>
      </c>
      <c r="Z46" s="295" t="str">
        <f t="shared" si="11"/>
        <v>--</v>
      </c>
      <c r="AA46" s="296" t="str">
        <f t="shared" si="12"/>
        <v>--</v>
      </c>
      <c r="AB46" s="287" t="str">
        <f t="shared" si="42"/>
        <v/>
      </c>
      <c r="AC46" s="297" t="str">
        <f t="shared" si="14"/>
        <v/>
      </c>
      <c r="AD46" s="217"/>
    </row>
    <row r="47" spans="2:30" s="10" customFormat="1" ht="17.1" customHeight="1" thickBot="1">
      <c r="B47" s="216"/>
      <c r="C47" s="299"/>
      <c r="D47" s="299"/>
      <c r="E47" s="299"/>
      <c r="F47" s="299"/>
      <c r="G47" s="299"/>
      <c r="H47" s="299"/>
      <c r="I47" s="299"/>
      <c r="J47" s="300"/>
      <c r="K47" s="299"/>
      <c r="L47" s="299"/>
      <c r="M47" s="299"/>
      <c r="N47" s="299"/>
      <c r="O47" s="299"/>
      <c r="P47" s="299"/>
      <c r="Q47" s="299"/>
      <c r="R47" s="299"/>
      <c r="S47" s="301"/>
      <c r="T47" s="302"/>
      <c r="U47" s="303"/>
      <c r="V47" s="304"/>
      <c r="W47" s="305"/>
      <c r="X47" s="306"/>
      <c r="Y47" s="307"/>
      <c r="Z47" s="308"/>
      <c r="AA47" s="309"/>
      <c r="AB47" s="299"/>
      <c r="AC47" s="310"/>
      <c r="AD47" s="217"/>
    </row>
    <row r="48" spans="2:30" s="10" customFormat="1" ht="17.1" customHeight="1" thickBot="1" thickTop="1">
      <c r="B48" s="216"/>
      <c r="C48" s="171" t="s">
        <v>73</v>
      </c>
      <c r="D48" s="418" t="s">
        <v>140</v>
      </c>
      <c r="E48" s="186"/>
      <c r="F48" s="17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311">
        <f>SUM(T20:T47)</f>
        <v>1677.9234000000001</v>
      </c>
      <c r="U48" s="312">
        <f>SUM(U20:U47)</f>
        <v>112.987728</v>
      </c>
      <c r="V48" s="313">
        <f>SUM(V20:V47)</f>
        <v>2294.3999999999996</v>
      </c>
      <c r="W48" s="314">
        <f>SUM(W22:W47)</f>
        <v>68.832</v>
      </c>
      <c r="X48" s="315">
        <f>SUM(X20:X47)</f>
        <v>0</v>
      </c>
      <c r="Y48" s="315">
        <f>SUM(Y22:Y47)</f>
        <v>0</v>
      </c>
      <c r="Z48" s="316">
        <f>SUM(Z20:Z47)</f>
        <v>0</v>
      </c>
      <c r="AA48" s="317">
        <f>SUM(AA22:AA47)</f>
        <v>0</v>
      </c>
      <c r="AB48" s="318"/>
      <c r="AC48" s="319">
        <f>ROUND(SUM(AC20:AC47),2)</f>
        <v>4154.14</v>
      </c>
      <c r="AD48" s="217"/>
    </row>
    <row r="49" spans="2:30" s="184" customFormat="1" ht="9.75" thickTop="1">
      <c r="B49" s="320"/>
      <c r="C49" s="186"/>
      <c r="D49" s="186"/>
      <c r="E49" s="186"/>
      <c r="F49" s="187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2"/>
      <c r="U49" s="322"/>
      <c r="V49" s="322"/>
      <c r="W49" s="322"/>
      <c r="X49" s="322"/>
      <c r="Y49" s="322"/>
      <c r="Z49" s="322"/>
      <c r="AA49" s="322"/>
      <c r="AB49" s="321"/>
      <c r="AC49" s="323"/>
      <c r="AD49" s="324"/>
    </row>
    <row r="50" spans="2:30" s="10" customFormat="1" ht="17.1" customHeight="1" thickBot="1"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7"/>
    </row>
    <row r="51" spans="2:30" ht="17.1" customHeight="1" thickTop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28"/>
    </row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57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Referencias_Trafos">
                <anchor moveWithCells="1" sizeWithCells="1">
                  <from>
                    <xdr:col>0</xdr:col>
                    <xdr:colOff>57150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W47"/>
  <sheetViews>
    <sheetView zoomScale="80" zoomScaleNormal="80" workbookViewId="0" topLeftCell="A1">
      <selection activeCell="B42" sqref="B42"/>
    </sheetView>
  </sheetViews>
  <sheetFormatPr defaultColWidth="11.421875" defaultRowHeight="12.75"/>
  <cols>
    <col min="1" max="1" width="17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7.00390625" style="1" customWidth="1"/>
    <col min="8" max="8" width="10.7109375" style="1" customWidth="1"/>
    <col min="9" max="9" width="8.710937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5.7109375" style="1" bestFit="1" customWidth="1"/>
    <col min="16" max="16" width="5.57421875" style="1" hidden="1" customWidth="1"/>
    <col min="17" max="17" width="12.28125" style="1" hidden="1" customWidth="1"/>
    <col min="18" max="19" width="5.00390625" style="1" hidden="1" customWidth="1"/>
    <col min="20" max="20" width="11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9"/>
      <c r="W1" s="394"/>
    </row>
    <row r="2" spans="1:23" s="6" customFormat="1" ht="26.25">
      <c r="A2" s="329"/>
      <c r="B2" s="67" t="str">
        <f>+'TOT-0516'!B2</f>
        <v>ANEXO VI al Memorándum D.T.E.E. N°        639    /2016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0"/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4" t="s">
        <v>3</v>
      </c>
      <c r="B4" s="331"/>
    </row>
    <row r="5" spans="1:2" s="13" customFormat="1" ht="11.25">
      <c r="A5" s="204" t="s">
        <v>4</v>
      </c>
      <c r="B5" s="331"/>
    </row>
    <row r="6" s="10" customFormat="1" ht="17.1" customHeight="1" thickBot="1"/>
    <row r="7" spans="2:23" s="10" customFormat="1" ht="17.1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2:23" s="73" customFormat="1" ht="20.25">
      <c r="B8" s="74"/>
      <c r="F8" s="75" t="s">
        <v>52</v>
      </c>
      <c r="P8" s="76"/>
      <c r="Q8" s="76"/>
      <c r="R8" s="76"/>
      <c r="S8" s="76"/>
      <c r="T8" s="76"/>
      <c r="U8" s="76"/>
      <c r="V8" s="76"/>
      <c r="W8" s="77"/>
    </row>
    <row r="9" spans="2:23" s="10" customFormat="1" ht="17.1" customHeight="1">
      <c r="B9" s="44"/>
      <c r="F9" s="12"/>
      <c r="G9" s="12"/>
      <c r="H9" s="12"/>
      <c r="I9" s="83"/>
      <c r="J9" s="83"/>
      <c r="K9" s="83"/>
      <c r="L9" s="83"/>
      <c r="M9" s="83"/>
      <c r="P9" s="12"/>
      <c r="Q9" s="12"/>
      <c r="R9" s="12"/>
      <c r="S9" s="12"/>
      <c r="T9" s="12"/>
      <c r="U9" s="12"/>
      <c r="V9" s="12"/>
      <c r="W9" s="49"/>
    </row>
    <row r="10" spans="2:23" s="73" customFormat="1" ht="20.25">
      <c r="B10" s="74"/>
      <c r="F10" s="75" t="s">
        <v>53</v>
      </c>
      <c r="G10" s="75"/>
      <c r="H10" s="76"/>
      <c r="I10" s="75"/>
      <c r="J10" s="75"/>
      <c r="K10" s="75"/>
      <c r="L10" s="75"/>
      <c r="M10" s="75"/>
      <c r="P10" s="76"/>
      <c r="Q10" s="76"/>
      <c r="R10" s="76"/>
      <c r="S10" s="76"/>
      <c r="T10" s="76"/>
      <c r="U10" s="76"/>
      <c r="V10" s="76"/>
      <c r="W10" s="77"/>
    </row>
    <row r="11" spans="2:23" s="10" customFormat="1" ht="17.1" customHeight="1">
      <c r="B11" s="44"/>
      <c r="C11" s="12"/>
      <c r="D11" s="12"/>
      <c r="E11" s="12"/>
      <c r="F11" s="332"/>
      <c r="G11" s="83"/>
      <c r="H11" s="12"/>
      <c r="I11" s="83"/>
      <c r="J11" s="83"/>
      <c r="K11" s="83"/>
      <c r="L11" s="83"/>
      <c r="M11" s="83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+'TOT-0516'!B14</f>
        <v>Desde el 01 al 31 de mayo de 2016</v>
      </c>
      <c r="C12" s="333"/>
      <c r="D12" s="333"/>
      <c r="E12" s="333"/>
      <c r="F12" s="34"/>
      <c r="G12" s="34"/>
      <c r="H12" s="34"/>
      <c r="I12" s="34"/>
      <c r="J12" s="8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2"/>
    </row>
    <row r="13" spans="2:23" s="10" customFormat="1" ht="17.1" customHeight="1" thickBot="1">
      <c r="B13" s="44"/>
      <c r="C13" s="12"/>
      <c r="D13" s="12"/>
      <c r="E13" s="12"/>
      <c r="I13" s="85"/>
      <c r="K13" s="12"/>
      <c r="L13" s="12"/>
      <c r="M13" s="12"/>
      <c r="N13" s="85"/>
      <c r="O13" s="85"/>
      <c r="P13" s="85"/>
      <c r="Q13" s="12"/>
      <c r="R13" s="12"/>
      <c r="S13" s="12"/>
      <c r="T13" s="12"/>
      <c r="U13" s="12"/>
      <c r="V13" s="12"/>
      <c r="W13" s="49"/>
    </row>
    <row r="14" spans="2:23" s="10" customFormat="1" ht="17.1" customHeight="1" thickBot="1" thickTop="1">
      <c r="B14" s="44"/>
      <c r="C14" s="12"/>
      <c r="D14" s="12"/>
      <c r="E14" s="12"/>
      <c r="F14" s="334" t="s">
        <v>54</v>
      </c>
      <c r="G14" s="335">
        <v>50.877</v>
      </c>
      <c r="H14" s="336">
        <f>60*'TOT-0516'!B13</f>
        <v>60</v>
      </c>
      <c r="I14" s="85"/>
      <c r="J14" s="236" t="str">
        <f>IF(H14=60," ",IF(H14=120,"    Coeficiente duplicado por tasa de falla &gt;4 Sal. x año/100 km.","    REVISAR COEFICIENTE"))</f>
        <v xml:space="preserve"> </v>
      </c>
      <c r="K14" s="12"/>
      <c r="L14" s="12"/>
      <c r="M14" s="12"/>
      <c r="N14" s="85"/>
      <c r="O14" s="85"/>
      <c r="P14" s="85"/>
      <c r="Q14" s="12"/>
      <c r="R14" s="12"/>
      <c r="S14" s="12"/>
      <c r="T14" s="12"/>
      <c r="U14" s="12"/>
      <c r="V14" s="12"/>
      <c r="W14" s="49"/>
    </row>
    <row r="15" spans="2:23" s="10" customFormat="1" ht="17.1" customHeight="1" thickBot="1" thickTop="1">
      <c r="B15" s="44"/>
      <c r="C15" s="12"/>
      <c r="D15" s="12"/>
      <c r="E15" s="12"/>
      <c r="F15" s="334" t="s">
        <v>55</v>
      </c>
      <c r="G15" s="335">
        <v>25.439</v>
      </c>
      <c r="H15" s="336">
        <f>50*'TOT-0516'!B13</f>
        <v>50</v>
      </c>
      <c r="J15" s="236" t="str">
        <f>IF(H15=50," ",IF(H15=100,"    Coeficiente duplicado por tasa de falla &gt;4 Sal. x año/100 km.","    REVISAR COEFICIENTE"))</f>
        <v xml:space="preserve"> </v>
      </c>
      <c r="S15" s="12"/>
      <c r="T15" s="12"/>
      <c r="U15" s="12"/>
      <c r="V15" s="337"/>
      <c r="W15" s="49"/>
    </row>
    <row r="16" spans="2:23" s="10" customFormat="1" ht="17.1" customHeight="1" thickBot="1" thickTop="1">
      <c r="B16" s="44"/>
      <c r="C16" s="12"/>
      <c r="D16" s="12"/>
      <c r="E16" s="12"/>
      <c r="F16" s="338" t="s">
        <v>56</v>
      </c>
      <c r="G16" s="339">
        <v>19.085</v>
      </c>
      <c r="H16" s="340">
        <f>25*'TOT-0516'!B13</f>
        <v>25</v>
      </c>
      <c r="J16" s="236" t="str">
        <f>IF(H16=25," ",IF(H16=50,"    Coeficiente duplicado por tasa de falla &gt;4 Sal. x año/100 km.","    REVISAR COEFICIENTE"))</f>
        <v xml:space="preserve"> </v>
      </c>
      <c r="K16" s="94"/>
      <c r="L16" s="94"/>
      <c r="M16" s="12"/>
      <c r="P16" s="341"/>
      <c r="Q16" s="342"/>
      <c r="R16" s="4"/>
      <c r="S16" s="12"/>
      <c r="T16" s="12"/>
      <c r="U16" s="12"/>
      <c r="V16" s="337"/>
      <c r="W16" s="49"/>
    </row>
    <row r="17" spans="2:23" s="10" customFormat="1" ht="17.1" customHeight="1" thickBot="1" thickTop="1">
      <c r="B17" s="44"/>
      <c r="C17" s="12"/>
      <c r="D17" s="12"/>
      <c r="E17" s="12"/>
      <c r="F17" s="343" t="s">
        <v>57</v>
      </c>
      <c r="G17" s="415">
        <v>19.085</v>
      </c>
      <c r="H17" s="344">
        <f>20*'TOT-0516'!B13</f>
        <v>20</v>
      </c>
      <c r="J17" s="236" t="str">
        <f>IF(H17=20," ",IF(H17=40,"    Coeficiente duplicado por tasa de falla &gt;4 Sal. x año/100 km.","    REVISAR COEFICIENTE"))</f>
        <v xml:space="preserve"> </v>
      </c>
      <c r="K17" s="94"/>
      <c r="L17" s="94"/>
      <c r="M17" s="12"/>
      <c r="P17" s="341"/>
      <c r="Q17" s="342"/>
      <c r="R17" s="4"/>
      <c r="S17" s="12"/>
      <c r="T17" s="12"/>
      <c r="U17" s="12"/>
      <c r="V17" s="337"/>
      <c r="W17" s="49"/>
    </row>
    <row r="18" spans="2:23" s="10" customFormat="1" ht="17.1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9"/>
    </row>
    <row r="19" spans="2:23" s="345" customFormat="1" ht="35.1" customHeight="1" thickBot="1" thickTop="1">
      <c r="B19" s="346"/>
      <c r="C19" s="399" t="s">
        <v>20</v>
      </c>
      <c r="D19" s="399" t="s">
        <v>74</v>
      </c>
      <c r="E19" s="399" t="s">
        <v>75</v>
      </c>
      <c r="F19" s="240" t="s">
        <v>41</v>
      </c>
      <c r="G19" s="347" t="s">
        <v>42</v>
      </c>
      <c r="H19" s="348" t="s">
        <v>21</v>
      </c>
      <c r="I19" s="99" t="s">
        <v>23</v>
      </c>
      <c r="J19" s="241" t="s">
        <v>24</v>
      </c>
      <c r="K19" s="347" t="s">
        <v>25</v>
      </c>
      <c r="L19" s="240" t="s">
        <v>44</v>
      </c>
      <c r="M19" s="240" t="s">
        <v>45</v>
      </c>
      <c r="N19" s="98" t="s">
        <v>72</v>
      </c>
      <c r="O19" s="241" t="s">
        <v>46</v>
      </c>
      <c r="P19" s="349" t="s">
        <v>58</v>
      </c>
      <c r="Q19" s="350" t="s">
        <v>59</v>
      </c>
      <c r="R19" s="351" t="s">
        <v>49</v>
      </c>
      <c r="S19" s="352"/>
      <c r="T19" s="353" t="s">
        <v>33</v>
      </c>
      <c r="U19" s="243" t="s">
        <v>35</v>
      </c>
      <c r="V19" s="243" t="s">
        <v>36</v>
      </c>
      <c r="W19" s="354"/>
    </row>
    <row r="20" spans="2:23" s="10" customFormat="1" ht="17.1" customHeight="1" thickTop="1">
      <c r="B20" s="44"/>
      <c r="C20" s="269"/>
      <c r="D20" s="398"/>
      <c r="E20" s="398"/>
      <c r="F20" s="268"/>
      <c r="G20" s="268"/>
      <c r="H20" s="355"/>
      <c r="I20" s="356"/>
      <c r="J20" s="271"/>
      <c r="K20" s="357"/>
      <c r="L20" s="272"/>
      <c r="M20" s="272"/>
      <c r="N20" s="271"/>
      <c r="O20" s="271"/>
      <c r="P20" s="358"/>
      <c r="Q20" s="359"/>
      <c r="R20" s="360"/>
      <c r="S20" s="361"/>
      <c r="T20" s="362"/>
      <c r="U20" s="363"/>
      <c r="V20" s="364"/>
      <c r="W20" s="217"/>
    </row>
    <row r="21" spans="2:23" s="10" customFormat="1" ht="17.1" customHeight="1">
      <c r="B21" s="44"/>
      <c r="C21" s="271"/>
      <c r="D21" s="268"/>
      <c r="E21" s="268"/>
      <c r="F21" s="365"/>
      <c r="G21" s="365"/>
      <c r="H21" s="366"/>
      <c r="I21" s="367"/>
      <c r="J21" s="368"/>
      <c r="K21" s="369"/>
      <c r="L21" s="285"/>
      <c r="M21" s="370"/>
      <c r="N21" s="287"/>
      <c r="O21" s="287"/>
      <c r="P21" s="371"/>
      <c r="Q21" s="372"/>
      <c r="R21" s="373"/>
      <c r="S21" s="374"/>
      <c r="T21" s="375"/>
      <c r="U21" s="376"/>
      <c r="V21" s="377"/>
      <c r="W21" s="217"/>
    </row>
    <row r="22" spans="2:23" s="10" customFormat="1" ht="17.1" customHeight="1">
      <c r="B22" s="44"/>
      <c r="C22" s="271">
        <v>15</v>
      </c>
      <c r="D22" s="268">
        <v>302263</v>
      </c>
      <c r="E22" s="268">
        <v>877</v>
      </c>
      <c r="F22" s="365" t="s">
        <v>167</v>
      </c>
      <c r="G22" s="365" t="s">
        <v>168</v>
      </c>
      <c r="H22" s="366">
        <v>66</v>
      </c>
      <c r="I22" s="367">
        <f aca="true" t="shared" si="0" ref="I22:I41">IF(H22=220,$G$14,IF(AND(H22&lt;=132,H22&gt;=66),$G$15,IF(AND(H22&lt;66,H22&gt;=33),$G$16,$G$17)))</f>
        <v>25.439</v>
      </c>
      <c r="J22" s="368">
        <v>42495.39791666667</v>
      </c>
      <c r="K22" s="369">
        <v>42495.56527777778</v>
      </c>
      <c r="L22" s="285">
        <f aca="true" t="shared" si="1" ref="L22:L41">IF(F22="","",(K22-J22)*24)</f>
        <v>4.016666666662786</v>
      </c>
      <c r="M22" s="370">
        <f aca="true" t="shared" si="2" ref="M22:M41">IF(F22="","",ROUND((K22-J22)*24*60,0))</f>
        <v>241</v>
      </c>
      <c r="N22" s="287" t="s">
        <v>130</v>
      </c>
      <c r="O22" s="287" t="str">
        <f>IF(F22="","",IF(OR(N22="P",N22="RP"),"--","NO"))</f>
        <v>--</v>
      </c>
      <c r="P22" s="371">
        <f aca="true" t="shared" si="3" ref="P22:P41">IF(H22=220,$H$14,IF(AND(H22&lt;=132,H22&gt;=66),$H$15,IF(AND(H22&lt;66,H22&gt;13.2),$H$16,$H$17)))</f>
        <v>50</v>
      </c>
      <c r="Q22" s="372">
        <f aca="true" t="shared" si="4" ref="Q22:Q41">IF(N22="P",I22*P22*ROUND(M22/60,2)*0.1,"--")</f>
        <v>511.3239</v>
      </c>
      <c r="R22" s="373" t="str">
        <f aca="true" t="shared" si="5" ref="R22:R41">IF(AND(N22="F",O22="NO"),I22*P22,"--")</f>
        <v>--</v>
      </c>
      <c r="S22" s="374" t="str">
        <f aca="true" t="shared" si="6" ref="S22:S41">IF(N22="F",I22*P22*ROUND(M22/60,2),"--")</f>
        <v>--</v>
      </c>
      <c r="T22" s="375" t="str">
        <f aca="true" t="shared" si="7" ref="T22:T41">IF(N22="RF",I22*P22*ROUND(M22/60,2),"--")</f>
        <v>--</v>
      </c>
      <c r="U22" s="376" t="s">
        <v>131</v>
      </c>
      <c r="V22" s="379">
        <f>IF(F22="","",SUM(Q22:T22)*IF(U22="SI",1,2)*IF(H22="500/220",0,1))</f>
        <v>511.3239</v>
      </c>
      <c r="W22" s="298"/>
    </row>
    <row r="23" spans="2:23" s="10" customFormat="1" ht="17.1" customHeight="1">
      <c r="B23" s="44"/>
      <c r="C23" s="271">
        <v>16</v>
      </c>
      <c r="D23" s="268">
        <v>302264</v>
      </c>
      <c r="E23" s="268">
        <v>876</v>
      </c>
      <c r="F23" s="365" t="s">
        <v>167</v>
      </c>
      <c r="G23" s="365" t="s">
        <v>169</v>
      </c>
      <c r="H23" s="366">
        <v>66</v>
      </c>
      <c r="I23" s="367">
        <f t="shared" si="0"/>
        <v>25.439</v>
      </c>
      <c r="J23" s="368">
        <v>42495.57916666667</v>
      </c>
      <c r="K23" s="369">
        <v>42495.725694444445</v>
      </c>
      <c r="L23" s="285">
        <f>IF(F23="","",(K23-J23)*24)</f>
        <v>3.5166666666045785</v>
      </c>
      <c r="M23" s="370">
        <f>IF(F23="","",ROUND((K23-J23)*24*60,0))</f>
        <v>211</v>
      </c>
      <c r="N23" s="287" t="s">
        <v>130</v>
      </c>
      <c r="O23" s="287" t="str">
        <f>IF(F23="","",IF(OR(N23="P",N23="RP"),"--","NO"))</f>
        <v>--</v>
      </c>
      <c r="P23" s="371">
        <f>IF(H23=220,$H$14,IF(AND(H23&lt;=132,H23&gt;=66),$H$15,IF(AND(H23&lt;66,H23&gt;13.2),$H$16,$H$17)))</f>
        <v>50</v>
      </c>
      <c r="Q23" s="372">
        <f>IF(N23="P",I23*P23*ROUND(M23/60,2)*0.1,"--")</f>
        <v>447.7264</v>
      </c>
      <c r="R23" s="373" t="str">
        <f>IF(AND(N23="F",O23="NO"),I23*P23,"--")</f>
        <v>--</v>
      </c>
      <c r="S23" s="374" t="str">
        <f>IF(N23="F",I23*P23*ROUND(M23/60,2),"--")</f>
        <v>--</v>
      </c>
      <c r="T23" s="375" t="str">
        <f>IF(N23="RF",I23*P23*ROUND(M23/60,2),"--")</f>
        <v>--</v>
      </c>
      <c r="U23" s="376" t="str">
        <f>IF(F23="","","SI")</f>
        <v>SI</v>
      </c>
      <c r="V23" s="379">
        <f>IF(F23="","",SUM(Q23:T23)*IF(U23="SI",1,2)*IF(H23="500/220",0,1))</f>
        <v>447.7264</v>
      </c>
      <c r="W23" s="298"/>
    </row>
    <row r="24" spans="2:23" s="10" customFormat="1" ht="17.1" customHeight="1">
      <c r="B24" s="44"/>
      <c r="C24" s="271">
        <v>17</v>
      </c>
      <c r="D24" s="268">
        <v>302556</v>
      </c>
      <c r="E24" s="268">
        <v>909</v>
      </c>
      <c r="F24" s="365" t="s">
        <v>170</v>
      </c>
      <c r="G24" s="365" t="s">
        <v>171</v>
      </c>
      <c r="H24" s="366">
        <v>13.2</v>
      </c>
      <c r="I24" s="367">
        <f t="shared" si="0"/>
        <v>19.085</v>
      </c>
      <c r="J24" s="368">
        <v>42499.39375</v>
      </c>
      <c r="K24" s="369">
        <v>42499.8125</v>
      </c>
      <c r="L24" s="285">
        <f>IF(F24="","",(K24-J24)*24)</f>
        <v>10.04999999993015</v>
      </c>
      <c r="M24" s="370">
        <f>IF(F24="","",ROUND((K24-J24)*24*60,0))</f>
        <v>603</v>
      </c>
      <c r="N24" s="287" t="s">
        <v>130</v>
      </c>
      <c r="O24" s="287" t="str">
        <f>IF(F24="","",IF(OR(N24="P",N24="RP"),"--","NO"))</f>
        <v>--</v>
      </c>
      <c r="P24" s="371">
        <f t="shared" si="3"/>
        <v>20</v>
      </c>
      <c r="Q24" s="372">
        <f>IF(N24="P",I24*P24*ROUND(M24/60,2)*0.1,"--")</f>
        <v>383.6085000000001</v>
      </c>
      <c r="R24" s="373" t="str">
        <f>IF(AND(N24="F",O24="NO"),I24*P24,"--")</f>
        <v>--</v>
      </c>
      <c r="S24" s="374" t="str">
        <f>IF(N24="F",I24*P24*ROUND(M24/60,2),"--")</f>
        <v>--</v>
      </c>
      <c r="T24" s="375" t="str">
        <f>IF(N24="RF",I24*P24*ROUND(M24/60,2),"--")</f>
        <v>--</v>
      </c>
      <c r="U24" s="376" t="str">
        <f>IF(F24="","","SI")</f>
        <v>SI</v>
      </c>
      <c r="V24" s="379">
        <f>IF(F24="","",SUM(Q24:T24)*IF(U24="SI",1,2)*IF(H24="500/220",0,1))</f>
        <v>383.6085000000001</v>
      </c>
      <c r="W24" s="298"/>
    </row>
    <row r="25" spans="2:23" s="10" customFormat="1" ht="17.1" customHeight="1">
      <c r="B25" s="44"/>
      <c r="C25" s="271">
        <v>18</v>
      </c>
      <c r="D25" s="268">
        <v>302555</v>
      </c>
      <c r="E25" s="268">
        <v>907</v>
      </c>
      <c r="F25" s="365" t="s">
        <v>170</v>
      </c>
      <c r="G25" s="365" t="s">
        <v>172</v>
      </c>
      <c r="H25" s="378">
        <v>33</v>
      </c>
      <c r="I25" s="367">
        <f t="shared" si="0"/>
        <v>19.085</v>
      </c>
      <c r="J25" s="368">
        <v>42499.39375</v>
      </c>
      <c r="K25" s="369">
        <v>42499.8125</v>
      </c>
      <c r="L25" s="285">
        <f>IF(F25="","",(K25-J25)*24)</f>
        <v>10.04999999993015</v>
      </c>
      <c r="M25" s="370">
        <f>IF(F25="","",ROUND((K25-J25)*24*60,0))</f>
        <v>603</v>
      </c>
      <c r="N25" s="287" t="s">
        <v>130</v>
      </c>
      <c r="O25" s="287" t="str">
        <f>IF(F25="","",IF(OR(N25="P",N25="RP"),"--","NO"))</f>
        <v>--</v>
      </c>
      <c r="P25" s="371">
        <f>IF(H25=220,$H$14,IF(AND(H25&lt;=132,H25&gt;=66),$H$15,IF(AND(H25&lt;66,H25&gt;13.2),$H$16,$H$17)))</f>
        <v>25</v>
      </c>
      <c r="Q25" s="372">
        <f>IF(N25="P",I25*P25*ROUND(M25/60,2)*0.1,"--")</f>
        <v>479.5106250000001</v>
      </c>
      <c r="R25" s="373" t="str">
        <f>IF(AND(N25="F",O25="NO"),I25*P25,"--")</f>
        <v>--</v>
      </c>
      <c r="S25" s="374" t="str">
        <f>IF(N25="F",I25*P25*ROUND(M25/60,2),"--")</f>
        <v>--</v>
      </c>
      <c r="T25" s="375" t="str">
        <f>IF(N25="RF",I25*P25*ROUND(M25/60,2),"--")</f>
        <v>--</v>
      </c>
      <c r="U25" s="376" t="str">
        <f>IF(F25="","","SI")</f>
        <v>SI</v>
      </c>
      <c r="V25" s="379">
        <f>IF(F25="","",SUM(Q25:T25)*IF(U25="SI",1,2)*IF(H25="500/220",0,1))</f>
        <v>479.5106250000001</v>
      </c>
      <c r="W25" s="298"/>
    </row>
    <row r="26" spans="2:23" s="10" customFormat="1" ht="17.1" customHeight="1">
      <c r="B26" s="44"/>
      <c r="C26" s="271">
        <v>19</v>
      </c>
      <c r="D26" s="268">
        <v>302557</v>
      </c>
      <c r="E26" s="268">
        <v>921</v>
      </c>
      <c r="F26" s="365" t="s">
        <v>154</v>
      </c>
      <c r="G26" s="365" t="s">
        <v>173</v>
      </c>
      <c r="H26" s="366">
        <v>132</v>
      </c>
      <c r="I26" s="367">
        <f t="shared" si="0"/>
        <v>25.439</v>
      </c>
      <c r="J26" s="368">
        <v>42500.313888888886</v>
      </c>
      <c r="K26" s="369">
        <v>42502.8</v>
      </c>
      <c r="L26" s="285">
        <f>IF(F26="","",(K26-J26)*24)</f>
        <v>59.666666666802485</v>
      </c>
      <c r="M26" s="370">
        <f>IF(F26="","",ROUND((K26-J26)*24*60,0))</f>
        <v>3580</v>
      </c>
      <c r="N26" s="287" t="s">
        <v>130</v>
      </c>
      <c r="O26" s="287" t="str">
        <f>IF(F26="","",IF(OR(N26="P",N26="RP"),"--","NO"))</f>
        <v>--</v>
      </c>
      <c r="P26" s="371">
        <f>IF(H26=220,$H$14,IF(AND(H26&lt;=132,H26&gt;=66),$H$15,IF(AND(H26&lt;66,H26&gt;13.2),$H$16,$H$17)))</f>
        <v>50</v>
      </c>
      <c r="Q26" s="372">
        <f>IF(N26="P",I26*P26*ROUND(M26/60,2)*0.1,"--")</f>
        <v>7589.72565</v>
      </c>
      <c r="R26" s="373" t="str">
        <f>IF(AND(N26="F",O26="NO"),I26*P26,"--")</f>
        <v>--</v>
      </c>
      <c r="S26" s="374" t="str">
        <f>IF(N26="F",I26*P26*ROUND(M26/60,2),"--")</f>
        <v>--</v>
      </c>
      <c r="T26" s="375" t="str">
        <f>IF(N26="RF",I26*P26*ROUND(M26/60,2),"--")</f>
        <v>--</v>
      </c>
      <c r="U26" s="376" t="str">
        <f>IF(F26="","","SI")</f>
        <v>SI</v>
      </c>
      <c r="V26" s="379">
        <f>IF(F26="","",SUM(Q26:T26)*IF(U26="SI",1,2)*IF(H26="500/220",0,1))</f>
        <v>7589.72565</v>
      </c>
      <c r="W26" s="298"/>
    </row>
    <row r="27" spans="2:23" s="10" customFormat="1" ht="17.1" customHeight="1">
      <c r="B27" s="44"/>
      <c r="C27" s="271">
        <v>20</v>
      </c>
      <c r="D27" s="268">
        <v>302559</v>
      </c>
      <c r="E27" s="268">
        <v>910</v>
      </c>
      <c r="F27" s="365" t="s">
        <v>170</v>
      </c>
      <c r="G27" s="365" t="s">
        <v>174</v>
      </c>
      <c r="H27" s="366">
        <v>13.2</v>
      </c>
      <c r="I27" s="367">
        <f t="shared" si="0"/>
        <v>19.085</v>
      </c>
      <c r="J27" s="368">
        <v>42500.396527777775</v>
      </c>
      <c r="K27" s="369">
        <v>42500.614583333336</v>
      </c>
      <c r="L27" s="285">
        <f t="shared" si="1"/>
        <v>5.233333333453629</v>
      </c>
      <c r="M27" s="370">
        <f t="shared" si="2"/>
        <v>314</v>
      </c>
      <c r="N27" s="287" t="s">
        <v>130</v>
      </c>
      <c r="O27" s="287" t="str">
        <f aca="true" t="shared" si="8" ref="O27:O41">IF(F27="","",IF(OR(N27="P",N27="RP"),"--","NO"))</f>
        <v>--</v>
      </c>
      <c r="P27" s="371">
        <f t="shared" si="3"/>
        <v>20</v>
      </c>
      <c r="Q27" s="372">
        <f t="shared" si="4"/>
        <v>199.62910000000005</v>
      </c>
      <c r="R27" s="373" t="str">
        <f t="shared" si="5"/>
        <v>--</v>
      </c>
      <c r="S27" s="374" t="str">
        <f t="shared" si="6"/>
        <v>--</v>
      </c>
      <c r="T27" s="375" t="str">
        <f t="shared" si="7"/>
        <v>--</v>
      </c>
      <c r="U27" s="376" t="str">
        <f aca="true" t="shared" si="9" ref="U27:U41">IF(F27="","","SI")</f>
        <v>SI</v>
      </c>
      <c r="V27" s="379">
        <f aca="true" t="shared" si="10" ref="V27:V41">IF(F27="","",SUM(Q27:T27)*IF(U27="SI",1,2)*IF(H27="500/220",0,1))</f>
        <v>199.62910000000005</v>
      </c>
      <c r="W27" s="298"/>
    </row>
    <row r="28" spans="2:23" s="10" customFormat="1" ht="17.1" customHeight="1">
      <c r="B28" s="44"/>
      <c r="C28" s="271">
        <v>21</v>
      </c>
      <c r="D28" s="268">
        <v>302560</v>
      </c>
      <c r="E28" s="268">
        <v>908</v>
      </c>
      <c r="F28" s="365" t="s">
        <v>170</v>
      </c>
      <c r="G28" s="365" t="s">
        <v>175</v>
      </c>
      <c r="H28" s="366">
        <v>33</v>
      </c>
      <c r="I28" s="367">
        <f t="shared" si="0"/>
        <v>19.085</v>
      </c>
      <c r="J28" s="368">
        <v>42500.396527777775</v>
      </c>
      <c r="K28" s="369">
        <v>42500.614583333336</v>
      </c>
      <c r="L28" s="285">
        <f t="shared" si="1"/>
        <v>5.233333333453629</v>
      </c>
      <c r="M28" s="370">
        <f t="shared" si="2"/>
        <v>314</v>
      </c>
      <c r="N28" s="287" t="s">
        <v>130</v>
      </c>
      <c r="O28" s="287" t="str">
        <f t="shared" si="8"/>
        <v>--</v>
      </c>
      <c r="P28" s="371">
        <f t="shared" si="3"/>
        <v>25</v>
      </c>
      <c r="Q28" s="372">
        <f t="shared" si="4"/>
        <v>249.53637500000002</v>
      </c>
      <c r="R28" s="373" t="str">
        <f t="shared" si="5"/>
        <v>--</v>
      </c>
      <c r="S28" s="374" t="str">
        <f t="shared" si="6"/>
        <v>--</v>
      </c>
      <c r="T28" s="375" t="str">
        <f t="shared" si="7"/>
        <v>--</v>
      </c>
      <c r="U28" s="376" t="str">
        <f t="shared" si="9"/>
        <v>SI</v>
      </c>
      <c r="V28" s="379">
        <f t="shared" si="10"/>
        <v>249.53637500000002</v>
      </c>
      <c r="W28" s="298"/>
    </row>
    <row r="29" spans="2:23" s="10" customFormat="1" ht="17.1" customHeight="1">
      <c r="B29" s="44"/>
      <c r="C29" s="271">
        <v>22</v>
      </c>
      <c r="D29" s="268">
        <v>302564</v>
      </c>
      <c r="E29" s="268">
        <v>909</v>
      </c>
      <c r="F29" s="365" t="s">
        <v>170</v>
      </c>
      <c r="G29" s="365" t="s">
        <v>171</v>
      </c>
      <c r="H29" s="366">
        <v>13.2</v>
      </c>
      <c r="I29" s="367">
        <f t="shared" si="0"/>
        <v>19.085</v>
      </c>
      <c r="J29" s="368">
        <v>42500.50486111111</v>
      </c>
      <c r="K29" s="369">
        <v>42500.50625</v>
      </c>
      <c r="L29" s="285">
        <f t="shared" si="1"/>
        <v>0.03333333326736465</v>
      </c>
      <c r="M29" s="370">
        <f t="shared" si="2"/>
        <v>2</v>
      </c>
      <c r="N29" s="287" t="s">
        <v>139</v>
      </c>
      <c r="O29" s="287" t="str">
        <f t="shared" si="8"/>
        <v>NO</v>
      </c>
      <c r="P29" s="371">
        <f t="shared" si="3"/>
        <v>20</v>
      </c>
      <c r="Q29" s="372" t="str">
        <f t="shared" si="4"/>
        <v>--</v>
      </c>
      <c r="R29" s="373">
        <f t="shared" si="5"/>
        <v>381.70000000000005</v>
      </c>
      <c r="S29" s="374">
        <f t="shared" si="6"/>
        <v>11.451</v>
      </c>
      <c r="T29" s="375" t="str">
        <f t="shared" si="7"/>
        <v>--</v>
      </c>
      <c r="U29" s="376" t="str">
        <f t="shared" si="9"/>
        <v>SI</v>
      </c>
      <c r="V29" s="379">
        <f t="shared" si="10"/>
        <v>393.15100000000007</v>
      </c>
      <c r="W29" s="298"/>
    </row>
    <row r="30" spans="2:23" s="10" customFormat="1" ht="17.1" customHeight="1">
      <c r="B30" s="44"/>
      <c r="C30" s="271">
        <v>23</v>
      </c>
      <c r="D30" s="268">
        <v>302563</v>
      </c>
      <c r="E30" s="268">
        <v>907</v>
      </c>
      <c r="F30" s="365" t="s">
        <v>170</v>
      </c>
      <c r="G30" s="365" t="s">
        <v>172</v>
      </c>
      <c r="H30" s="366">
        <v>33</v>
      </c>
      <c r="I30" s="367">
        <f t="shared" si="0"/>
        <v>19.085</v>
      </c>
      <c r="J30" s="368">
        <v>42500.50486111111</v>
      </c>
      <c r="K30" s="369">
        <v>42500.50625</v>
      </c>
      <c r="L30" s="285">
        <f t="shared" si="1"/>
        <v>0.03333333326736465</v>
      </c>
      <c r="M30" s="370">
        <f t="shared" si="2"/>
        <v>2</v>
      </c>
      <c r="N30" s="287" t="s">
        <v>139</v>
      </c>
      <c r="O30" s="287" t="str">
        <f t="shared" si="8"/>
        <v>NO</v>
      </c>
      <c r="P30" s="371">
        <f t="shared" si="3"/>
        <v>25</v>
      </c>
      <c r="Q30" s="372" t="str">
        <f t="shared" si="4"/>
        <v>--</v>
      </c>
      <c r="R30" s="373">
        <f t="shared" si="5"/>
        <v>477.125</v>
      </c>
      <c r="S30" s="374">
        <f t="shared" si="6"/>
        <v>14.313749999999999</v>
      </c>
      <c r="T30" s="375" t="str">
        <f t="shared" si="7"/>
        <v>--</v>
      </c>
      <c r="U30" s="376" t="str">
        <f t="shared" si="9"/>
        <v>SI</v>
      </c>
      <c r="V30" s="379">
        <f t="shared" si="10"/>
        <v>491.43875</v>
      </c>
      <c r="W30" s="298"/>
    </row>
    <row r="31" spans="2:23" s="10" customFormat="1" ht="17.1" customHeight="1">
      <c r="B31" s="44"/>
      <c r="C31" s="271">
        <v>24</v>
      </c>
      <c r="D31" s="268">
        <v>302566</v>
      </c>
      <c r="E31" s="268">
        <v>933</v>
      </c>
      <c r="F31" s="365" t="s">
        <v>154</v>
      </c>
      <c r="G31" s="365" t="s">
        <v>176</v>
      </c>
      <c r="H31" s="366">
        <v>33</v>
      </c>
      <c r="I31" s="367">
        <f t="shared" si="0"/>
        <v>19.085</v>
      </c>
      <c r="J31" s="368">
        <v>42505.36319444444</v>
      </c>
      <c r="K31" s="369">
        <v>42505.52638888889</v>
      </c>
      <c r="L31" s="285">
        <f t="shared" si="1"/>
        <v>3.916666666686069</v>
      </c>
      <c r="M31" s="370">
        <f t="shared" si="2"/>
        <v>235</v>
      </c>
      <c r="N31" s="287" t="s">
        <v>130</v>
      </c>
      <c r="O31" s="287" t="str">
        <f t="shared" si="8"/>
        <v>--</v>
      </c>
      <c r="P31" s="371">
        <f t="shared" si="3"/>
        <v>25</v>
      </c>
      <c r="Q31" s="372">
        <f t="shared" si="4"/>
        <v>187.03300000000002</v>
      </c>
      <c r="R31" s="373" t="str">
        <f t="shared" si="5"/>
        <v>--</v>
      </c>
      <c r="S31" s="374" t="str">
        <f t="shared" si="6"/>
        <v>--</v>
      </c>
      <c r="T31" s="375" t="str">
        <f t="shared" si="7"/>
        <v>--</v>
      </c>
      <c r="U31" s="376" t="str">
        <f t="shared" si="9"/>
        <v>SI</v>
      </c>
      <c r="V31" s="379">
        <f t="shared" si="10"/>
        <v>187.03300000000002</v>
      </c>
      <c r="W31" s="298"/>
    </row>
    <row r="32" spans="2:23" s="10" customFormat="1" ht="17.1" customHeight="1">
      <c r="B32" s="44"/>
      <c r="C32" s="271">
        <v>25</v>
      </c>
      <c r="D32" s="268">
        <v>302881</v>
      </c>
      <c r="E32" s="268">
        <v>903</v>
      </c>
      <c r="F32" s="365" t="s">
        <v>138</v>
      </c>
      <c r="G32" s="365" t="s">
        <v>177</v>
      </c>
      <c r="H32" s="366">
        <v>13.2</v>
      </c>
      <c r="I32" s="367">
        <f t="shared" si="0"/>
        <v>19.085</v>
      </c>
      <c r="J32" s="368">
        <v>42507.4125</v>
      </c>
      <c r="K32" s="369">
        <v>42507.58888888889</v>
      </c>
      <c r="L32" s="285">
        <f t="shared" si="1"/>
        <v>4.233333333337214</v>
      </c>
      <c r="M32" s="370">
        <f t="shared" si="2"/>
        <v>254</v>
      </c>
      <c r="N32" s="287" t="s">
        <v>130</v>
      </c>
      <c r="O32" s="287" t="str">
        <f t="shared" si="8"/>
        <v>--</v>
      </c>
      <c r="P32" s="371">
        <f t="shared" si="3"/>
        <v>20</v>
      </c>
      <c r="Q32" s="372">
        <f t="shared" si="4"/>
        <v>161.45910000000003</v>
      </c>
      <c r="R32" s="373" t="str">
        <f t="shared" si="5"/>
        <v>--</v>
      </c>
      <c r="S32" s="374" t="str">
        <f t="shared" si="6"/>
        <v>--</v>
      </c>
      <c r="T32" s="375" t="str">
        <f t="shared" si="7"/>
        <v>--</v>
      </c>
      <c r="U32" s="376" t="str">
        <f t="shared" si="9"/>
        <v>SI</v>
      </c>
      <c r="V32" s="379">
        <f t="shared" si="10"/>
        <v>161.45910000000003</v>
      </c>
      <c r="W32" s="298"/>
    </row>
    <row r="33" spans="2:23" s="10" customFormat="1" ht="17.1" customHeight="1">
      <c r="B33" s="44"/>
      <c r="C33" s="271">
        <v>26</v>
      </c>
      <c r="D33" s="268">
        <v>302882</v>
      </c>
      <c r="E33" s="268">
        <v>919</v>
      </c>
      <c r="F33" s="365" t="s">
        <v>154</v>
      </c>
      <c r="G33" s="365" t="s">
        <v>178</v>
      </c>
      <c r="H33" s="366">
        <v>132</v>
      </c>
      <c r="I33" s="367">
        <f t="shared" si="0"/>
        <v>25.439</v>
      </c>
      <c r="J33" s="368">
        <v>42507.41805555556</v>
      </c>
      <c r="K33" s="369">
        <v>42507.799305555556</v>
      </c>
      <c r="L33" s="285">
        <f t="shared" si="1"/>
        <v>9.149999999965075</v>
      </c>
      <c r="M33" s="370">
        <f t="shared" si="2"/>
        <v>549</v>
      </c>
      <c r="N33" s="287" t="s">
        <v>130</v>
      </c>
      <c r="O33" s="287" t="str">
        <f t="shared" si="8"/>
        <v>--</v>
      </c>
      <c r="P33" s="371">
        <f t="shared" si="3"/>
        <v>50</v>
      </c>
      <c r="Q33" s="372">
        <f t="shared" si="4"/>
        <v>1163.83425</v>
      </c>
      <c r="R33" s="373" t="str">
        <f t="shared" si="5"/>
        <v>--</v>
      </c>
      <c r="S33" s="374" t="str">
        <f t="shared" si="6"/>
        <v>--</v>
      </c>
      <c r="T33" s="375" t="str">
        <f t="shared" si="7"/>
        <v>--</v>
      </c>
      <c r="U33" s="376" t="str">
        <f t="shared" si="9"/>
        <v>SI</v>
      </c>
      <c r="V33" s="379">
        <f t="shared" si="10"/>
        <v>1163.83425</v>
      </c>
      <c r="W33" s="298"/>
    </row>
    <row r="34" spans="2:23" s="10" customFormat="1" ht="17.1" customHeight="1">
      <c r="B34" s="44"/>
      <c r="C34" s="271">
        <v>27</v>
      </c>
      <c r="D34" s="268">
        <v>302884</v>
      </c>
      <c r="E34" s="268">
        <v>884</v>
      </c>
      <c r="F34" s="365" t="s">
        <v>179</v>
      </c>
      <c r="G34" s="365" t="s">
        <v>180</v>
      </c>
      <c r="H34" s="366">
        <v>13.2</v>
      </c>
      <c r="I34" s="367">
        <f t="shared" si="0"/>
        <v>19.085</v>
      </c>
      <c r="J34" s="368">
        <v>42508.42361111111</v>
      </c>
      <c r="K34" s="369">
        <v>42508.595138888886</v>
      </c>
      <c r="L34" s="285">
        <f t="shared" si="1"/>
        <v>4.116666666639503</v>
      </c>
      <c r="M34" s="370">
        <f t="shared" si="2"/>
        <v>247</v>
      </c>
      <c r="N34" s="287" t="s">
        <v>130</v>
      </c>
      <c r="O34" s="287" t="str">
        <f t="shared" si="8"/>
        <v>--</v>
      </c>
      <c r="P34" s="371">
        <f t="shared" si="3"/>
        <v>20</v>
      </c>
      <c r="Q34" s="372">
        <f t="shared" si="4"/>
        <v>157.26040000000003</v>
      </c>
      <c r="R34" s="373" t="str">
        <f t="shared" si="5"/>
        <v>--</v>
      </c>
      <c r="S34" s="374" t="str">
        <f t="shared" si="6"/>
        <v>--</v>
      </c>
      <c r="T34" s="375" t="str">
        <f t="shared" si="7"/>
        <v>--</v>
      </c>
      <c r="U34" s="376" t="str">
        <f t="shared" si="9"/>
        <v>SI</v>
      </c>
      <c r="V34" s="379">
        <f t="shared" si="10"/>
        <v>157.26040000000003</v>
      </c>
      <c r="W34" s="298"/>
    </row>
    <row r="35" spans="2:23" s="10" customFormat="1" ht="17.1" customHeight="1">
      <c r="B35" s="44"/>
      <c r="C35" s="271">
        <v>28</v>
      </c>
      <c r="D35" s="268">
        <v>302885</v>
      </c>
      <c r="E35" s="268">
        <v>883</v>
      </c>
      <c r="F35" s="365" t="s">
        <v>179</v>
      </c>
      <c r="G35" s="365" t="s">
        <v>181</v>
      </c>
      <c r="H35" s="366">
        <v>13.2</v>
      </c>
      <c r="I35" s="367">
        <f t="shared" si="0"/>
        <v>19.085</v>
      </c>
      <c r="J35" s="368">
        <v>42508.521527777775</v>
      </c>
      <c r="K35" s="369">
        <v>42508.74444444444</v>
      </c>
      <c r="L35" s="285">
        <f t="shared" si="1"/>
        <v>5.349999999976717</v>
      </c>
      <c r="M35" s="370">
        <f t="shared" si="2"/>
        <v>321</v>
      </c>
      <c r="N35" s="287" t="s">
        <v>130</v>
      </c>
      <c r="O35" s="287" t="str">
        <f t="shared" si="8"/>
        <v>--</v>
      </c>
      <c r="P35" s="371">
        <f t="shared" si="3"/>
        <v>20</v>
      </c>
      <c r="Q35" s="372">
        <f t="shared" si="4"/>
        <v>204.20950000000002</v>
      </c>
      <c r="R35" s="373" t="str">
        <f t="shared" si="5"/>
        <v>--</v>
      </c>
      <c r="S35" s="374" t="str">
        <f t="shared" si="6"/>
        <v>--</v>
      </c>
      <c r="T35" s="375" t="str">
        <f t="shared" si="7"/>
        <v>--</v>
      </c>
      <c r="U35" s="376" t="str">
        <f t="shared" si="9"/>
        <v>SI</v>
      </c>
      <c r="V35" s="379">
        <f t="shared" si="10"/>
        <v>204.20950000000002</v>
      </c>
      <c r="W35" s="298"/>
    </row>
    <row r="36" spans="2:23" s="10" customFormat="1" ht="17.1" customHeight="1">
      <c r="B36" s="44"/>
      <c r="C36" s="271">
        <v>29</v>
      </c>
      <c r="D36" s="268">
        <v>302886</v>
      </c>
      <c r="E36" s="268">
        <v>901</v>
      </c>
      <c r="F36" s="365" t="s">
        <v>138</v>
      </c>
      <c r="G36" s="365" t="s">
        <v>182</v>
      </c>
      <c r="H36" s="366">
        <v>13.2</v>
      </c>
      <c r="I36" s="367">
        <f t="shared" si="0"/>
        <v>19.085</v>
      </c>
      <c r="J36" s="368">
        <v>42509.395833333336</v>
      </c>
      <c r="K36" s="369">
        <v>42509.68472222222</v>
      </c>
      <c r="L36" s="285">
        <f t="shared" si="1"/>
        <v>6.93333333323244</v>
      </c>
      <c r="M36" s="370">
        <f t="shared" si="2"/>
        <v>416</v>
      </c>
      <c r="N36" s="287" t="s">
        <v>130</v>
      </c>
      <c r="O36" s="287" t="str">
        <f t="shared" si="8"/>
        <v>--</v>
      </c>
      <c r="P36" s="371">
        <f t="shared" si="3"/>
        <v>20</v>
      </c>
      <c r="Q36" s="372">
        <f t="shared" si="4"/>
        <v>264.5181</v>
      </c>
      <c r="R36" s="373" t="str">
        <f t="shared" si="5"/>
        <v>--</v>
      </c>
      <c r="S36" s="374" t="str">
        <f t="shared" si="6"/>
        <v>--</v>
      </c>
      <c r="T36" s="375" t="str">
        <f t="shared" si="7"/>
        <v>--</v>
      </c>
      <c r="U36" s="376" t="str">
        <f t="shared" si="9"/>
        <v>SI</v>
      </c>
      <c r="V36" s="379">
        <f t="shared" si="10"/>
        <v>264.5181</v>
      </c>
      <c r="W36" s="298"/>
    </row>
    <row r="37" spans="2:23" s="10" customFormat="1" ht="17.1" customHeight="1">
      <c r="B37" s="44"/>
      <c r="C37" s="271">
        <v>30</v>
      </c>
      <c r="D37" s="268">
        <v>302887</v>
      </c>
      <c r="E37" s="268">
        <v>919</v>
      </c>
      <c r="F37" s="365" t="s">
        <v>154</v>
      </c>
      <c r="G37" s="365" t="s">
        <v>178</v>
      </c>
      <c r="H37" s="366">
        <v>132</v>
      </c>
      <c r="I37" s="367">
        <f t="shared" si="0"/>
        <v>25.439</v>
      </c>
      <c r="J37" s="368">
        <v>42509.40347222222</v>
      </c>
      <c r="K37" s="369">
        <v>42509.59305555555</v>
      </c>
      <c r="L37" s="285">
        <f t="shared" si="1"/>
        <v>4.5499999999883585</v>
      </c>
      <c r="M37" s="370">
        <f t="shared" si="2"/>
        <v>273</v>
      </c>
      <c r="N37" s="287" t="s">
        <v>130</v>
      </c>
      <c r="O37" s="287" t="str">
        <f t="shared" si="8"/>
        <v>--</v>
      </c>
      <c r="P37" s="371">
        <f t="shared" si="3"/>
        <v>50</v>
      </c>
      <c r="Q37" s="372">
        <f t="shared" si="4"/>
        <v>578.73725</v>
      </c>
      <c r="R37" s="373" t="str">
        <f t="shared" si="5"/>
        <v>--</v>
      </c>
      <c r="S37" s="374" t="str">
        <f t="shared" si="6"/>
        <v>--</v>
      </c>
      <c r="T37" s="375" t="str">
        <f t="shared" si="7"/>
        <v>--</v>
      </c>
      <c r="U37" s="376" t="str">
        <f t="shared" si="9"/>
        <v>SI</v>
      </c>
      <c r="V37" s="379">
        <f t="shared" si="10"/>
        <v>578.73725</v>
      </c>
      <c r="W37" s="298"/>
    </row>
    <row r="38" spans="2:23" s="10" customFormat="1" ht="17.1" customHeight="1">
      <c r="B38" s="44"/>
      <c r="C38" s="271">
        <v>31</v>
      </c>
      <c r="D38" s="268">
        <v>302888</v>
      </c>
      <c r="E38" s="268">
        <v>4021</v>
      </c>
      <c r="F38" s="365" t="s">
        <v>134</v>
      </c>
      <c r="G38" s="365" t="s">
        <v>183</v>
      </c>
      <c r="H38" s="366">
        <v>13.2</v>
      </c>
      <c r="I38" s="367">
        <f t="shared" si="0"/>
        <v>19.085</v>
      </c>
      <c r="J38" s="368">
        <v>42509.41875</v>
      </c>
      <c r="K38" s="369">
        <v>42509.7</v>
      </c>
      <c r="L38" s="285">
        <f t="shared" si="1"/>
        <v>6.75</v>
      </c>
      <c r="M38" s="370">
        <f t="shared" si="2"/>
        <v>405</v>
      </c>
      <c r="N38" s="287" t="s">
        <v>130</v>
      </c>
      <c r="O38" s="287" t="str">
        <f t="shared" si="8"/>
        <v>--</v>
      </c>
      <c r="P38" s="371">
        <f t="shared" si="3"/>
        <v>20</v>
      </c>
      <c r="Q38" s="372">
        <f t="shared" si="4"/>
        <v>257.64750000000004</v>
      </c>
      <c r="R38" s="373" t="str">
        <f t="shared" si="5"/>
        <v>--</v>
      </c>
      <c r="S38" s="374" t="str">
        <f t="shared" si="6"/>
        <v>--</v>
      </c>
      <c r="T38" s="375" t="str">
        <f t="shared" si="7"/>
        <v>--</v>
      </c>
      <c r="U38" s="376" t="str">
        <f t="shared" si="9"/>
        <v>SI</v>
      </c>
      <c r="V38" s="379">
        <f t="shared" si="10"/>
        <v>257.64750000000004</v>
      </c>
      <c r="W38" s="298"/>
    </row>
    <row r="39" spans="2:23" s="10" customFormat="1" ht="17.1" customHeight="1">
      <c r="B39" s="44"/>
      <c r="C39" s="271"/>
      <c r="D39" s="268"/>
      <c r="E39" s="268"/>
      <c r="F39" s="365"/>
      <c r="G39" s="365"/>
      <c r="H39" s="366"/>
      <c r="I39" s="367">
        <f t="shared" si="0"/>
        <v>19.085</v>
      </c>
      <c r="J39" s="368"/>
      <c r="K39" s="369"/>
      <c r="L39" s="285" t="str">
        <f aca="true" t="shared" si="11" ref="L39:L40">IF(F39="","",(K39-J39)*24)</f>
        <v/>
      </c>
      <c r="M39" s="370" t="str">
        <f aca="true" t="shared" si="12" ref="M39:M40">IF(F39="","",ROUND((K39-J39)*24*60,0))</f>
        <v/>
      </c>
      <c r="N39" s="287"/>
      <c r="O39" s="287" t="str">
        <f aca="true" t="shared" si="13" ref="O39:O40">IF(F39="","",IF(OR(N39="P",N39="RP"),"--","NO"))</f>
        <v/>
      </c>
      <c r="P39" s="371">
        <f t="shared" si="3"/>
        <v>20</v>
      </c>
      <c r="Q39" s="372" t="str">
        <f t="shared" si="4"/>
        <v>--</v>
      </c>
      <c r="R39" s="373" t="str">
        <f t="shared" si="5"/>
        <v>--</v>
      </c>
      <c r="S39" s="374" t="str">
        <f t="shared" si="6"/>
        <v>--</v>
      </c>
      <c r="T39" s="375" t="str">
        <f t="shared" si="7"/>
        <v>--</v>
      </c>
      <c r="U39" s="376" t="str">
        <f t="shared" si="9"/>
        <v/>
      </c>
      <c r="V39" s="379" t="str">
        <f t="shared" si="10"/>
        <v/>
      </c>
      <c r="W39" s="298"/>
    </row>
    <row r="40" spans="2:23" s="10" customFormat="1" ht="17.1" customHeight="1">
      <c r="B40" s="44"/>
      <c r="C40" s="271"/>
      <c r="D40" s="268"/>
      <c r="E40" s="268"/>
      <c r="F40" s="365"/>
      <c r="G40" s="365"/>
      <c r="H40" s="366"/>
      <c r="I40" s="367">
        <f t="shared" si="0"/>
        <v>19.085</v>
      </c>
      <c r="J40" s="368"/>
      <c r="K40" s="369"/>
      <c r="L40" s="285" t="str">
        <f t="shared" si="11"/>
        <v/>
      </c>
      <c r="M40" s="370" t="str">
        <f t="shared" si="12"/>
        <v/>
      </c>
      <c r="N40" s="287"/>
      <c r="O40" s="287" t="str">
        <f t="shared" si="13"/>
        <v/>
      </c>
      <c r="P40" s="371">
        <f t="shared" si="3"/>
        <v>20</v>
      </c>
      <c r="Q40" s="372" t="str">
        <f t="shared" si="4"/>
        <v>--</v>
      </c>
      <c r="R40" s="373" t="str">
        <f t="shared" si="5"/>
        <v>--</v>
      </c>
      <c r="S40" s="374" t="str">
        <f t="shared" si="6"/>
        <v>--</v>
      </c>
      <c r="T40" s="375" t="str">
        <f t="shared" si="7"/>
        <v>--</v>
      </c>
      <c r="U40" s="376" t="str">
        <f t="shared" si="9"/>
        <v/>
      </c>
      <c r="V40" s="379" t="str">
        <f t="shared" si="10"/>
        <v/>
      </c>
      <c r="W40" s="298"/>
    </row>
    <row r="41" spans="2:23" s="10" customFormat="1" ht="17.1" customHeight="1">
      <c r="B41" s="44"/>
      <c r="C41" s="271"/>
      <c r="D41" s="268"/>
      <c r="E41" s="268"/>
      <c r="F41" s="365"/>
      <c r="G41" s="365"/>
      <c r="H41" s="366"/>
      <c r="I41" s="367">
        <f t="shared" si="0"/>
        <v>19.085</v>
      </c>
      <c r="J41" s="368"/>
      <c r="K41" s="369"/>
      <c r="L41" s="285" t="str">
        <f t="shared" si="1"/>
        <v/>
      </c>
      <c r="M41" s="370" t="str">
        <f t="shared" si="2"/>
        <v/>
      </c>
      <c r="N41" s="287"/>
      <c r="O41" s="287" t="str">
        <f t="shared" si="8"/>
        <v/>
      </c>
      <c r="P41" s="371">
        <f t="shared" si="3"/>
        <v>20</v>
      </c>
      <c r="Q41" s="372" t="str">
        <f t="shared" si="4"/>
        <v>--</v>
      </c>
      <c r="R41" s="373" t="str">
        <f t="shared" si="5"/>
        <v>--</v>
      </c>
      <c r="S41" s="374" t="str">
        <f t="shared" si="6"/>
        <v>--</v>
      </c>
      <c r="T41" s="375" t="str">
        <f t="shared" si="7"/>
        <v>--</v>
      </c>
      <c r="U41" s="376" t="str">
        <f t="shared" si="9"/>
        <v/>
      </c>
      <c r="V41" s="379" t="str">
        <f t="shared" si="10"/>
        <v/>
      </c>
      <c r="W41" s="298"/>
    </row>
    <row r="42" spans="2:23" s="10" customFormat="1" ht="17.1" customHeight="1" thickBot="1">
      <c r="B42" s="44"/>
      <c r="C42" s="299"/>
      <c r="D42" s="299"/>
      <c r="E42" s="299"/>
      <c r="F42" s="299"/>
      <c r="G42" s="299"/>
      <c r="H42" s="299"/>
      <c r="I42" s="380"/>
      <c r="J42" s="299"/>
      <c r="K42" s="299"/>
      <c r="L42" s="299"/>
      <c r="M42" s="299"/>
      <c r="N42" s="299"/>
      <c r="O42" s="299"/>
      <c r="P42" s="381"/>
      <c r="Q42" s="382"/>
      <c r="R42" s="383"/>
      <c r="S42" s="384"/>
      <c r="T42" s="385"/>
      <c r="U42" s="299"/>
      <c r="V42" s="386"/>
      <c r="W42" s="298"/>
    </row>
    <row r="43" spans="2:23" s="10" customFormat="1" ht="17.1" customHeight="1" thickBot="1" thickTop="1">
      <c r="B43" s="44"/>
      <c r="C43" s="171" t="s">
        <v>73</v>
      </c>
      <c r="D43" s="418" t="s">
        <v>149</v>
      </c>
      <c r="E43" s="186"/>
      <c r="F43" s="17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387">
        <f>SUM(Q20:Q42)</f>
        <v>12835.75965</v>
      </c>
      <c r="R43" s="388">
        <f>SUM(R20:R42)</f>
        <v>858.825</v>
      </c>
      <c r="S43" s="388">
        <f>SUM(S20:S42)</f>
        <v>25.76475</v>
      </c>
      <c r="T43" s="389">
        <f>SUM(T20:T42)</f>
        <v>0</v>
      </c>
      <c r="U43" s="390"/>
      <c r="V43" s="391">
        <f>ROUND(SUM(V20:V42),2)</f>
        <v>13720.35</v>
      </c>
      <c r="W43" s="298"/>
    </row>
    <row r="44" spans="2:23" s="184" customFormat="1" ht="9.75" thickTop="1">
      <c r="B44" s="185"/>
      <c r="C44" s="186"/>
      <c r="D44" s="186"/>
      <c r="E44" s="186"/>
      <c r="F44" s="187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392"/>
      <c r="W44" s="324"/>
    </row>
    <row r="45" spans="2:23" s="10" customFormat="1" ht="17.1" customHeight="1" thickBot="1">
      <c r="B45" s="197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7"/>
    </row>
    <row r="46" spans="2:23" ht="17.1" customHeight="1" thickTop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3:6" ht="17.1" customHeight="1">
      <c r="C47" s="393"/>
      <c r="D47" s="393"/>
      <c r="E47" s="393"/>
      <c r="F47" s="393"/>
    </row>
    <row r="48" ht="17.1" customHeight="1"/>
    <row r="49" ht="17.1" customHeight="1"/>
    <row r="50" ht="17.1" customHeight="1"/>
    <row r="51" ht="17.1" customHeight="1"/>
    <row r="52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Referencias_Salidas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zoomScale="75" zoomScaleNormal="75" workbookViewId="0" topLeftCell="A1">
      <selection activeCell="B42" sqref="B42"/>
    </sheetView>
  </sheetViews>
  <sheetFormatPr defaultColWidth="11.421875" defaultRowHeight="12.75"/>
  <cols>
    <col min="1" max="3" width="4.140625" style="589" customWidth="1"/>
    <col min="4" max="5" width="13.7109375" style="589" customWidth="1"/>
    <col min="6" max="6" width="40.7109375" style="589" customWidth="1"/>
    <col min="7" max="7" width="8.7109375" style="589" customWidth="1"/>
    <col min="8" max="8" width="9.7109375" style="589" customWidth="1"/>
    <col min="9" max="9" width="11.7109375" style="589" hidden="1" customWidth="1"/>
    <col min="10" max="11" width="16.421875" style="589" customWidth="1"/>
    <col min="12" max="14" width="9.7109375" style="589" customWidth="1"/>
    <col min="15" max="15" width="5.28125" style="589" bestFit="1" customWidth="1"/>
    <col min="16" max="16" width="13.140625" style="589" hidden="1" customWidth="1"/>
    <col min="17" max="17" width="12.28125" style="589" hidden="1" customWidth="1"/>
    <col min="18" max="23" width="7.140625" style="589" hidden="1" customWidth="1"/>
    <col min="24" max="25" width="12.28125" style="589" hidden="1" customWidth="1"/>
    <col min="26" max="26" width="9.7109375" style="589" customWidth="1"/>
    <col min="27" max="27" width="15.7109375" style="589" customWidth="1"/>
    <col min="28" max="28" width="4.140625" style="589" customWidth="1"/>
    <col min="29" max="256" width="11.421875" style="589" customWidth="1"/>
    <col min="257" max="259" width="4.140625" style="589" customWidth="1"/>
    <col min="260" max="261" width="13.7109375" style="589" customWidth="1"/>
    <col min="262" max="262" width="40.7109375" style="589" customWidth="1"/>
    <col min="263" max="263" width="8.7109375" style="589" customWidth="1"/>
    <col min="264" max="264" width="9.7109375" style="589" customWidth="1"/>
    <col min="265" max="265" width="11.421875" style="589" hidden="1" customWidth="1"/>
    <col min="266" max="267" width="16.421875" style="589" customWidth="1"/>
    <col min="268" max="270" width="9.7109375" style="589" customWidth="1"/>
    <col min="271" max="271" width="7.7109375" style="589" customWidth="1"/>
    <col min="272" max="281" width="11.421875" style="589" hidden="1" customWidth="1"/>
    <col min="282" max="282" width="9.7109375" style="589" customWidth="1"/>
    <col min="283" max="283" width="15.7109375" style="589" customWidth="1"/>
    <col min="284" max="284" width="4.140625" style="589" customWidth="1"/>
    <col min="285" max="512" width="11.421875" style="589" customWidth="1"/>
    <col min="513" max="515" width="4.140625" style="589" customWidth="1"/>
    <col min="516" max="517" width="13.7109375" style="589" customWidth="1"/>
    <col min="518" max="518" width="40.7109375" style="589" customWidth="1"/>
    <col min="519" max="519" width="8.7109375" style="589" customWidth="1"/>
    <col min="520" max="520" width="9.7109375" style="589" customWidth="1"/>
    <col min="521" max="521" width="11.421875" style="589" hidden="1" customWidth="1"/>
    <col min="522" max="523" width="16.421875" style="589" customWidth="1"/>
    <col min="524" max="526" width="9.7109375" style="589" customWidth="1"/>
    <col min="527" max="527" width="7.7109375" style="589" customWidth="1"/>
    <col min="528" max="537" width="11.421875" style="589" hidden="1" customWidth="1"/>
    <col min="538" max="538" width="9.7109375" style="589" customWidth="1"/>
    <col min="539" max="539" width="15.7109375" style="589" customWidth="1"/>
    <col min="540" max="540" width="4.140625" style="589" customWidth="1"/>
    <col min="541" max="768" width="11.421875" style="589" customWidth="1"/>
    <col min="769" max="771" width="4.140625" style="589" customWidth="1"/>
    <col min="772" max="773" width="13.7109375" style="589" customWidth="1"/>
    <col min="774" max="774" width="40.7109375" style="589" customWidth="1"/>
    <col min="775" max="775" width="8.7109375" style="589" customWidth="1"/>
    <col min="776" max="776" width="9.7109375" style="589" customWidth="1"/>
    <col min="777" max="777" width="11.421875" style="589" hidden="1" customWidth="1"/>
    <col min="778" max="779" width="16.421875" style="589" customWidth="1"/>
    <col min="780" max="782" width="9.7109375" style="589" customWidth="1"/>
    <col min="783" max="783" width="7.7109375" style="589" customWidth="1"/>
    <col min="784" max="793" width="11.421875" style="589" hidden="1" customWidth="1"/>
    <col min="794" max="794" width="9.7109375" style="589" customWidth="1"/>
    <col min="795" max="795" width="15.7109375" style="589" customWidth="1"/>
    <col min="796" max="796" width="4.140625" style="589" customWidth="1"/>
    <col min="797" max="1024" width="11.421875" style="589" customWidth="1"/>
    <col min="1025" max="1027" width="4.140625" style="589" customWidth="1"/>
    <col min="1028" max="1029" width="13.7109375" style="589" customWidth="1"/>
    <col min="1030" max="1030" width="40.7109375" style="589" customWidth="1"/>
    <col min="1031" max="1031" width="8.7109375" style="589" customWidth="1"/>
    <col min="1032" max="1032" width="9.7109375" style="589" customWidth="1"/>
    <col min="1033" max="1033" width="11.421875" style="589" hidden="1" customWidth="1"/>
    <col min="1034" max="1035" width="16.421875" style="589" customWidth="1"/>
    <col min="1036" max="1038" width="9.7109375" style="589" customWidth="1"/>
    <col min="1039" max="1039" width="7.7109375" style="589" customWidth="1"/>
    <col min="1040" max="1049" width="11.421875" style="589" hidden="1" customWidth="1"/>
    <col min="1050" max="1050" width="9.7109375" style="589" customWidth="1"/>
    <col min="1051" max="1051" width="15.7109375" style="589" customWidth="1"/>
    <col min="1052" max="1052" width="4.140625" style="589" customWidth="1"/>
    <col min="1053" max="1280" width="11.421875" style="589" customWidth="1"/>
    <col min="1281" max="1283" width="4.140625" style="589" customWidth="1"/>
    <col min="1284" max="1285" width="13.7109375" style="589" customWidth="1"/>
    <col min="1286" max="1286" width="40.7109375" style="589" customWidth="1"/>
    <col min="1287" max="1287" width="8.7109375" style="589" customWidth="1"/>
    <col min="1288" max="1288" width="9.7109375" style="589" customWidth="1"/>
    <col min="1289" max="1289" width="11.421875" style="589" hidden="1" customWidth="1"/>
    <col min="1290" max="1291" width="16.421875" style="589" customWidth="1"/>
    <col min="1292" max="1294" width="9.7109375" style="589" customWidth="1"/>
    <col min="1295" max="1295" width="7.7109375" style="589" customWidth="1"/>
    <col min="1296" max="1305" width="11.421875" style="589" hidden="1" customWidth="1"/>
    <col min="1306" max="1306" width="9.7109375" style="589" customWidth="1"/>
    <col min="1307" max="1307" width="15.7109375" style="589" customWidth="1"/>
    <col min="1308" max="1308" width="4.140625" style="589" customWidth="1"/>
    <col min="1309" max="1536" width="11.421875" style="589" customWidth="1"/>
    <col min="1537" max="1539" width="4.140625" style="589" customWidth="1"/>
    <col min="1540" max="1541" width="13.7109375" style="589" customWidth="1"/>
    <col min="1542" max="1542" width="40.7109375" style="589" customWidth="1"/>
    <col min="1543" max="1543" width="8.7109375" style="589" customWidth="1"/>
    <col min="1544" max="1544" width="9.7109375" style="589" customWidth="1"/>
    <col min="1545" max="1545" width="11.421875" style="589" hidden="1" customWidth="1"/>
    <col min="1546" max="1547" width="16.421875" style="589" customWidth="1"/>
    <col min="1548" max="1550" width="9.7109375" style="589" customWidth="1"/>
    <col min="1551" max="1551" width="7.7109375" style="589" customWidth="1"/>
    <col min="1552" max="1561" width="11.421875" style="589" hidden="1" customWidth="1"/>
    <col min="1562" max="1562" width="9.7109375" style="589" customWidth="1"/>
    <col min="1563" max="1563" width="15.7109375" style="589" customWidth="1"/>
    <col min="1564" max="1564" width="4.140625" style="589" customWidth="1"/>
    <col min="1565" max="1792" width="11.421875" style="589" customWidth="1"/>
    <col min="1793" max="1795" width="4.140625" style="589" customWidth="1"/>
    <col min="1796" max="1797" width="13.7109375" style="589" customWidth="1"/>
    <col min="1798" max="1798" width="40.7109375" style="589" customWidth="1"/>
    <col min="1799" max="1799" width="8.7109375" style="589" customWidth="1"/>
    <col min="1800" max="1800" width="9.7109375" style="589" customWidth="1"/>
    <col min="1801" max="1801" width="11.421875" style="589" hidden="1" customWidth="1"/>
    <col min="1802" max="1803" width="16.421875" style="589" customWidth="1"/>
    <col min="1804" max="1806" width="9.7109375" style="589" customWidth="1"/>
    <col min="1807" max="1807" width="7.7109375" style="589" customWidth="1"/>
    <col min="1808" max="1817" width="11.421875" style="589" hidden="1" customWidth="1"/>
    <col min="1818" max="1818" width="9.7109375" style="589" customWidth="1"/>
    <col min="1819" max="1819" width="15.7109375" style="589" customWidth="1"/>
    <col min="1820" max="1820" width="4.140625" style="589" customWidth="1"/>
    <col min="1821" max="2048" width="11.421875" style="589" customWidth="1"/>
    <col min="2049" max="2051" width="4.140625" style="589" customWidth="1"/>
    <col min="2052" max="2053" width="13.7109375" style="589" customWidth="1"/>
    <col min="2054" max="2054" width="40.7109375" style="589" customWidth="1"/>
    <col min="2055" max="2055" width="8.7109375" style="589" customWidth="1"/>
    <col min="2056" max="2056" width="9.7109375" style="589" customWidth="1"/>
    <col min="2057" max="2057" width="11.421875" style="589" hidden="1" customWidth="1"/>
    <col min="2058" max="2059" width="16.421875" style="589" customWidth="1"/>
    <col min="2060" max="2062" width="9.7109375" style="589" customWidth="1"/>
    <col min="2063" max="2063" width="7.7109375" style="589" customWidth="1"/>
    <col min="2064" max="2073" width="11.421875" style="589" hidden="1" customWidth="1"/>
    <col min="2074" max="2074" width="9.7109375" style="589" customWidth="1"/>
    <col min="2075" max="2075" width="15.7109375" style="589" customWidth="1"/>
    <col min="2076" max="2076" width="4.140625" style="589" customWidth="1"/>
    <col min="2077" max="2304" width="11.421875" style="589" customWidth="1"/>
    <col min="2305" max="2307" width="4.140625" style="589" customWidth="1"/>
    <col min="2308" max="2309" width="13.7109375" style="589" customWidth="1"/>
    <col min="2310" max="2310" width="40.7109375" style="589" customWidth="1"/>
    <col min="2311" max="2311" width="8.7109375" style="589" customWidth="1"/>
    <col min="2312" max="2312" width="9.7109375" style="589" customWidth="1"/>
    <col min="2313" max="2313" width="11.421875" style="589" hidden="1" customWidth="1"/>
    <col min="2314" max="2315" width="16.421875" style="589" customWidth="1"/>
    <col min="2316" max="2318" width="9.7109375" style="589" customWidth="1"/>
    <col min="2319" max="2319" width="7.7109375" style="589" customWidth="1"/>
    <col min="2320" max="2329" width="11.421875" style="589" hidden="1" customWidth="1"/>
    <col min="2330" max="2330" width="9.7109375" style="589" customWidth="1"/>
    <col min="2331" max="2331" width="15.7109375" style="589" customWidth="1"/>
    <col min="2332" max="2332" width="4.140625" style="589" customWidth="1"/>
    <col min="2333" max="2560" width="11.421875" style="589" customWidth="1"/>
    <col min="2561" max="2563" width="4.140625" style="589" customWidth="1"/>
    <col min="2564" max="2565" width="13.7109375" style="589" customWidth="1"/>
    <col min="2566" max="2566" width="40.7109375" style="589" customWidth="1"/>
    <col min="2567" max="2567" width="8.7109375" style="589" customWidth="1"/>
    <col min="2568" max="2568" width="9.7109375" style="589" customWidth="1"/>
    <col min="2569" max="2569" width="11.421875" style="589" hidden="1" customWidth="1"/>
    <col min="2570" max="2571" width="16.421875" style="589" customWidth="1"/>
    <col min="2572" max="2574" width="9.7109375" style="589" customWidth="1"/>
    <col min="2575" max="2575" width="7.7109375" style="589" customWidth="1"/>
    <col min="2576" max="2585" width="11.421875" style="589" hidden="1" customWidth="1"/>
    <col min="2586" max="2586" width="9.7109375" style="589" customWidth="1"/>
    <col min="2587" max="2587" width="15.7109375" style="589" customWidth="1"/>
    <col min="2588" max="2588" width="4.140625" style="589" customWidth="1"/>
    <col min="2589" max="2816" width="11.421875" style="589" customWidth="1"/>
    <col min="2817" max="2819" width="4.140625" style="589" customWidth="1"/>
    <col min="2820" max="2821" width="13.7109375" style="589" customWidth="1"/>
    <col min="2822" max="2822" width="40.7109375" style="589" customWidth="1"/>
    <col min="2823" max="2823" width="8.7109375" style="589" customWidth="1"/>
    <col min="2824" max="2824" width="9.7109375" style="589" customWidth="1"/>
    <col min="2825" max="2825" width="11.421875" style="589" hidden="1" customWidth="1"/>
    <col min="2826" max="2827" width="16.421875" style="589" customWidth="1"/>
    <col min="2828" max="2830" width="9.7109375" style="589" customWidth="1"/>
    <col min="2831" max="2831" width="7.7109375" style="589" customWidth="1"/>
    <col min="2832" max="2841" width="11.421875" style="589" hidden="1" customWidth="1"/>
    <col min="2842" max="2842" width="9.7109375" style="589" customWidth="1"/>
    <col min="2843" max="2843" width="15.7109375" style="589" customWidth="1"/>
    <col min="2844" max="2844" width="4.140625" style="589" customWidth="1"/>
    <col min="2845" max="3072" width="11.421875" style="589" customWidth="1"/>
    <col min="3073" max="3075" width="4.140625" style="589" customWidth="1"/>
    <col min="3076" max="3077" width="13.7109375" style="589" customWidth="1"/>
    <col min="3078" max="3078" width="40.7109375" style="589" customWidth="1"/>
    <col min="3079" max="3079" width="8.7109375" style="589" customWidth="1"/>
    <col min="3080" max="3080" width="9.7109375" style="589" customWidth="1"/>
    <col min="3081" max="3081" width="11.421875" style="589" hidden="1" customWidth="1"/>
    <col min="3082" max="3083" width="16.421875" style="589" customWidth="1"/>
    <col min="3084" max="3086" width="9.7109375" style="589" customWidth="1"/>
    <col min="3087" max="3087" width="7.7109375" style="589" customWidth="1"/>
    <col min="3088" max="3097" width="11.421875" style="589" hidden="1" customWidth="1"/>
    <col min="3098" max="3098" width="9.7109375" style="589" customWidth="1"/>
    <col min="3099" max="3099" width="15.7109375" style="589" customWidth="1"/>
    <col min="3100" max="3100" width="4.140625" style="589" customWidth="1"/>
    <col min="3101" max="3328" width="11.421875" style="589" customWidth="1"/>
    <col min="3329" max="3331" width="4.140625" style="589" customWidth="1"/>
    <col min="3332" max="3333" width="13.7109375" style="589" customWidth="1"/>
    <col min="3334" max="3334" width="40.7109375" style="589" customWidth="1"/>
    <col min="3335" max="3335" width="8.7109375" style="589" customWidth="1"/>
    <col min="3336" max="3336" width="9.7109375" style="589" customWidth="1"/>
    <col min="3337" max="3337" width="11.421875" style="589" hidden="1" customWidth="1"/>
    <col min="3338" max="3339" width="16.421875" style="589" customWidth="1"/>
    <col min="3340" max="3342" width="9.7109375" style="589" customWidth="1"/>
    <col min="3343" max="3343" width="7.7109375" style="589" customWidth="1"/>
    <col min="3344" max="3353" width="11.421875" style="589" hidden="1" customWidth="1"/>
    <col min="3354" max="3354" width="9.7109375" style="589" customWidth="1"/>
    <col min="3355" max="3355" width="15.7109375" style="589" customWidth="1"/>
    <col min="3356" max="3356" width="4.140625" style="589" customWidth="1"/>
    <col min="3357" max="3584" width="11.421875" style="589" customWidth="1"/>
    <col min="3585" max="3587" width="4.140625" style="589" customWidth="1"/>
    <col min="3588" max="3589" width="13.7109375" style="589" customWidth="1"/>
    <col min="3590" max="3590" width="40.7109375" style="589" customWidth="1"/>
    <col min="3591" max="3591" width="8.7109375" style="589" customWidth="1"/>
    <col min="3592" max="3592" width="9.7109375" style="589" customWidth="1"/>
    <col min="3593" max="3593" width="11.421875" style="589" hidden="1" customWidth="1"/>
    <col min="3594" max="3595" width="16.421875" style="589" customWidth="1"/>
    <col min="3596" max="3598" width="9.7109375" style="589" customWidth="1"/>
    <col min="3599" max="3599" width="7.7109375" style="589" customWidth="1"/>
    <col min="3600" max="3609" width="11.421875" style="589" hidden="1" customWidth="1"/>
    <col min="3610" max="3610" width="9.7109375" style="589" customWidth="1"/>
    <col min="3611" max="3611" width="15.7109375" style="589" customWidth="1"/>
    <col min="3612" max="3612" width="4.140625" style="589" customWidth="1"/>
    <col min="3613" max="3840" width="11.421875" style="589" customWidth="1"/>
    <col min="3841" max="3843" width="4.140625" style="589" customWidth="1"/>
    <col min="3844" max="3845" width="13.7109375" style="589" customWidth="1"/>
    <col min="3846" max="3846" width="40.7109375" style="589" customWidth="1"/>
    <col min="3847" max="3847" width="8.7109375" style="589" customWidth="1"/>
    <col min="3848" max="3848" width="9.7109375" style="589" customWidth="1"/>
    <col min="3849" max="3849" width="11.421875" style="589" hidden="1" customWidth="1"/>
    <col min="3850" max="3851" width="16.421875" style="589" customWidth="1"/>
    <col min="3852" max="3854" width="9.7109375" style="589" customWidth="1"/>
    <col min="3855" max="3855" width="7.7109375" style="589" customWidth="1"/>
    <col min="3856" max="3865" width="11.421875" style="589" hidden="1" customWidth="1"/>
    <col min="3866" max="3866" width="9.7109375" style="589" customWidth="1"/>
    <col min="3867" max="3867" width="15.7109375" style="589" customWidth="1"/>
    <col min="3868" max="3868" width="4.140625" style="589" customWidth="1"/>
    <col min="3869" max="4096" width="11.421875" style="589" customWidth="1"/>
    <col min="4097" max="4099" width="4.140625" style="589" customWidth="1"/>
    <col min="4100" max="4101" width="13.7109375" style="589" customWidth="1"/>
    <col min="4102" max="4102" width="40.7109375" style="589" customWidth="1"/>
    <col min="4103" max="4103" width="8.7109375" style="589" customWidth="1"/>
    <col min="4104" max="4104" width="9.7109375" style="589" customWidth="1"/>
    <col min="4105" max="4105" width="11.421875" style="589" hidden="1" customWidth="1"/>
    <col min="4106" max="4107" width="16.421875" style="589" customWidth="1"/>
    <col min="4108" max="4110" width="9.7109375" style="589" customWidth="1"/>
    <col min="4111" max="4111" width="7.7109375" style="589" customWidth="1"/>
    <col min="4112" max="4121" width="11.421875" style="589" hidden="1" customWidth="1"/>
    <col min="4122" max="4122" width="9.7109375" style="589" customWidth="1"/>
    <col min="4123" max="4123" width="15.7109375" style="589" customWidth="1"/>
    <col min="4124" max="4124" width="4.140625" style="589" customWidth="1"/>
    <col min="4125" max="4352" width="11.421875" style="589" customWidth="1"/>
    <col min="4353" max="4355" width="4.140625" style="589" customWidth="1"/>
    <col min="4356" max="4357" width="13.7109375" style="589" customWidth="1"/>
    <col min="4358" max="4358" width="40.7109375" style="589" customWidth="1"/>
    <col min="4359" max="4359" width="8.7109375" style="589" customWidth="1"/>
    <col min="4360" max="4360" width="9.7109375" style="589" customWidth="1"/>
    <col min="4361" max="4361" width="11.421875" style="589" hidden="1" customWidth="1"/>
    <col min="4362" max="4363" width="16.421875" style="589" customWidth="1"/>
    <col min="4364" max="4366" width="9.7109375" style="589" customWidth="1"/>
    <col min="4367" max="4367" width="7.7109375" style="589" customWidth="1"/>
    <col min="4368" max="4377" width="11.421875" style="589" hidden="1" customWidth="1"/>
    <col min="4378" max="4378" width="9.7109375" style="589" customWidth="1"/>
    <col min="4379" max="4379" width="15.7109375" style="589" customWidth="1"/>
    <col min="4380" max="4380" width="4.140625" style="589" customWidth="1"/>
    <col min="4381" max="4608" width="11.421875" style="589" customWidth="1"/>
    <col min="4609" max="4611" width="4.140625" style="589" customWidth="1"/>
    <col min="4612" max="4613" width="13.7109375" style="589" customWidth="1"/>
    <col min="4614" max="4614" width="40.7109375" style="589" customWidth="1"/>
    <col min="4615" max="4615" width="8.7109375" style="589" customWidth="1"/>
    <col min="4616" max="4616" width="9.7109375" style="589" customWidth="1"/>
    <col min="4617" max="4617" width="11.421875" style="589" hidden="1" customWidth="1"/>
    <col min="4618" max="4619" width="16.421875" style="589" customWidth="1"/>
    <col min="4620" max="4622" width="9.7109375" style="589" customWidth="1"/>
    <col min="4623" max="4623" width="7.7109375" style="589" customWidth="1"/>
    <col min="4624" max="4633" width="11.421875" style="589" hidden="1" customWidth="1"/>
    <col min="4634" max="4634" width="9.7109375" style="589" customWidth="1"/>
    <col min="4635" max="4635" width="15.7109375" style="589" customWidth="1"/>
    <col min="4636" max="4636" width="4.140625" style="589" customWidth="1"/>
    <col min="4637" max="4864" width="11.421875" style="589" customWidth="1"/>
    <col min="4865" max="4867" width="4.140625" style="589" customWidth="1"/>
    <col min="4868" max="4869" width="13.7109375" style="589" customWidth="1"/>
    <col min="4870" max="4870" width="40.7109375" style="589" customWidth="1"/>
    <col min="4871" max="4871" width="8.7109375" style="589" customWidth="1"/>
    <col min="4872" max="4872" width="9.7109375" style="589" customWidth="1"/>
    <col min="4873" max="4873" width="11.421875" style="589" hidden="1" customWidth="1"/>
    <col min="4874" max="4875" width="16.421875" style="589" customWidth="1"/>
    <col min="4876" max="4878" width="9.7109375" style="589" customWidth="1"/>
    <col min="4879" max="4879" width="7.7109375" style="589" customWidth="1"/>
    <col min="4880" max="4889" width="11.421875" style="589" hidden="1" customWidth="1"/>
    <col min="4890" max="4890" width="9.7109375" style="589" customWidth="1"/>
    <col min="4891" max="4891" width="15.7109375" style="589" customWidth="1"/>
    <col min="4892" max="4892" width="4.140625" style="589" customWidth="1"/>
    <col min="4893" max="5120" width="11.421875" style="589" customWidth="1"/>
    <col min="5121" max="5123" width="4.140625" style="589" customWidth="1"/>
    <col min="5124" max="5125" width="13.7109375" style="589" customWidth="1"/>
    <col min="5126" max="5126" width="40.7109375" style="589" customWidth="1"/>
    <col min="5127" max="5127" width="8.7109375" style="589" customWidth="1"/>
    <col min="5128" max="5128" width="9.7109375" style="589" customWidth="1"/>
    <col min="5129" max="5129" width="11.421875" style="589" hidden="1" customWidth="1"/>
    <col min="5130" max="5131" width="16.421875" style="589" customWidth="1"/>
    <col min="5132" max="5134" width="9.7109375" style="589" customWidth="1"/>
    <col min="5135" max="5135" width="7.7109375" style="589" customWidth="1"/>
    <col min="5136" max="5145" width="11.421875" style="589" hidden="1" customWidth="1"/>
    <col min="5146" max="5146" width="9.7109375" style="589" customWidth="1"/>
    <col min="5147" max="5147" width="15.7109375" style="589" customWidth="1"/>
    <col min="5148" max="5148" width="4.140625" style="589" customWidth="1"/>
    <col min="5149" max="5376" width="11.421875" style="589" customWidth="1"/>
    <col min="5377" max="5379" width="4.140625" style="589" customWidth="1"/>
    <col min="5380" max="5381" width="13.7109375" style="589" customWidth="1"/>
    <col min="5382" max="5382" width="40.7109375" style="589" customWidth="1"/>
    <col min="5383" max="5383" width="8.7109375" style="589" customWidth="1"/>
    <col min="5384" max="5384" width="9.7109375" style="589" customWidth="1"/>
    <col min="5385" max="5385" width="11.421875" style="589" hidden="1" customWidth="1"/>
    <col min="5386" max="5387" width="16.421875" style="589" customWidth="1"/>
    <col min="5388" max="5390" width="9.7109375" style="589" customWidth="1"/>
    <col min="5391" max="5391" width="7.7109375" style="589" customWidth="1"/>
    <col min="5392" max="5401" width="11.421875" style="589" hidden="1" customWidth="1"/>
    <col min="5402" max="5402" width="9.7109375" style="589" customWidth="1"/>
    <col min="5403" max="5403" width="15.7109375" style="589" customWidth="1"/>
    <col min="5404" max="5404" width="4.140625" style="589" customWidth="1"/>
    <col min="5405" max="5632" width="11.421875" style="589" customWidth="1"/>
    <col min="5633" max="5635" width="4.140625" style="589" customWidth="1"/>
    <col min="5636" max="5637" width="13.7109375" style="589" customWidth="1"/>
    <col min="5638" max="5638" width="40.7109375" style="589" customWidth="1"/>
    <col min="5639" max="5639" width="8.7109375" style="589" customWidth="1"/>
    <col min="5640" max="5640" width="9.7109375" style="589" customWidth="1"/>
    <col min="5641" max="5641" width="11.421875" style="589" hidden="1" customWidth="1"/>
    <col min="5642" max="5643" width="16.421875" style="589" customWidth="1"/>
    <col min="5644" max="5646" width="9.7109375" style="589" customWidth="1"/>
    <col min="5647" max="5647" width="7.7109375" style="589" customWidth="1"/>
    <col min="5648" max="5657" width="11.421875" style="589" hidden="1" customWidth="1"/>
    <col min="5658" max="5658" width="9.7109375" style="589" customWidth="1"/>
    <col min="5659" max="5659" width="15.7109375" style="589" customWidth="1"/>
    <col min="5660" max="5660" width="4.140625" style="589" customWidth="1"/>
    <col min="5661" max="5888" width="11.421875" style="589" customWidth="1"/>
    <col min="5889" max="5891" width="4.140625" style="589" customWidth="1"/>
    <col min="5892" max="5893" width="13.7109375" style="589" customWidth="1"/>
    <col min="5894" max="5894" width="40.7109375" style="589" customWidth="1"/>
    <col min="5895" max="5895" width="8.7109375" style="589" customWidth="1"/>
    <col min="5896" max="5896" width="9.7109375" style="589" customWidth="1"/>
    <col min="5897" max="5897" width="11.421875" style="589" hidden="1" customWidth="1"/>
    <col min="5898" max="5899" width="16.421875" style="589" customWidth="1"/>
    <col min="5900" max="5902" width="9.7109375" style="589" customWidth="1"/>
    <col min="5903" max="5903" width="7.7109375" style="589" customWidth="1"/>
    <col min="5904" max="5913" width="11.421875" style="589" hidden="1" customWidth="1"/>
    <col min="5914" max="5914" width="9.7109375" style="589" customWidth="1"/>
    <col min="5915" max="5915" width="15.7109375" style="589" customWidth="1"/>
    <col min="5916" max="5916" width="4.140625" style="589" customWidth="1"/>
    <col min="5917" max="6144" width="11.421875" style="589" customWidth="1"/>
    <col min="6145" max="6147" width="4.140625" style="589" customWidth="1"/>
    <col min="6148" max="6149" width="13.7109375" style="589" customWidth="1"/>
    <col min="6150" max="6150" width="40.7109375" style="589" customWidth="1"/>
    <col min="6151" max="6151" width="8.7109375" style="589" customWidth="1"/>
    <col min="6152" max="6152" width="9.7109375" style="589" customWidth="1"/>
    <col min="6153" max="6153" width="11.421875" style="589" hidden="1" customWidth="1"/>
    <col min="6154" max="6155" width="16.421875" style="589" customWidth="1"/>
    <col min="6156" max="6158" width="9.7109375" style="589" customWidth="1"/>
    <col min="6159" max="6159" width="7.7109375" style="589" customWidth="1"/>
    <col min="6160" max="6169" width="11.421875" style="589" hidden="1" customWidth="1"/>
    <col min="6170" max="6170" width="9.7109375" style="589" customWidth="1"/>
    <col min="6171" max="6171" width="15.7109375" style="589" customWidth="1"/>
    <col min="6172" max="6172" width="4.140625" style="589" customWidth="1"/>
    <col min="6173" max="6400" width="11.421875" style="589" customWidth="1"/>
    <col min="6401" max="6403" width="4.140625" style="589" customWidth="1"/>
    <col min="6404" max="6405" width="13.7109375" style="589" customWidth="1"/>
    <col min="6406" max="6406" width="40.7109375" style="589" customWidth="1"/>
    <col min="6407" max="6407" width="8.7109375" style="589" customWidth="1"/>
    <col min="6408" max="6408" width="9.7109375" style="589" customWidth="1"/>
    <col min="6409" max="6409" width="11.421875" style="589" hidden="1" customWidth="1"/>
    <col min="6410" max="6411" width="16.421875" style="589" customWidth="1"/>
    <col min="6412" max="6414" width="9.7109375" style="589" customWidth="1"/>
    <col min="6415" max="6415" width="7.7109375" style="589" customWidth="1"/>
    <col min="6416" max="6425" width="11.421875" style="589" hidden="1" customWidth="1"/>
    <col min="6426" max="6426" width="9.7109375" style="589" customWidth="1"/>
    <col min="6427" max="6427" width="15.7109375" style="589" customWidth="1"/>
    <col min="6428" max="6428" width="4.140625" style="589" customWidth="1"/>
    <col min="6429" max="6656" width="11.421875" style="589" customWidth="1"/>
    <col min="6657" max="6659" width="4.140625" style="589" customWidth="1"/>
    <col min="6660" max="6661" width="13.7109375" style="589" customWidth="1"/>
    <col min="6662" max="6662" width="40.7109375" style="589" customWidth="1"/>
    <col min="6663" max="6663" width="8.7109375" style="589" customWidth="1"/>
    <col min="6664" max="6664" width="9.7109375" style="589" customWidth="1"/>
    <col min="6665" max="6665" width="11.421875" style="589" hidden="1" customWidth="1"/>
    <col min="6666" max="6667" width="16.421875" style="589" customWidth="1"/>
    <col min="6668" max="6670" width="9.7109375" style="589" customWidth="1"/>
    <col min="6671" max="6671" width="7.7109375" style="589" customWidth="1"/>
    <col min="6672" max="6681" width="11.421875" style="589" hidden="1" customWidth="1"/>
    <col min="6682" max="6682" width="9.7109375" style="589" customWidth="1"/>
    <col min="6683" max="6683" width="15.7109375" style="589" customWidth="1"/>
    <col min="6684" max="6684" width="4.140625" style="589" customWidth="1"/>
    <col min="6685" max="6912" width="11.421875" style="589" customWidth="1"/>
    <col min="6913" max="6915" width="4.140625" style="589" customWidth="1"/>
    <col min="6916" max="6917" width="13.7109375" style="589" customWidth="1"/>
    <col min="6918" max="6918" width="40.7109375" style="589" customWidth="1"/>
    <col min="6919" max="6919" width="8.7109375" style="589" customWidth="1"/>
    <col min="6920" max="6920" width="9.7109375" style="589" customWidth="1"/>
    <col min="6921" max="6921" width="11.421875" style="589" hidden="1" customWidth="1"/>
    <col min="6922" max="6923" width="16.421875" style="589" customWidth="1"/>
    <col min="6924" max="6926" width="9.7109375" style="589" customWidth="1"/>
    <col min="6927" max="6927" width="7.7109375" style="589" customWidth="1"/>
    <col min="6928" max="6937" width="11.421875" style="589" hidden="1" customWidth="1"/>
    <col min="6938" max="6938" width="9.7109375" style="589" customWidth="1"/>
    <col min="6939" max="6939" width="15.7109375" style="589" customWidth="1"/>
    <col min="6940" max="6940" width="4.140625" style="589" customWidth="1"/>
    <col min="6941" max="7168" width="11.421875" style="589" customWidth="1"/>
    <col min="7169" max="7171" width="4.140625" style="589" customWidth="1"/>
    <col min="7172" max="7173" width="13.7109375" style="589" customWidth="1"/>
    <col min="7174" max="7174" width="40.7109375" style="589" customWidth="1"/>
    <col min="7175" max="7175" width="8.7109375" style="589" customWidth="1"/>
    <col min="7176" max="7176" width="9.7109375" style="589" customWidth="1"/>
    <col min="7177" max="7177" width="11.421875" style="589" hidden="1" customWidth="1"/>
    <col min="7178" max="7179" width="16.421875" style="589" customWidth="1"/>
    <col min="7180" max="7182" width="9.7109375" style="589" customWidth="1"/>
    <col min="7183" max="7183" width="7.7109375" style="589" customWidth="1"/>
    <col min="7184" max="7193" width="11.421875" style="589" hidden="1" customWidth="1"/>
    <col min="7194" max="7194" width="9.7109375" style="589" customWidth="1"/>
    <col min="7195" max="7195" width="15.7109375" style="589" customWidth="1"/>
    <col min="7196" max="7196" width="4.140625" style="589" customWidth="1"/>
    <col min="7197" max="7424" width="11.421875" style="589" customWidth="1"/>
    <col min="7425" max="7427" width="4.140625" style="589" customWidth="1"/>
    <col min="7428" max="7429" width="13.7109375" style="589" customWidth="1"/>
    <col min="7430" max="7430" width="40.7109375" style="589" customWidth="1"/>
    <col min="7431" max="7431" width="8.7109375" style="589" customWidth="1"/>
    <col min="7432" max="7432" width="9.7109375" style="589" customWidth="1"/>
    <col min="7433" max="7433" width="11.421875" style="589" hidden="1" customWidth="1"/>
    <col min="7434" max="7435" width="16.421875" style="589" customWidth="1"/>
    <col min="7436" max="7438" width="9.7109375" style="589" customWidth="1"/>
    <col min="7439" max="7439" width="7.7109375" style="589" customWidth="1"/>
    <col min="7440" max="7449" width="11.421875" style="589" hidden="1" customWidth="1"/>
    <col min="7450" max="7450" width="9.7109375" style="589" customWidth="1"/>
    <col min="7451" max="7451" width="15.7109375" style="589" customWidth="1"/>
    <col min="7452" max="7452" width="4.140625" style="589" customWidth="1"/>
    <col min="7453" max="7680" width="11.421875" style="589" customWidth="1"/>
    <col min="7681" max="7683" width="4.140625" style="589" customWidth="1"/>
    <col min="7684" max="7685" width="13.7109375" style="589" customWidth="1"/>
    <col min="7686" max="7686" width="40.7109375" style="589" customWidth="1"/>
    <col min="7687" max="7687" width="8.7109375" style="589" customWidth="1"/>
    <col min="7688" max="7688" width="9.7109375" style="589" customWidth="1"/>
    <col min="7689" max="7689" width="11.421875" style="589" hidden="1" customWidth="1"/>
    <col min="7690" max="7691" width="16.421875" style="589" customWidth="1"/>
    <col min="7692" max="7694" width="9.7109375" style="589" customWidth="1"/>
    <col min="7695" max="7695" width="7.7109375" style="589" customWidth="1"/>
    <col min="7696" max="7705" width="11.421875" style="589" hidden="1" customWidth="1"/>
    <col min="7706" max="7706" width="9.7109375" style="589" customWidth="1"/>
    <col min="7707" max="7707" width="15.7109375" style="589" customWidth="1"/>
    <col min="7708" max="7708" width="4.140625" style="589" customWidth="1"/>
    <col min="7709" max="7936" width="11.421875" style="589" customWidth="1"/>
    <col min="7937" max="7939" width="4.140625" style="589" customWidth="1"/>
    <col min="7940" max="7941" width="13.7109375" style="589" customWidth="1"/>
    <col min="7942" max="7942" width="40.7109375" style="589" customWidth="1"/>
    <col min="7943" max="7943" width="8.7109375" style="589" customWidth="1"/>
    <col min="7944" max="7944" width="9.7109375" style="589" customWidth="1"/>
    <col min="7945" max="7945" width="11.421875" style="589" hidden="1" customWidth="1"/>
    <col min="7946" max="7947" width="16.421875" style="589" customWidth="1"/>
    <col min="7948" max="7950" width="9.7109375" style="589" customWidth="1"/>
    <col min="7951" max="7951" width="7.7109375" style="589" customWidth="1"/>
    <col min="7952" max="7961" width="11.421875" style="589" hidden="1" customWidth="1"/>
    <col min="7962" max="7962" width="9.7109375" style="589" customWidth="1"/>
    <col min="7963" max="7963" width="15.7109375" style="589" customWidth="1"/>
    <col min="7964" max="7964" width="4.140625" style="589" customWidth="1"/>
    <col min="7965" max="8192" width="11.421875" style="589" customWidth="1"/>
    <col min="8193" max="8195" width="4.140625" style="589" customWidth="1"/>
    <col min="8196" max="8197" width="13.7109375" style="589" customWidth="1"/>
    <col min="8198" max="8198" width="40.7109375" style="589" customWidth="1"/>
    <col min="8199" max="8199" width="8.7109375" style="589" customWidth="1"/>
    <col min="8200" max="8200" width="9.7109375" style="589" customWidth="1"/>
    <col min="8201" max="8201" width="11.421875" style="589" hidden="1" customWidth="1"/>
    <col min="8202" max="8203" width="16.421875" style="589" customWidth="1"/>
    <col min="8204" max="8206" width="9.7109375" style="589" customWidth="1"/>
    <col min="8207" max="8207" width="7.7109375" style="589" customWidth="1"/>
    <col min="8208" max="8217" width="11.421875" style="589" hidden="1" customWidth="1"/>
    <col min="8218" max="8218" width="9.7109375" style="589" customWidth="1"/>
    <col min="8219" max="8219" width="15.7109375" style="589" customWidth="1"/>
    <col min="8220" max="8220" width="4.140625" style="589" customWidth="1"/>
    <col min="8221" max="8448" width="11.421875" style="589" customWidth="1"/>
    <col min="8449" max="8451" width="4.140625" style="589" customWidth="1"/>
    <col min="8452" max="8453" width="13.7109375" style="589" customWidth="1"/>
    <col min="8454" max="8454" width="40.7109375" style="589" customWidth="1"/>
    <col min="8455" max="8455" width="8.7109375" style="589" customWidth="1"/>
    <col min="8456" max="8456" width="9.7109375" style="589" customWidth="1"/>
    <col min="8457" max="8457" width="11.421875" style="589" hidden="1" customWidth="1"/>
    <col min="8458" max="8459" width="16.421875" style="589" customWidth="1"/>
    <col min="8460" max="8462" width="9.7109375" style="589" customWidth="1"/>
    <col min="8463" max="8463" width="7.7109375" style="589" customWidth="1"/>
    <col min="8464" max="8473" width="11.421875" style="589" hidden="1" customWidth="1"/>
    <col min="8474" max="8474" width="9.7109375" style="589" customWidth="1"/>
    <col min="8475" max="8475" width="15.7109375" style="589" customWidth="1"/>
    <col min="8476" max="8476" width="4.140625" style="589" customWidth="1"/>
    <col min="8477" max="8704" width="11.421875" style="589" customWidth="1"/>
    <col min="8705" max="8707" width="4.140625" style="589" customWidth="1"/>
    <col min="8708" max="8709" width="13.7109375" style="589" customWidth="1"/>
    <col min="8710" max="8710" width="40.7109375" style="589" customWidth="1"/>
    <col min="8711" max="8711" width="8.7109375" style="589" customWidth="1"/>
    <col min="8712" max="8712" width="9.7109375" style="589" customWidth="1"/>
    <col min="8713" max="8713" width="11.421875" style="589" hidden="1" customWidth="1"/>
    <col min="8714" max="8715" width="16.421875" style="589" customWidth="1"/>
    <col min="8716" max="8718" width="9.7109375" style="589" customWidth="1"/>
    <col min="8719" max="8719" width="7.7109375" style="589" customWidth="1"/>
    <col min="8720" max="8729" width="11.421875" style="589" hidden="1" customWidth="1"/>
    <col min="8730" max="8730" width="9.7109375" style="589" customWidth="1"/>
    <col min="8731" max="8731" width="15.7109375" style="589" customWidth="1"/>
    <col min="8732" max="8732" width="4.140625" style="589" customWidth="1"/>
    <col min="8733" max="8960" width="11.421875" style="589" customWidth="1"/>
    <col min="8961" max="8963" width="4.140625" style="589" customWidth="1"/>
    <col min="8964" max="8965" width="13.7109375" style="589" customWidth="1"/>
    <col min="8966" max="8966" width="40.7109375" style="589" customWidth="1"/>
    <col min="8967" max="8967" width="8.7109375" style="589" customWidth="1"/>
    <col min="8968" max="8968" width="9.7109375" style="589" customWidth="1"/>
    <col min="8969" max="8969" width="11.421875" style="589" hidden="1" customWidth="1"/>
    <col min="8970" max="8971" width="16.421875" style="589" customWidth="1"/>
    <col min="8972" max="8974" width="9.7109375" style="589" customWidth="1"/>
    <col min="8975" max="8975" width="7.7109375" style="589" customWidth="1"/>
    <col min="8976" max="8985" width="11.421875" style="589" hidden="1" customWidth="1"/>
    <col min="8986" max="8986" width="9.7109375" style="589" customWidth="1"/>
    <col min="8987" max="8987" width="15.7109375" style="589" customWidth="1"/>
    <col min="8988" max="8988" width="4.140625" style="589" customWidth="1"/>
    <col min="8989" max="9216" width="11.421875" style="589" customWidth="1"/>
    <col min="9217" max="9219" width="4.140625" style="589" customWidth="1"/>
    <col min="9220" max="9221" width="13.7109375" style="589" customWidth="1"/>
    <col min="9222" max="9222" width="40.7109375" style="589" customWidth="1"/>
    <col min="9223" max="9223" width="8.7109375" style="589" customWidth="1"/>
    <col min="9224" max="9224" width="9.7109375" style="589" customWidth="1"/>
    <col min="9225" max="9225" width="11.421875" style="589" hidden="1" customWidth="1"/>
    <col min="9226" max="9227" width="16.421875" style="589" customWidth="1"/>
    <col min="9228" max="9230" width="9.7109375" style="589" customWidth="1"/>
    <col min="9231" max="9231" width="7.7109375" style="589" customWidth="1"/>
    <col min="9232" max="9241" width="11.421875" style="589" hidden="1" customWidth="1"/>
    <col min="9242" max="9242" width="9.7109375" style="589" customWidth="1"/>
    <col min="9243" max="9243" width="15.7109375" style="589" customWidth="1"/>
    <col min="9244" max="9244" width="4.140625" style="589" customWidth="1"/>
    <col min="9245" max="9472" width="11.421875" style="589" customWidth="1"/>
    <col min="9473" max="9475" width="4.140625" style="589" customWidth="1"/>
    <col min="9476" max="9477" width="13.7109375" style="589" customWidth="1"/>
    <col min="9478" max="9478" width="40.7109375" style="589" customWidth="1"/>
    <col min="9479" max="9479" width="8.7109375" style="589" customWidth="1"/>
    <col min="9480" max="9480" width="9.7109375" style="589" customWidth="1"/>
    <col min="9481" max="9481" width="11.421875" style="589" hidden="1" customWidth="1"/>
    <col min="9482" max="9483" width="16.421875" style="589" customWidth="1"/>
    <col min="9484" max="9486" width="9.7109375" style="589" customWidth="1"/>
    <col min="9487" max="9487" width="7.7109375" style="589" customWidth="1"/>
    <col min="9488" max="9497" width="11.421875" style="589" hidden="1" customWidth="1"/>
    <col min="9498" max="9498" width="9.7109375" style="589" customWidth="1"/>
    <col min="9499" max="9499" width="15.7109375" style="589" customWidth="1"/>
    <col min="9500" max="9500" width="4.140625" style="589" customWidth="1"/>
    <col min="9501" max="9728" width="11.421875" style="589" customWidth="1"/>
    <col min="9729" max="9731" width="4.140625" style="589" customWidth="1"/>
    <col min="9732" max="9733" width="13.7109375" style="589" customWidth="1"/>
    <col min="9734" max="9734" width="40.7109375" style="589" customWidth="1"/>
    <col min="9735" max="9735" width="8.7109375" style="589" customWidth="1"/>
    <col min="9736" max="9736" width="9.7109375" style="589" customWidth="1"/>
    <col min="9737" max="9737" width="11.421875" style="589" hidden="1" customWidth="1"/>
    <col min="9738" max="9739" width="16.421875" style="589" customWidth="1"/>
    <col min="9740" max="9742" width="9.7109375" style="589" customWidth="1"/>
    <col min="9743" max="9743" width="7.7109375" style="589" customWidth="1"/>
    <col min="9744" max="9753" width="11.421875" style="589" hidden="1" customWidth="1"/>
    <col min="9754" max="9754" width="9.7109375" style="589" customWidth="1"/>
    <col min="9755" max="9755" width="15.7109375" style="589" customWidth="1"/>
    <col min="9756" max="9756" width="4.140625" style="589" customWidth="1"/>
    <col min="9757" max="9984" width="11.421875" style="589" customWidth="1"/>
    <col min="9985" max="9987" width="4.140625" style="589" customWidth="1"/>
    <col min="9988" max="9989" width="13.7109375" style="589" customWidth="1"/>
    <col min="9990" max="9990" width="40.7109375" style="589" customWidth="1"/>
    <col min="9991" max="9991" width="8.7109375" style="589" customWidth="1"/>
    <col min="9992" max="9992" width="9.7109375" style="589" customWidth="1"/>
    <col min="9993" max="9993" width="11.421875" style="589" hidden="1" customWidth="1"/>
    <col min="9994" max="9995" width="16.421875" style="589" customWidth="1"/>
    <col min="9996" max="9998" width="9.7109375" style="589" customWidth="1"/>
    <col min="9999" max="9999" width="7.7109375" style="589" customWidth="1"/>
    <col min="10000" max="10009" width="11.421875" style="589" hidden="1" customWidth="1"/>
    <col min="10010" max="10010" width="9.7109375" style="589" customWidth="1"/>
    <col min="10011" max="10011" width="15.7109375" style="589" customWidth="1"/>
    <col min="10012" max="10012" width="4.140625" style="589" customWidth="1"/>
    <col min="10013" max="10240" width="11.421875" style="589" customWidth="1"/>
    <col min="10241" max="10243" width="4.140625" style="589" customWidth="1"/>
    <col min="10244" max="10245" width="13.7109375" style="589" customWidth="1"/>
    <col min="10246" max="10246" width="40.7109375" style="589" customWidth="1"/>
    <col min="10247" max="10247" width="8.7109375" style="589" customWidth="1"/>
    <col min="10248" max="10248" width="9.7109375" style="589" customWidth="1"/>
    <col min="10249" max="10249" width="11.421875" style="589" hidden="1" customWidth="1"/>
    <col min="10250" max="10251" width="16.421875" style="589" customWidth="1"/>
    <col min="10252" max="10254" width="9.7109375" style="589" customWidth="1"/>
    <col min="10255" max="10255" width="7.7109375" style="589" customWidth="1"/>
    <col min="10256" max="10265" width="11.421875" style="589" hidden="1" customWidth="1"/>
    <col min="10266" max="10266" width="9.7109375" style="589" customWidth="1"/>
    <col min="10267" max="10267" width="15.7109375" style="589" customWidth="1"/>
    <col min="10268" max="10268" width="4.140625" style="589" customWidth="1"/>
    <col min="10269" max="10496" width="11.421875" style="589" customWidth="1"/>
    <col min="10497" max="10499" width="4.140625" style="589" customWidth="1"/>
    <col min="10500" max="10501" width="13.7109375" style="589" customWidth="1"/>
    <col min="10502" max="10502" width="40.7109375" style="589" customWidth="1"/>
    <col min="10503" max="10503" width="8.7109375" style="589" customWidth="1"/>
    <col min="10504" max="10504" width="9.7109375" style="589" customWidth="1"/>
    <col min="10505" max="10505" width="11.421875" style="589" hidden="1" customWidth="1"/>
    <col min="10506" max="10507" width="16.421875" style="589" customWidth="1"/>
    <col min="10508" max="10510" width="9.7109375" style="589" customWidth="1"/>
    <col min="10511" max="10511" width="7.7109375" style="589" customWidth="1"/>
    <col min="10512" max="10521" width="11.421875" style="589" hidden="1" customWidth="1"/>
    <col min="10522" max="10522" width="9.7109375" style="589" customWidth="1"/>
    <col min="10523" max="10523" width="15.7109375" style="589" customWidth="1"/>
    <col min="10524" max="10524" width="4.140625" style="589" customWidth="1"/>
    <col min="10525" max="10752" width="11.421875" style="589" customWidth="1"/>
    <col min="10753" max="10755" width="4.140625" style="589" customWidth="1"/>
    <col min="10756" max="10757" width="13.7109375" style="589" customWidth="1"/>
    <col min="10758" max="10758" width="40.7109375" style="589" customWidth="1"/>
    <col min="10759" max="10759" width="8.7109375" style="589" customWidth="1"/>
    <col min="10760" max="10760" width="9.7109375" style="589" customWidth="1"/>
    <col min="10761" max="10761" width="11.421875" style="589" hidden="1" customWidth="1"/>
    <col min="10762" max="10763" width="16.421875" style="589" customWidth="1"/>
    <col min="10764" max="10766" width="9.7109375" style="589" customWidth="1"/>
    <col min="10767" max="10767" width="7.7109375" style="589" customWidth="1"/>
    <col min="10768" max="10777" width="11.421875" style="589" hidden="1" customWidth="1"/>
    <col min="10778" max="10778" width="9.7109375" style="589" customWidth="1"/>
    <col min="10779" max="10779" width="15.7109375" style="589" customWidth="1"/>
    <col min="10780" max="10780" width="4.140625" style="589" customWidth="1"/>
    <col min="10781" max="11008" width="11.421875" style="589" customWidth="1"/>
    <col min="11009" max="11011" width="4.140625" style="589" customWidth="1"/>
    <col min="11012" max="11013" width="13.7109375" style="589" customWidth="1"/>
    <col min="11014" max="11014" width="40.7109375" style="589" customWidth="1"/>
    <col min="11015" max="11015" width="8.7109375" style="589" customWidth="1"/>
    <col min="11016" max="11016" width="9.7109375" style="589" customWidth="1"/>
    <col min="11017" max="11017" width="11.421875" style="589" hidden="1" customWidth="1"/>
    <col min="11018" max="11019" width="16.421875" style="589" customWidth="1"/>
    <col min="11020" max="11022" width="9.7109375" style="589" customWidth="1"/>
    <col min="11023" max="11023" width="7.7109375" style="589" customWidth="1"/>
    <col min="11024" max="11033" width="11.421875" style="589" hidden="1" customWidth="1"/>
    <col min="11034" max="11034" width="9.7109375" style="589" customWidth="1"/>
    <col min="11035" max="11035" width="15.7109375" style="589" customWidth="1"/>
    <col min="11036" max="11036" width="4.140625" style="589" customWidth="1"/>
    <col min="11037" max="11264" width="11.421875" style="589" customWidth="1"/>
    <col min="11265" max="11267" width="4.140625" style="589" customWidth="1"/>
    <col min="11268" max="11269" width="13.7109375" style="589" customWidth="1"/>
    <col min="11270" max="11270" width="40.7109375" style="589" customWidth="1"/>
    <col min="11271" max="11271" width="8.7109375" style="589" customWidth="1"/>
    <col min="11272" max="11272" width="9.7109375" style="589" customWidth="1"/>
    <col min="11273" max="11273" width="11.421875" style="589" hidden="1" customWidth="1"/>
    <col min="11274" max="11275" width="16.421875" style="589" customWidth="1"/>
    <col min="11276" max="11278" width="9.7109375" style="589" customWidth="1"/>
    <col min="11279" max="11279" width="7.7109375" style="589" customWidth="1"/>
    <col min="11280" max="11289" width="11.421875" style="589" hidden="1" customWidth="1"/>
    <col min="11290" max="11290" width="9.7109375" style="589" customWidth="1"/>
    <col min="11291" max="11291" width="15.7109375" style="589" customWidth="1"/>
    <col min="11292" max="11292" width="4.140625" style="589" customWidth="1"/>
    <col min="11293" max="11520" width="11.421875" style="589" customWidth="1"/>
    <col min="11521" max="11523" width="4.140625" style="589" customWidth="1"/>
    <col min="11524" max="11525" width="13.7109375" style="589" customWidth="1"/>
    <col min="11526" max="11526" width="40.7109375" style="589" customWidth="1"/>
    <col min="11527" max="11527" width="8.7109375" style="589" customWidth="1"/>
    <col min="11528" max="11528" width="9.7109375" style="589" customWidth="1"/>
    <col min="11529" max="11529" width="11.421875" style="589" hidden="1" customWidth="1"/>
    <col min="11530" max="11531" width="16.421875" style="589" customWidth="1"/>
    <col min="11532" max="11534" width="9.7109375" style="589" customWidth="1"/>
    <col min="11535" max="11535" width="7.7109375" style="589" customWidth="1"/>
    <col min="11536" max="11545" width="11.421875" style="589" hidden="1" customWidth="1"/>
    <col min="11546" max="11546" width="9.7109375" style="589" customWidth="1"/>
    <col min="11547" max="11547" width="15.7109375" style="589" customWidth="1"/>
    <col min="11548" max="11548" width="4.140625" style="589" customWidth="1"/>
    <col min="11549" max="11776" width="11.421875" style="589" customWidth="1"/>
    <col min="11777" max="11779" width="4.140625" style="589" customWidth="1"/>
    <col min="11780" max="11781" width="13.7109375" style="589" customWidth="1"/>
    <col min="11782" max="11782" width="40.7109375" style="589" customWidth="1"/>
    <col min="11783" max="11783" width="8.7109375" style="589" customWidth="1"/>
    <col min="11784" max="11784" width="9.7109375" style="589" customWidth="1"/>
    <col min="11785" max="11785" width="11.421875" style="589" hidden="1" customWidth="1"/>
    <col min="11786" max="11787" width="16.421875" style="589" customWidth="1"/>
    <col min="11788" max="11790" width="9.7109375" style="589" customWidth="1"/>
    <col min="11791" max="11791" width="7.7109375" style="589" customWidth="1"/>
    <col min="11792" max="11801" width="11.421875" style="589" hidden="1" customWidth="1"/>
    <col min="11802" max="11802" width="9.7109375" style="589" customWidth="1"/>
    <col min="11803" max="11803" width="15.7109375" style="589" customWidth="1"/>
    <col min="11804" max="11804" width="4.140625" style="589" customWidth="1"/>
    <col min="11805" max="12032" width="11.421875" style="589" customWidth="1"/>
    <col min="12033" max="12035" width="4.140625" style="589" customWidth="1"/>
    <col min="12036" max="12037" width="13.7109375" style="589" customWidth="1"/>
    <col min="12038" max="12038" width="40.7109375" style="589" customWidth="1"/>
    <col min="12039" max="12039" width="8.7109375" style="589" customWidth="1"/>
    <col min="12040" max="12040" width="9.7109375" style="589" customWidth="1"/>
    <col min="12041" max="12041" width="11.421875" style="589" hidden="1" customWidth="1"/>
    <col min="12042" max="12043" width="16.421875" style="589" customWidth="1"/>
    <col min="12044" max="12046" width="9.7109375" style="589" customWidth="1"/>
    <col min="12047" max="12047" width="7.7109375" style="589" customWidth="1"/>
    <col min="12048" max="12057" width="11.421875" style="589" hidden="1" customWidth="1"/>
    <col min="12058" max="12058" width="9.7109375" style="589" customWidth="1"/>
    <col min="12059" max="12059" width="15.7109375" style="589" customWidth="1"/>
    <col min="12060" max="12060" width="4.140625" style="589" customWidth="1"/>
    <col min="12061" max="12288" width="11.421875" style="589" customWidth="1"/>
    <col min="12289" max="12291" width="4.140625" style="589" customWidth="1"/>
    <col min="12292" max="12293" width="13.7109375" style="589" customWidth="1"/>
    <col min="12294" max="12294" width="40.7109375" style="589" customWidth="1"/>
    <col min="12295" max="12295" width="8.7109375" style="589" customWidth="1"/>
    <col min="12296" max="12296" width="9.7109375" style="589" customWidth="1"/>
    <col min="12297" max="12297" width="11.421875" style="589" hidden="1" customWidth="1"/>
    <col min="12298" max="12299" width="16.421875" style="589" customWidth="1"/>
    <col min="12300" max="12302" width="9.7109375" style="589" customWidth="1"/>
    <col min="12303" max="12303" width="7.7109375" style="589" customWidth="1"/>
    <col min="12304" max="12313" width="11.421875" style="589" hidden="1" customWidth="1"/>
    <col min="12314" max="12314" width="9.7109375" style="589" customWidth="1"/>
    <col min="12315" max="12315" width="15.7109375" style="589" customWidth="1"/>
    <col min="12316" max="12316" width="4.140625" style="589" customWidth="1"/>
    <col min="12317" max="12544" width="11.421875" style="589" customWidth="1"/>
    <col min="12545" max="12547" width="4.140625" style="589" customWidth="1"/>
    <col min="12548" max="12549" width="13.7109375" style="589" customWidth="1"/>
    <col min="12550" max="12550" width="40.7109375" style="589" customWidth="1"/>
    <col min="12551" max="12551" width="8.7109375" style="589" customWidth="1"/>
    <col min="12552" max="12552" width="9.7109375" style="589" customWidth="1"/>
    <col min="12553" max="12553" width="11.421875" style="589" hidden="1" customWidth="1"/>
    <col min="12554" max="12555" width="16.421875" style="589" customWidth="1"/>
    <col min="12556" max="12558" width="9.7109375" style="589" customWidth="1"/>
    <col min="12559" max="12559" width="7.7109375" style="589" customWidth="1"/>
    <col min="12560" max="12569" width="11.421875" style="589" hidden="1" customWidth="1"/>
    <col min="12570" max="12570" width="9.7109375" style="589" customWidth="1"/>
    <col min="12571" max="12571" width="15.7109375" style="589" customWidth="1"/>
    <col min="12572" max="12572" width="4.140625" style="589" customWidth="1"/>
    <col min="12573" max="12800" width="11.421875" style="589" customWidth="1"/>
    <col min="12801" max="12803" width="4.140625" style="589" customWidth="1"/>
    <col min="12804" max="12805" width="13.7109375" style="589" customWidth="1"/>
    <col min="12806" max="12806" width="40.7109375" style="589" customWidth="1"/>
    <col min="12807" max="12807" width="8.7109375" style="589" customWidth="1"/>
    <col min="12808" max="12808" width="9.7109375" style="589" customWidth="1"/>
    <col min="12809" max="12809" width="11.421875" style="589" hidden="1" customWidth="1"/>
    <col min="12810" max="12811" width="16.421875" style="589" customWidth="1"/>
    <col min="12812" max="12814" width="9.7109375" style="589" customWidth="1"/>
    <col min="12815" max="12815" width="7.7109375" style="589" customWidth="1"/>
    <col min="12816" max="12825" width="11.421875" style="589" hidden="1" customWidth="1"/>
    <col min="12826" max="12826" width="9.7109375" style="589" customWidth="1"/>
    <col min="12827" max="12827" width="15.7109375" style="589" customWidth="1"/>
    <col min="12828" max="12828" width="4.140625" style="589" customWidth="1"/>
    <col min="12829" max="13056" width="11.421875" style="589" customWidth="1"/>
    <col min="13057" max="13059" width="4.140625" style="589" customWidth="1"/>
    <col min="13060" max="13061" width="13.7109375" style="589" customWidth="1"/>
    <col min="13062" max="13062" width="40.7109375" style="589" customWidth="1"/>
    <col min="13063" max="13063" width="8.7109375" style="589" customWidth="1"/>
    <col min="13064" max="13064" width="9.7109375" style="589" customWidth="1"/>
    <col min="13065" max="13065" width="11.421875" style="589" hidden="1" customWidth="1"/>
    <col min="13066" max="13067" width="16.421875" style="589" customWidth="1"/>
    <col min="13068" max="13070" width="9.7109375" style="589" customWidth="1"/>
    <col min="13071" max="13071" width="7.7109375" style="589" customWidth="1"/>
    <col min="13072" max="13081" width="11.421875" style="589" hidden="1" customWidth="1"/>
    <col min="13082" max="13082" width="9.7109375" style="589" customWidth="1"/>
    <col min="13083" max="13083" width="15.7109375" style="589" customWidth="1"/>
    <col min="13084" max="13084" width="4.140625" style="589" customWidth="1"/>
    <col min="13085" max="13312" width="11.421875" style="589" customWidth="1"/>
    <col min="13313" max="13315" width="4.140625" style="589" customWidth="1"/>
    <col min="13316" max="13317" width="13.7109375" style="589" customWidth="1"/>
    <col min="13318" max="13318" width="40.7109375" style="589" customWidth="1"/>
    <col min="13319" max="13319" width="8.7109375" style="589" customWidth="1"/>
    <col min="13320" max="13320" width="9.7109375" style="589" customWidth="1"/>
    <col min="13321" max="13321" width="11.421875" style="589" hidden="1" customWidth="1"/>
    <col min="13322" max="13323" width="16.421875" style="589" customWidth="1"/>
    <col min="13324" max="13326" width="9.7109375" style="589" customWidth="1"/>
    <col min="13327" max="13327" width="7.7109375" style="589" customWidth="1"/>
    <col min="13328" max="13337" width="11.421875" style="589" hidden="1" customWidth="1"/>
    <col min="13338" max="13338" width="9.7109375" style="589" customWidth="1"/>
    <col min="13339" max="13339" width="15.7109375" style="589" customWidth="1"/>
    <col min="13340" max="13340" width="4.140625" style="589" customWidth="1"/>
    <col min="13341" max="13568" width="11.421875" style="589" customWidth="1"/>
    <col min="13569" max="13571" width="4.140625" style="589" customWidth="1"/>
    <col min="13572" max="13573" width="13.7109375" style="589" customWidth="1"/>
    <col min="13574" max="13574" width="40.7109375" style="589" customWidth="1"/>
    <col min="13575" max="13575" width="8.7109375" style="589" customWidth="1"/>
    <col min="13576" max="13576" width="9.7109375" style="589" customWidth="1"/>
    <col min="13577" max="13577" width="11.421875" style="589" hidden="1" customWidth="1"/>
    <col min="13578" max="13579" width="16.421875" style="589" customWidth="1"/>
    <col min="13580" max="13582" width="9.7109375" style="589" customWidth="1"/>
    <col min="13583" max="13583" width="7.7109375" style="589" customWidth="1"/>
    <col min="13584" max="13593" width="11.421875" style="589" hidden="1" customWidth="1"/>
    <col min="13594" max="13594" width="9.7109375" style="589" customWidth="1"/>
    <col min="13595" max="13595" width="15.7109375" style="589" customWidth="1"/>
    <col min="13596" max="13596" width="4.140625" style="589" customWidth="1"/>
    <col min="13597" max="13824" width="11.421875" style="589" customWidth="1"/>
    <col min="13825" max="13827" width="4.140625" style="589" customWidth="1"/>
    <col min="13828" max="13829" width="13.7109375" style="589" customWidth="1"/>
    <col min="13830" max="13830" width="40.7109375" style="589" customWidth="1"/>
    <col min="13831" max="13831" width="8.7109375" style="589" customWidth="1"/>
    <col min="13832" max="13832" width="9.7109375" style="589" customWidth="1"/>
    <col min="13833" max="13833" width="11.421875" style="589" hidden="1" customWidth="1"/>
    <col min="13834" max="13835" width="16.421875" style="589" customWidth="1"/>
    <col min="13836" max="13838" width="9.7109375" style="589" customWidth="1"/>
    <col min="13839" max="13839" width="7.7109375" style="589" customWidth="1"/>
    <col min="13840" max="13849" width="11.421875" style="589" hidden="1" customWidth="1"/>
    <col min="13850" max="13850" width="9.7109375" style="589" customWidth="1"/>
    <col min="13851" max="13851" width="15.7109375" style="589" customWidth="1"/>
    <col min="13852" max="13852" width="4.140625" style="589" customWidth="1"/>
    <col min="13853" max="14080" width="11.421875" style="589" customWidth="1"/>
    <col min="14081" max="14083" width="4.140625" style="589" customWidth="1"/>
    <col min="14084" max="14085" width="13.7109375" style="589" customWidth="1"/>
    <col min="14086" max="14086" width="40.7109375" style="589" customWidth="1"/>
    <col min="14087" max="14087" width="8.7109375" style="589" customWidth="1"/>
    <col min="14088" max="14088" width="9.7109375" style="589" customWidth="1"/>
    <col min="14089" max="14089" width="11.421875" style="589" hidden="1" customWidth="1"/>
    <col min="14090" max="14091" width="16.421875" style="589" customWidth="1"/>
    <col min="14092" max="14094" width="9.7109375" style="589" customWidth="1"/>
    <col min="14095" max="14095" width="7.7109375" style="589" customWidth="1"/>
    <col min="14096" max="14105" width="11.421875" style="589" hidden="1" customWidth="1"/>
    <col min="14106" max="14106" width="9.7109375" style="589" customWidth="1"/>
    <col min="14107" max="14107" width="15.7109375" style="589" customWidth="1"/>
    <col min="14108" max="14108" width="4.140625" style="589" customWidth="1"/>
    <col min="14109" max="14336" width="11.421875" style="589" customWidth="1"/>
    <col min="14337" max="14339" width="4.140625" style="589" customWidth="1"/>
    <col min="14340" max="14341" width="13.7109375" style="589" customWidth="1"/>
    <col min="14342" max="14342" width="40.7109375" style="589" customWidth="1"/>
    <col min="14343" max="14343" width="8.7109375" style="589" customWidth="1"/>
    <col min="14344" max="14344" width="9.7109375" style="589" customWidth="1"/>
    <col min="14345" max="14345" width="11.421875" style="589" hidden="1" customWidth="1"/>
    <col min="14346" max="14347" width="16.421875" style="589" customWidth="1"/>
    <col min="14348" max="14350" width="9.7109375" style="589" customWidth="1"/>
    <col min="14351" max="14351" width="7.7109375" style="589" customWidth="1"/>
    <col min="14352" max="14361" width="11.421875" style="589" hidden="1" customWidth="1"/>
    <col min="14362" max="14362" width="9.7109375" style="589" customWidth="1"/>
    <col min="14363" max="14363" width="15.7109375" style="589" customWidth="1"/>
    <col min="14364" max="14364" width="4.140625" style="589" customWidth="1"/>
    <col min="14365" max="14592" width="11.421875" style="589" customWidth="1"/>
    <col min="14593" max="14595" width="4.140625" style="589" customWidth="1"/>
    <col min="14596" max="14597" width="13.7109375" style="589" customWidth="1"/>
    <col min="14598" max="14598" width="40.7109375" style="589" customWidth="1"/>
    <col min="14599" max="14599" width="8.7109375" style="589" customWidth="1"/>
    <col min="14600" max="14600" width="9.7109375" style="589" customWidth="1"/>
    <col min="14601" max="14601" width="11.421875" style="589" hidden="1" customWidth="1"/>
    <col min="14602" max="14603" width="16.421875" style="589" customWidth="1"/>
    <col min="14604" max="14606" width="9.7109375" style="589" customWidth="1"/>
    <col min="14607" max="14607" width="7.7109375" style="589" customWidth="1"/>
    <col min="14608" max="14617" width="11.421875" style="589" hidden="1" customWidth="1"/>
    <col min="14618" max="14618" width="9.7109375" style="589" customWidth="1"/>
    <col min="14619" max="14619" width="15.7109375" style="589" customWidth="1"/>
    <col min="14620" max="14620" width="4.140625" style="589" customWidth="1"/>
    <col min="14621" max="14848" width="11.421875" style="589" customWidth="1"/>
    <col min="14849" max="14851" width="4.140625" style="589" customWidth="1"/>
    <col min="14852" max="14853" width="13.7109375" style="589" customWidth="1"/>
    <col min="14854" max="14854" width="40.7109375" style="589" customWidth="1"/>
    <col min="14855" max="14855" width="8.7109375" style="589" customWidth="1"/>
    <col min="14856" max="14856" width="9.7109375" style="589" customWidth="1"/>
    <col min="14857" max="14857" width="11.421875" style="589" hidden="1" customWidth="1"/>
    <col min="14858" max="14859" width="16.421875" style="589" customWidth="1"/>
    <col min="14860" max="14862" width="9.7109375" style="589" customWidth="1"/>
    <col min="14863" max="14863" width="7.7109375" style="589" customWidth="1"/>
    <col min="14864" max="14873" width="11.421875" style="589" hidden="1" customWidth="1"/>
    <col min="14874" max="14874" width="9.7109375" style="589" customWidth="1"/>
    <col min="14875" max="14875" width="15.7109375" style="589" customWidth="1"/>
    <col min="14876" max="14876" width="4.140625" style="589" customWidth="1"/>
    <col min="14877" max="15104" width="11.421875" style="589" customWidth="1"/>
    <col min="15105" max="15107" width="4.140625" style="589" customWidth="1"/>
    <col min="15108" max="15109" width="13.7109375" style="589" customWidth="1"/>
    <col min="15110" max="15110" width="40.7109375" style="589" customWidth="1"/>
    <col min="15111" max="15111" width="8.7109375" style="589" customWidth="1"/>
    <col min="15112" max="15112" width="9.7109375" style="589" customWidth="1"/>
    <col min="15113" max="15113" width="11.421875" style="589" hidden="1" customWidth="1"/>
    <col min="15114" max="15115" width="16.421875" style="589" customWidth="1"/>
    <col min="15116" max="15118" width="9.7109375" style="589" customWidth="1"/>
    <col min="15119" max="15119" width="7.7109375" style="589" customWidth="1"/>
    <col min="15120" max="15129" width="11.421875" style="589" hidden="1" customWidth="1"/>
    <col min="15130" max="15130" width="9.7109375" style="589" customWidth="1"/>
    <col min="15131" max="15131" width="15.7109375" style="589" customWidth="1"/>
    <col min="15132" max="15132" width="4.140625" style="589" customWidth="1"/>
    <col min="15133" max="15360" width="11.421875" style="589" customWidth="1"/>
    <col min="15361" max="15363" width="4.140625" style="589" customWidth="1"/>
    <col min="15364" max="15365" width="13.7109375" style="589" customWidth="1"/>
    <col min="15366" max="15366" width="40.7109375" style="589" customWidth="1"/>
    <col min="15367" max="15367" width="8.7109375" style="589" customWidth="1"/>
    <col min="15368" max="15368" width="9.7109375" style="589" customWidth="1"/>
    <col min="15369" max="15369" width="11.421875" style="589" hidden="1" customWidth="1"/>
    <col min="15370" max="15371" width="16.421875" style="589" customWidth="1"/>
    <col min="15372" max="15374" width="9.7109375" style="589" customWidth="1"/>
    <col min="15375" max="15375" width="7.7109375" style="589" customWidth="1"/>
    <col min="15376" max="15385" width="11.421875" style="589" hidden="1" customWidth="1"/>
    <col min="15386" max="15386" width="9.7109375" style="589" customWidth="1"/>
    <col min="15387" max="15387" width="15.7109375" style="589" customWidth="1"/>
    <col min="15388" max="15388" width="4.140625" style="589" customWidth="1"/>
    <col min="15389" max="15616" width="11.421875" style="589" customWidth="1"/>
    <col min="15617" max="15619" width="4.140625" style="589" customWidth="1"/>
    <col min="15620" max="15621" width="13.7109375" style="589" customWidth="1"/>
    <col min="15622" max="15622" width="40.7109375" style="589" customWidth="1"/>
    <col min="15623" max="15623" width="8.7109375" style="589" customWidth="1"/>
    <col min="15624" max="15624" width="9.7109375" style="589" customWidth="1"/>
    <col min="15625" max="15625" width="11.421875" style="589" hidden="1" customWidth="1"/>
    <col min="15626" max="15627" width="16.421875" style="589" customWidth="1"/>
    <col min="15628" max="15630" width="9.7109375" style="589" customWidth="1"/>
    <col min="15631" max="15631" width="7.7109375" style="589" customWidth="1"/>
    <col min="15632" max="15641" width="11.421875" style="589" hidden="1" customWidth="1"/>
    <col min="15642" max="15642" width="9.7109375" style="589" customWidth="1"/>
    <col min="15643" max="15643" width="15.7109375" style="589" customWidth="1"/>
    <col min="15644" max="15644" width="4.140625" style="589" customWidth="1"/>
    <col min="15645" max="15872" width="11.421875" style="589" customWidth="1"/>
    <col min="15873" max="15875" width="4.140625" style="589" customWidth="1"/>
    <col min="15876" max="15877" width="13.7109375" style="589" customWidth="1"/>
    <col min="15878" max="15878" width="40.7109375" style="589" customWidth="1"/>
    <col min="15879" max="15879" width="8.7109375" style="589" customWidth="1"/>
    <col min="15880" max="15880" width="9.7109375" style="589" customWidth="1"/>
    <col min="15881" max="15881" width="11.421875" style="589" hidden="1" customWidth="1"/>
    <col min="15882" max="15883" width="16.421875" style="589" customWidth="1"/>
    <col min="15884" max="15886" width="9.7109375" style="589" customWidth="1"/>
    <col min="15887" max="15887" width="7.7109375" style="589" customWidth="1"/>
    <col min="15888" max="15897" width="11.421875" style="589" hidden="1" customWidth="1"/>
    <col min="15898" max="15898" width="9.7109375" style="589" customWidth="1"/>
    <col min="15899" max="15899" width="15.7109375" style="589" customWidth="1"/>
    <col min="15900" max="15900" width="4.140625" style="589" customWidth="1"/>
    <col min="15901" max="16128" width="11.421875" style="589" customWidth="1"/>
    <col min="16129" max="16131" width="4.140625" style="589" customWidth="1"/>
    <col min="16132" max="16133" width="13.7109375" style="589" customWidth="1"/>
    <col min="16134" max="16134" width="40.7109375" style="589" customWidth="1"/>
    <col min="16135" max="16135" width="8.7109375" style="589" customWidth="1"/>
    <col min="16136" max="16136" width="9.7109375" style="589" customWidth="1"/>
    <col min="16137" max="16137" width="11.421875" style="589" hidden="1" customWidth="1"/>
    <col min="16138" max="16139" width="16.421875" style="589" customWidth="1"/>
    <col min="16140" max="16142" width="9.7109375" style="589" customWidth="1"/>
    <col min="16143" max="16143" width="7.7109375" style="589" customWidth="1"/>
    <col min="16144" max="16153" width="11.421875" style="589" hidden="1" customWidth="1"/>
    <col min="16154" max="16154" width="9.7109375" style="589" customWidth="1"/>
    <col min="16155" max="16155" width="15.7109375" style="589" customWidth="1"/>
    <col min="16156" max="16156" width="4.140625" style="589" customWidth="1"/>
    <col min="16157" max="16384" width="11.421875" style="589" customWidth="1"/>
  </cols>
  <sheetData>
    <row r="1" s="422" customFormat="1" ht="29.25" customHeight="1">
      <c r="AB1" s="423"/>
    </row>
    <row r="2" spans="2:28" s="422" customFormat="1" ht="26.25">
      <c r="B2" s="424" t="str">
        <f>'TOT-0516'!B2</f>
        <v>ANEXO VI al Memorándum D.T.E.E. N°        639    /2016</v>
      </c>
      <c r="C2" s="425"/>
      <c r="D2" s="425"/>
      <c r="E2" s="425"/>
      <c r="F2" s="425"/>
      <c r="G2" s="426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</row>
    <row r="3" s="427" customFormat="1" ht="12.75"/>
    <row r="4" spans="1:3" s="430" customFormat="1" ht="11.25">
      <c r="A4" s="428" t="s">
        <v>184</v>
      </c>
      <c r="B4" s="429"/>
      <c r="C4" s="428"/>
    </row>
    <row r="5" spans="1:3" s="430" customFormat="1" ht="11.25">
      <c r="A5" s="428" t="s">
        <v>185</v>
      </c>
      <c r="B5" s="429"/>
      <c r="C5" s="429"/>
    </row>
    <row r="6" s="427" customFormat="1" ht="13.5" thickBot="1"/>
    <row r="7" spans="1:28" s="427" customFormat="1" ht="13.5" thickTop="1">
      <c r="A7" s="431"/>
      <c r="B7" s="432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4"/>
    </row>
    <row r="8" spans="1:28" s="437" customFormat="1" ht="20.25">
      <c r="A8" s="435"/>
      <c r="B8" s="436"/>
      <c r="F8" s="438" t="s">
        <v>14</v>
      </c>
      <c r="G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9"/>
    </row>
    <row r="9" spans="1:28" s="427" customFormat="1" ht="12.75">
      <c r="A9" s="431"/>
      <c r="B9" s="440"/>
      <c r="C9" s="441"/>
      <c r="D9" s="441"/>
      <c r="E9" s="441"/>
      <c r="G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42"/>
    </row>
    <row r="10" spans="1:28" s="437" customFormat="1" ht="20.25">
      <c r="A10" s="435"/>
      <c r="B10" s="436"/>
      <c r="F10" s="438" t="s">
        <v>186</v>
      </c>
      <c r="G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9"/>
    </row>
    <row r="11" spans="1:28" s="427" customFormat="1" ht="12.75">
      <c r="A11" s="431"/>
      <c r="B11" s="440"/>
      <c r="C11" s="441"/>
      <c r="D11" s="441"/>
      <c r="E11" s="441"/>
      <c r="G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42"/>
    </row>
    <row r="12" spans="1:28" s="451" customFormat="1" ht="19.5">
      <c r="A12" s="443"/>
      <c r="B12" s="444" t="str">
        <f>'TOT-0516'!B14</f>
        <v>Desde el 01 al 31 de mayo de 2016</v>
      </c>
      <c r="C12" s="445"/>
      <c r="D12" s="445"/>
      <c r="E12" s="445"/>
      <c r="F12" s="445"/>
      <c r="G12" s="446"/>
      <c r="H12" s="447"/>
      <c r="I12" s="448"/>
      <c r="J12" s="449"/>
      <c r="K12" s="448"/>
      <c r="L12" s="448"/>
      <c r="M12" s="448"/>
      <c r="N12" s="448"/>
      <c r="O12" s="448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50"/>
    </row>
    <row r="13" spans="1:28" s="451" customFormat="1" ht="7.5" customHeight="1">
      <c r="A13" s="443"/>
      <c r="B13" s="444"/>
      <c r="C13" s="445"/>
      <c r="D13" s="445"/>
      <c r="E13" s="445"/>
      <c r="F13" s="445"/>
      <c r="G13" s="446"/>
      <c r="H13" s="447"/>
      <c r="I13" s="448"/>
      <c r="J13" s="449"/>
      <c r="K13" s="448"/>
      <c r="L13" s="448"/>
      <c r="M13" s="448"/>
      <c r="N13" s="448"/>
      <c r="O13" s="448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50"/>
    </row>
    <row r="14" spans="1:28" s="427" customFormat="1" ht="7.5" customHeight="1" thickBot="1">
      <c r="A14" s="431"/>
      <c r="B14" s="440"/>
      <c r="C14" s="431"/>
      <c r="D14" s="431"/>
      <c r="E14" s="431"/>
      <c r="F14" s="431"/>
      <c r="G14" s="452"/>
      <c r="H14" s="453"/>
      <c r="I14" s="454"/>
      <c r="J14" s="454"/>
      <c r="K14" s="454"/>
      <c r="L14" s="454"/>
      <c r="M14" s="454"/>
      <c r="N14" s="454"/>
      <c r="O14" s="454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42"/>
    </row>
    <row r="15" spans="1:28" s="427" customFormat="1" ht="16.5" thickBot="1" thickTop="1">
      <c r="A15" s="431"/>
      <c r="B15" s="440"/>
      <c r="C15" s="431"/>
      <c r="D15" s="431"/>
      <c r="E15" s="431"/>
      <c r="F15" s="455" t="s">
        <v>16</v>
      </c>
      <c r="G15" s="590">
        <v>343.4352</v>
      </c>
      <c r="H15" s="456"/>
      <c r="I15" s="454"/>
      <c r="J15" s="454"/>
      <c r="K15" s="454"/>
      <c r="L15" s="454"/>
      <c r="M15" s="454"/>
      <c r="N15" s="454"/>
      <c r="O15" s="454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42"/>
    </row>
    <row r="16" spans="1:28" s="427" customFormat="1" ht="14.25" thickBot="1" thickTop="1">
      <c r="A16" s="431"/>
      <c r="B16" s="440"/>
      <c r="C16" s="431"/>
      <c r="D16" s="431"/>
      <c r="E16" s="431"/>
      <c r="F16" s="455" t="s">
        <v>17</v>
      </c>
      <c r="G16" s="457" t="s">
        <v>132</v>
      </c>
      <c r="H16" s="458"/>
      <c r="I16" s="431"/>
      <c r="J16" s="459"/>
      <c r="K16" s="460" t="s">
        <v>187</v>
      </c>
      <c r="L16" s="461">
        <f>30*'TOT-0516'!B13</f>
        <v>30</v>
      </c>
      <c r="M16" s="462" t="str">
        <f>IF(L16=30," ",IF(L16=60,"Coeficiente duplicado por tasa de falla &gt;4 Sal. x año/100 km.","REVISAR COEFICIENTE"))</f>
        <v xml:space="preserve"> </v>
      </c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42"/>
    </row>
    <row r="17" spans="1:28" s="427" customFormat="1" ht="14.25" thickBot="1" thickTop="1">
      <c r="A17" s="431"/>
      <c r="B17" s="440"/>
      <c r="C17" s="431"/>
      <c r="D17" s="431"/>
      <c r="E17" s="431"/>
      <c r="F17" s="455" t="s">
        <v>19</v>
      </c>
      <c r="G17" s="457" t="s">
        <v>132</v>
      </c>
      <c r="H17" s="458"/>
      <c r="I17" s="431"/>
      <c r="J17" s="431"/>
      <c r="K17" s="431"/>
      <c r="L17" s="463"/>
      <c r="M17" s="464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42"/>
    </row>
    <row r="18" spans="1:28" s="427" customFormat="1" ht="3.75" customHeight="1" thickTop="1">
      <c r="A18" s="431"/>
      <c r="B18" s="440"/>
      <c r="C18" s="431"/>
      <c r="D18" s="431"/>
      <c r="E18" s="431"/>
      <c r="F18" s="465"/>
      <c r="G18" s="466"/>
      <c r="H18" s="467"/>
      <c r="I18" s="431"/>
      <c r="J18" s="431"/>
      <c r="K18" s="431"/>
      <c r="L18" s="463"/>
      <c r="M18" s="464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42"/>
    </row>
    <row r="19" spans="1:28" s="427" customFormat="1" ht="12" customHeight="1" thickBot="1">
      <c r="A19" s="431"/>
      <c r="B19" s="440"/>
      <c r="C19" s="468">
        <v>3</v>
      </c>
      <c r="D19" s="468">
        <v>4</v>
      </c>
      <c r="E19" s="468">
        <v>5</v>
      </c>
      <c r="F19" s="468">
        <v>6</v>
      </c>
      <c r="G19" s="468">
        <v>7</v>
      </c>
      <c r="H19" s="468">
        <v>8</v>
      </c>
      <c r="I19" s="468">
        <v>9</v>
      </c>
      <c r="J19" s="468">
        <v>10</v>
      </c>
      <c r="K19" s="468">
        <v>11</v>
      </c>
      <c r="L19" s="468">
        <v>12</v>
      </c>
      <c r="M19" s="468">
        <v>13</v>
      </c>
      <c r="N19" s="468">
        <v>14</v>
      </c>
      <c r="O19" s="468">
        <v>15</v>
      </c>
      <c r="P19" s="468">
        <v>16</v>
      </c>
      <c r="Q19" s="468">
        <v>17</v>
      </c>
      <c r="R19" s="468">
        <v>18</v>
      </c>
      <c r="S19" s="468">
        <v>19</v>
      </c>
      <c r="T19" s="468">
        <v>20</v>
      </c>
      <c r="U19" s="468">
        <v>21</v>
      </c>
      <c r="V19" s="468">
        <v>22</v>
      </c>
      <c r="W19" s="468">
        <v>23</v>
      </c>
      <c r="X19" s="468">
        <v>24</v>
      </c>
      <c r="Y19" s="468">
        <v>25</v>
      </c>
      <c r="Z19" s="468">
        <v>26</v>
      </c>
      <c r="AA19" s="468">
        <v>27</v>
      </c>
      <c r="AB19" s="442"/>
    </row>
    <row r="20" spans="1:28" s="427" customFormat="1" ht="33.95" customHeight="1" thickBot="1" thickTop="1">
      <c r="A20" s="431"/>
      <c r="B20" s="440"/>
      <c r="C20" s="469" t="s">
        <v>20</v>
      </c>
      <c r="D20" s="469" t="s">
        <v>74</v>
      </c>
      <c r="E20" s="469" t="s">
        <v>75</v>
      </c>
      <c r="F20" s="470" t="s">
        <v>2</v>
      </c>
      <c r="G20" s="471" t="s">
        <v>21</v>
      </c>
      <c r="H20" s="471" t="s">
        <v>22</v>
      </c>
      <c r="I20" s="472" t="s">
        <v>23</v>
      </c>
      <c r="J20" s="470" t="s">
        <v>24</v>
      </c>
      <c r="K20" s="470" t="s">
        <v>25</v>
      </c>
      <c r="L20" s="471" t="s">
        <v>188</v>
      </c>
      <c r="M20" s="471" t="s">
        <v>27</v>
      </c>
      <c r="N20" s="471" t="s">
        <v>72</v>
      </c>
      <c r="O20" s="471" t="s">
        <v>28</v>
      </c>
      <c r="P20" s="473" t="s">
        <v>59</v>
      </c>
      <c r="Q20" s="474" t="s">
        <v>30</v>
      </c>
      <c r="R20" s="475" t="s">
        <v>189</v>
      </c>
      <c r="S20" s="476"/>
      <c r="T20" s="477"/>
      <c r="U20" s="478" t="s">
        <v>190</v>
      </c>
      <c r="V20" s="479"/>
      <c r="W20" s="480"/>
      <c r="X20" s="481" t="s">
        <v>33</v>
      </c>
      <c r="Y20" s="482" t="s">
        <v>34</v>
      </c>
      <c r="Z20" s="483" t="s">
        <v>191</v>
      </c>
      <c r="AA20" s="484" t="s">
        <v>36</v>
      </c>
      <c r="AB20" s="442"/>
    </row>
    <row r="21" spans="1:28" s="427" customFormat="1" ht="16.5" thickBot="1" thickTop="1">
      <c r="A21" s="431"/>
      <c r="B21" s="440"/>
      <c r="C21" s="485"/>
      <c r="D21" s="485"/>
      <c r="E21" s="485"/>
      <c r="F21" s="486"/>
      <c r="G21" s="487"/>
      <c r="H21" s="487"/>
      <c r="I21" s="488"/>
      <c r="J21" s="487"/>
      <c r="K21" s="486"/>
      <c r="L21" s="486"/>
      <c r="M21" s="486"/>
      <c r="N21" s="487"/>
      <c r="O21" s="487"/>
      <c r="P21" s="489"/>
      <c r="Q21" s="490"/>
      <c r="R21" s="491"/>
      <c r="S21" s="492"/>
      <c r="T21" s="493"/>
      <c r="U21" s="494"/>
      <c r="V21" s="495"/>
      <c r="W21" s="496"/>
      <c r="X21" s="497"/>
      <c r="Y21" s="498"/>
      <c r="Z21" s="499"/>
      <c r="AA21" s="500"/>
      <c r="AB21" s="442"/>
    </row>
    <row r="22" spans="1:28" s="427" customFormat="1" ht="16.5" thickBot="1" thickTop="1">
      <c r="A22" s="431"/>
      <c r="B22" s="440"/>
      <c r="C22" s="485"/>
      <c r="D22" s="485"/>
      <c r="E22" s="485"/>
      <c r="F22" s="485"/>
      <c r="G22" s="485"/>
      <c r="H22" s="485"/>
      <c r="I22" s="501"/>
      <c r="J22" s="485"/>
      <c r="K22" s="502"/>
      <c r="L22" s="502"/>
      <c r="M22" s="502"/>
      <c r="N22" s="485"/>
      <c r="O22" s="485"/>
      <c r="P22" s="489"/>
      <c r="Q22" s="503"/>
      <c r="R22" s="504"/>
      <c r="S22" s="505"/>
      <c r="T22" s="506"/>
      <c r="U22" s="507"/>
      <c r="V22" s="508"/>
      <c r="W22" s="509"/>
      <c r="X22" s="510"/>
      <c r="Y22" s="511"/>
      <c r="Z22" s="512"/>
      <c r="AA22" s="513"/>
      <c r="AB22" s="442"/>
    </row>
    <row r="23" spans="1:28" s="427" customFormat="1" ht="16.5" thickBot="1" thickTop="1">
      <c r="A23" s="431"/>
      <c r="B23" s="440"/>
      <c r="C23" s="514">
        <v>32</v>
      </c>
      <c r="D23" s="514">
        <v>302265</v>
      </c>
      <c r="E23" s="514">
        <v>5105</v>
      </c>
      <c r="F23" s="515" t="s">
        <v>192</v>
      </c>
      <c r="G23" s="515">
        <v>220</v>
      </c>
      <c r="H23" s="516">
        <v>7</v>
      </c>
      <c r="I23" s="517">
        <f>IF(H23&gt;25,H23,25)*IF(G23=220,$G$15,IF(G23=132,$G$16,$G$17))/100</f>
        <v>85.85880000000002</v>
      </c>
      <c r="J23" s="139">
        <v>42497.45</v>
      </c>
      <c r="K23" s="139">
        <v>42497.725</v>
      </c>
      <c r="L23" s="518">
        <f>IF(F23="","",(K23-J23)*24)</f>
        <v>6.600000000034925</v>
      </c>
      <c r="M23" s="519">
        <f>IF(F23="","",ROUND((K23-J23)*24*60,0))</f>
        <v>396</v>
      </c>
      <c r="N23" s="520" t="s">
        <v>130</v>
      </c>
      <c r="O23" s="521" t="str">
        <f aca="true" t="shared" si="0" ref="O23:O42">IF(F23="","","--")</f>
        <v>--</v>
      </c>
      <c r="P23" s="522">
        <f>IF(N23="P",ROUND(M23/60,2)*I23*$L$16*0.01,"--")</f>
        <v>170.00042400000004</v>
      </c>
      <c r="Q23" s="523" t="str">
        <f aca="true" t="shared" si="1" ref="Q23:Q42">IF(N23="RP",ROUND(M23/60,2)*I23*$L$16*0.01*O23/100,"--")</f>
        <v>--</v>
      </c>
      <c r="R23" s="524" t="str">
        <f aca="true" t="shared" si="2" ref="R23:R42">IF(N23="F",I23*$L$16,"--")</f>
        <v>--</v>
      </c>
      <c r="S23" s="525" t="str">
        <f aca="true" t="shared" si="3" ref="S23:S42">IF(AND(M23&gt;10,N23="F"),I23*$L$16*IF(M23&gt;180,3,ROUND(M23/60,2)),"--")</f>
        <v>--</v>
      </c>
      <c r="T23" s="526" t="str">
        <f aca="true" t="shared" si="4" ref="T23:T42">IF(AND(N23="F",M23&gt;180),(ROUND(M23/60,2)-3)*I23*$L$16*0.1,"--")</f>
        <v>--</v>
      </c>
      <c r="U23" s="527" t="str">
        <f aca="true" t="shared" si="5" ref="U23:U42">IF(N23="R",I23*$L$16*O23/100,"--")</f>
        <v>--</v>
      </c>
      <c r="V23" s="528" t="str">
        <f aca="true" t="shared" si="6" ref="V23:V42">IF(AND(M23&gt;10,N23="R"),I23*$L$16*O23/100*IF(M23&gt;180,3,ROUND(M23/60,2)),"--")</f>
        <v>--</v>
      </c>
      <c r="W23" s="529" t="str">
        <f aca="true" t="shared" si="7" ref="W23:W42">IF(AND(N23="R",M23&gt;180),(ROUND(M23/60,2)-3)*I23*$L$16*0.1*O23/100,"--")</f>
        <v>--</v>
      </c>
      <c r="X23" s="530" t="str">
        <f aca="true" t="shared" si="8" ref="X23:X42">IF(N23="RF",ROUND(M23/60,2)*I23*$L$16*0.1,"--")</f>
        <v>--</v>
      </c>
      <c r="Y23" s="531" t="str">
        <f aca="true" t="shared" si="9" ref="Y23:Y42">IF(N23="RR",ROUND(M23/60,2)*I23*$L$16*0.1*O23/100,"--")</f>
        <v>--</v>
      </c>
      <c r="Z23" s="532" t="str">
        <f aca="true" t="shared" si="10" ref="Z23:Z42">IF(F23="","","SI")</f>
        <v>SI</v>
      </c>
      <c r="AA23" s="533">
        <f>IF(F23="","",SUM(P23:Y23)*IF(Z23="SI",1,2))</f>
        <v>170.00042400000004</v>
      </c>
      <c r="AB23" s="442"/>
    </row>
    <row r="24" spans="1:28" s="427" customFormat="1" ht="16.5" thickBot="1" thickTop="1">
      <c r="A24" s="431"/>
      <c r="B24" s="440"/>
      <c r="C24" s="514"/>
      <c r="D24" s="514"/>
      <c r="E24" s="514"/>
      <c r="F24" s="515"/>
      <c r="G24" s="515"/>
      <c r="H24" s="516"/>
      <c r="I24" s="517" t="e">
        <f aca="true" t="shared" si="11" ref="I24:I42">IF(H24&gt;25,H24,25)*IF(G24=220,$G$15,IF(G24=132,$G$16,$G$17))/100</f>
        <v>#VALUE!</v>
      </c>
      <c r="J24" s="534"/>
      <c r="K24" s="534"/>
      <c r="L24" s="518"/>
      <c r="M24" s="519"/>
      <c r="N24" s="520"/>
      <c r="O24" s="521" t="str">
        <f t="shared" si="0"/>
        <v/>
      </c>
      <c r="P24" s="522" t="str">
        <f>IF(N24="P",ROUND(M24/60,2)*I24*$L$16*0.01,"--")</f>
        <v>--</v>
      </c>
      <c r="Q24" s="523" t="str">
        <f t="shared" si="1"/>
        <v>--</v>
      </c>
      <c r="R24" s="524" t="str">
        <f t="shared" si="2"/>
        <v>--</v>
      </c>
      <c r="S24" s="525" t="str">
        <f t="shared" si="3"/>
        <v>--</v>
      </c>
      <c r="T24" s="526" t="str">
        <f t="shared" si="4"/>
        <v>--</v>
      </c>
      <c r="U24" s="527" t="str">
        <f t="shared" si="5"/>
        <v>--</v>
      </c>
      <c r="V24" s="528" t="str">
        <f t="shared" si="6"/>
        <v>--</v>
      </c>
      <c r="W24" s="529" t="str">
        <f t="shared" si="7"/>
        <v>--</v>
      </c>
      <c r="X24" s="530" t="str">
        <f t="shared" si="8"/>
        <v>--</v>
      </c>
      <c r="Y24" s="531" t="str">
        <f t="shared" si="9"/>
        <v>--</v>
      </c>
      <c r="Z24" s="532" t="str">
        <f t="shared" si="10"/>
        <v/>
      </c>
      <c r="AA24" s="533" t="str">
        <f aca="true" t="shared" si="12" ref="AA24:AA42">IF(F24="","",SUM(P24:Y24)*IF(Z24="SI",1,2))</f>
        <v/>
      </c>
      <c r="AB24" s="442"/>
    </row>
    <row r="25" spans="1:28" s="427" customFormat="1" ht="16.5" thickBot="1" thickTop="1">
      <c r="A25" s="431"/>
      <c r="B25" s="440"/>
      <c r="C25" s="514"/>
      <c r="D25" s="514"/>
      <c r="E25" s="514"/>
      <c r="F25" s="515"/>
      <c r="G25" s="515"/>
      <c r="H25" s="516"/>
      <c r="I25" s="517" t="e">
        <f t="shared" si="11"/>
        <v>#VALUE!</v>
      </c>
      <c r="J25" s="534"/>
      <c r="K25" s="534"/>
      <c r="L25" s="518" t="str">
        <f aca="true" t="shared" si="13" ref="L25:L42">IF(F25="","",(K25-J25)*24)</f>
        <v/>
      </c>
      <c r="M25" s="519" t="str">
        <f aca="true" t="shared" si="14" ref="M25:M42">IF(F25="","",ROUND((K25-J25)*24*60,0))</f>
        <v/>
      </c>
      <c r="N25" s="520"/>
      <c r="O25" s="521" t="str">
        <f t="shared" si="0"/>
        <v/>
      </c>
      <c r="P25" s="522" t="str">
        <f aca="true" t="shared" si="15" ref="P25:P42">IF(N25="P",ROUND(M25/60,2)*I25*$L$16*0.01,"--")</f>
        <v>--</v>
      </c>
      <c r="Q25" s="523" t="str">
        <f t="shared" si="1"/>
        <v>--</v>
      </c>
      <c r="R25" s="524" t="str">
        <f t="shared" si="2"/>
        <v>--</v>
      </c>
      <c r="S25" s="525" t="str">
        <f t="shared" si="3"/>
        <v>--</v>
      </c>
      <c r="T25" s="526" t="str">
        <f t="shared" si="4"/>
        <v>--</v>
      </c>
      <c r="U25" s="527" t="str">
        <f t="shared" si="5"/>
        <v>--</v>
      </c>
      <c r="V25" s="528" t="str">
        <f t="shared" si="6"/>
        <v>--</v>
      </c>
      <c r="W25" s="529" t="str">
        <f t="shared" si="7"/>
        <v>--</v>
      </c>
      <c r="X25" s="530" t="str">
        <f t="shared" si="8"/>
        <v>--</v>
      </c>
      <c r="Y25" s="531" t="str">
        <f t="shared" si="9"/>
        <v>--</v>
      </c>
      <c r="Z25" s="532" t="str">
        <f t="shared" si="10"/>
        <v/>
      </c>
      <c r="AA25" s="533" t="str">
        <f t="shared" si="12"/>
        <v/>
      </c>
      <c r="AB25" s="442"/>
    </row>
    <row r="26" spans="1:28" s="427" customFormat="1" ht="16.5" thickBot="1" thickTop="1">
      <c r="A26" s="431"/>
      <c r="B26" s="440"/>
      <c r="C26" s="514"/>
      <c r="D26" s="514"/>
      <c r="E26" s="514"/>
      <c r="F26" s="515"/>
      <c r="G26" s="515"/>
      <c r="H26" s="516"/>
      <c r="I26" s="517" t="e">
        <f t="shared" si="11"/>
        <v>#VALUE!</v>
      </c>
      <c r="J26" s="534"/>
      <c r="K26" s="534"/>
      <c r="L26" s="518" t="str">
        <f t="shared" si="13"/>
        <v/>
      </c>
      <c r="M26" s="519" t="str">
        <f t="shared" si="14"/>
        <v/>
      </c>
      <c r="N26" s="520"/>
      <c r="O26" s="521" t="str">
        <f t="shared" si="0"/>
        <v/>
      </c>
      <c r="P26" s="522" t="str">
        <f t="shared" si="15"/>
        <v>--</v>
      </c>
      <c r="Q26" s="523" t="str">
        <f t="shared" si="1"/>
        <v>--</v>
      </c>
      <c r="R26" s="524" t="str">
        <f t="shared" si="2"/>
        <v>--</v>
      </c>
      <c r="S26" s="525" t="str">
        <f t="shared" si="3"/>
        <v>--</v>
      </c>
      <c r="T26" s="526" t="str">
        <f t="shared" si="4"/>
        <v>--</v>
      </c>
      <c r="U26" s="527" t="str">
        <f t="shared" si="5"/>
        <v>--</v>
      </c>
      <c r="V26" s="528" t="str">
        <f t="shared" si="6"/>
        <v>--</v>
      </c>
      <c r="W26" s="529" t="str">
        <f t="shared" si="7"/>
        <v>--</v>
      </c>
      <c r="X26" s="530" t="str">
        <f t="shared" si="8"/>
        <v>--</v>
      </c>
      <c r="Y26" s="531" t="str">
        <f t="shared" si="9"/>
        <v>--</v>
      </c>
      <c r="Z26" s="532" t="str">
        <f t="shared" si="10"/>
        <v/>
      </c>
      <c r="AA26" s="533" t="str">
        <f t="shared" si="12"/>
        <v/>
      </c>
      <c r="AB26" s="442"/>
    </row>
    <row r="27" spans="1:28" s="427" customFormat="1" ht="16.5" thickBot="1" thickTop="1">
      <c r="A27" s="431"/>
      <c r="B27" s="440"/>
      <c r="C27" s="514"/>
      <c r="D27" s="514"/>
      <c r="E27" s="514"/>
      <c r="F27" s="515"/>
      <c r="G27" s="515"/>
      <c r="H27" s="516"/>
      <c r="I27" s="517" t="e">
        <f t="shared" si="11"/>
        <v>#VALUE!</v>
      </c>
      <c r="J27" s="534"/>
      <c r="K27" s="534"/>
      <c r="L27" s="518" t="str">
        <f t="shared" si="13"/>
        <v/>
      </c>
      <c r="M27" s="519" t="str">
        <f t="shared" si="14"/>
        <v/>
      </c>
      <c r="N27" s="520"/>
      <c r="O27" s="521" t="str">
        <f t="shared" si="0"/>
        <v/>
      </c>
      <c r="P27" s="522" t="str">
        <f t="shared" si="15"/>
        <v>--</v>
      </c>
      <c r="Q27" s="523" t="str">
        <f t="shared" si="1"/>
        <v>--</v>
      </c>
      <c r="R27" s="524" t="str">
        <f t="shared" si="2"/>
        <v>--</v>
      </c>
      <c r="S27" s="525" t="str">
        <f t="shared" si="3"/>
        <v>--</v>
      </c>
      <c r="T27" s="526" t="str">
        <f t="shared" si="4"/>
        <v>--</v>
      </c>
      <c r="U27" s="527" t="str">
        <f t="shared" si="5"/>
        <v>--</v>
      </c>
      <c r="V27" s="528" t="str">
        <f t="shared" si="6"/>
        <v>--</v>
      </c>
      <c r="W27" s="529" t="str">
        <f t="shared" si="7"/>
        <v>--</v>
      </c>
      <c r="X27" s="530" t="str">
        <f t="shared" si="8"/>
        <v>--</v>
      </c>
      <c r="Y27" s="531" t="str">
        <f t="shared" si="9"/>
        <v>--</v>
      </c>
      <c r="Z27" s="532" t="str">
        <f t="shared" si="10"/>
        <v/>
      </c>
      <c r="AA27" s="533" t="str">
        <f t="shared" si="12"/>
        <v/>
      </c>
      <c r="AB27" s="442"/>
    </row>
    <row r="28" spans="1:28" s="427" customFormat="1" ht="16.5" thickBot="1" thickTop="1">
      <c r="A28" s="431"/>
      <c r="B28" s="440"/>
      <c r="C28" s="514"/>
      <c r="D28" s="514"/>
      <c r="E28" s="514"/>
      <c r="F28" s="515"/>
      <c r="G28" s="515"/>
      <c r="H28" s="516"/>
      <c r="I28" s="517" t="e">
        <f t="shared" si="11"/>
        <v>#VALUE!</v>
      </c>
      <c r="J28" s="534"/>
      <c r="K28" s="534"/>
      <c r="L28" s="518" t="str">
        <f t="shared" si="13"/>
        <v/>
      </c>
      <c r="M28" s="519" t="str">
        <f t="shared" si="14"/>
        <v/>
      </c>
      <c r="N28" s="520"/>
      <c r="O28" s="521" t="str">
        <f t="shared" si="0"/>
        <v/>
      </c>
      <c r="P28" s="522" t="str">
        <f t="shared" si="15"/>
        <v>--</v>
      </c>
      <c r="Q28" s="523" t="str">
        <f t="shared" si="1"/>
        <v>--</v>
      </c>
      <c r="R28" s="524" t="str">
        <f t="shared" si="2"/>
        <v>--</v>
      </c>
      <c r="S28" s="525" t="str">
        <f t="shared" si="3"/>
        <v>--</v>
      </c>
      <c r="T28" s="526" t="str">
        <f t="shared" si="4"/>
        <v>--</v>
      </c>
      <c r="U28" s="527" t="str">
        <f t="shared" si="5"/>
        <v>--</v>
      </c>
      <c r="V28" s="528" t="str">
        <f t="shared" si="6"/>
        <v>--</v>
      </c>
      <c r="W28" s="529" t="str">
        <f t="shared" si="7"/>
        <v>--</v>
      </c>
      <c r="X28" s="530" t="str">
        <f t="shared" si="8"/>
        <v>--</v>
      </c>
      <c r="Y28" s="531" t="str">
        <f t="shared" si="9"/>
        <v>--</v>
      </c>
      <c r="Z28" s="532" t="str">
        <f t="shared" si="10"/>
        <v/>
      </c>
      <c r="AA28" s="533" t="str">
        <f t="shared" si="12"/>
        <v/>
      </c>
      <c r="AB28" s="442"/>
    </row>
    <row r="29" spans="1:28" s="427" customFormat="1" ht="16.5" thickBot="1" thickTop="1">
      <c r="A29" s="431"/>
      <c r="B29" s="440"/>
      <c r="C29" s="514"/>
      <c r="D29" s="514"/>
      <c r="E29" s="514"/>
      <c r="F29" s="515"/>
      <c r="G29" s="515"/>
      <c r="H29" s="516"/>
      <c r="I29" s="517" t="e">
        <f t="shared" si="11"/>
        <v>#VALUE!</v>
      </c>
      <c r="J29" s="534"/>
      <c r="K29" s="534"/>
      <c r="L29" s="518" t="str">
        <f t="shared" si="13"/>
        <v/>
      </c>
      <c r="M29" s="519" t="str">
        <f t="shared" si="14"/>
        <v/>
      </c>
      <c r="N29" s="520"/>
      <c r="O29" s="521" t="str">
        <f t="shared" si="0"/>
        <v/>
      </c>
      <c r="P29" s="522" t="str">
        <f t="shared" si="15"/>
        <v>--</v>
      </c>
      <c r="Q29" s="523" t="str">
        <f t="shared" si="1"/>
        <v>--</v>
      </c>
      <c r="R29" s="524" t="str">
        <f t="shared" si="2"/>
        <v>--</v>
      </c>
      <c r="S29" s="525" t="str">
        <f t="shared" si="3"/>
        <v>--</v>
      </c>
      <c r="T29" s="526" t="str">
        <f t="shared" si="4"/>
        <v>--</v>
      </c>
      <c r="U29" s="527" t="str">
        <f t="shared" si="5"/>
        <v>--</v>
      </c>
      <c r="V29" s="528" t="str">
        <f t="shared" si="6"/>
        <v>--</v>
      </c>
      <c r="W29" s="529" t="str">
        <f t="shared" si="7"/>
        <v>--</v>
      </c>
      <c r="X29" s="530" t="str">
        <f t="shared" si="8"/>
        <v>--</v>
      </c>
      <c r="Y29" s="531" t="str">
        <f t="shared" si="9"/>
        <v>--</v>
      </c>
      <c r="Z29" s="532" t="str">
        <f t="shared" si="10"/>
        <v/>
      </c>
      <c r="AA29" s="533" t="str">
        <f t="shared" si="12"/>
        <v/>
      </c>
      <c r="AB29" s="442"/>
    </row>
    <row r="30" spans="1:28" s="427" customFormat="1" ht="16.5" thickBot="1" thickTop="1">
      <c r="A30" s="431"/>
      <c r="B30" s="440"/>
      <c r="C30" s="514"/>
      <c r="D30" s="514"/>
      <c r="E30" s="514"/>
      <c r="F30" s="515"/>
      <c r="G30" s="515"/>
      <c r="H30" s="516"/>
      <c r="I30" s="517" t="e">
        <f t="shared" si="11"/>
        <v>#VALUE!</v>
      </c>
      <c r="J30" s="534"/>
      <c r="K30" s="534"/>
      <c r="L30" s="518" t="str">
        <f t="shared" si="13"/>
        <v/>
      </c>
      <c r="M30" s="519" t="str">
        <f t="shared" si="14"/>
        <v/>
      </c>
      <c r="N30" s="520"/>
      <c r="O30" s="521" t="str">
        <f t="shared" si="0"/>
        <v/>
      </c>
      <c r="P30" s="522" t="str">
        <f t="shared" si="15"/>
        <v>--</v>
      </c>
      <c r="Q30" s="523" t="str">
        <f t="shared" si="1"/>
        <v>--</v>
      </c>
      <c r="R30" s="524" t="str">
        <f t="shared" si="2"/>
        <v>--</v>
      </c>
      <c r="S30" s="525" t="str">
        <f t="shared" si="3"/>
        <v>--</v>
      </c>
      <c r="T30" s="526" t="str">
        <f t="shared" si="4"/>
        <v>--</v>
      </c>
      <c r="U30" s="527" t="str">
        <f t="shared" si="5"/>
        <v>--</v>
      </c>
      <c r="V30" s="528" t="str">
        <f t="shared" si="6"/>
        <v>--</v>
      </c>
      <c r="W30" s="529" t="str">
        <f t="shared" si="7"/>
        <v>--</v>
      </c>
      <c r="X30" s="530" t="str">
        <f t="shared" si="8"/>
        <v>--</v>
      </c>
      <c r="Y30" s="531" t="str">
        <f t="shared" si="9"/>
        <v>--</v>
      </c>
      <c r="Z30" s="532" t="str">
        <f t="shared" si="10"/>
        <v/>
      </c>
      <c r="AA30" s="533" t="str">
        <f t="shared" si="12"/>
        <v/>
      </c>
      <c r="AB30" s="442"/>
    </row>
    <row r="31" spans="1:28" s="427" customFormat="1" ht="16.5" thickBot="1" thickTop="1">
      <c r="A31" s="431"/>
      <c r="B31" s="440"/>
      <c r="C31" s="514"/>
      <c r="D31" s="514"/>
      <c r="E31" s="514"/>
      <c r="F31" s="515"/>
      <c r="G31" s="515"/>
      <c r="H31" s="516"/>
      <c r="I31" s="517" t="e">
        <f t="shared" si="11"/>
        <v>#VALUE!</v>
      </c>
      <c r="J31" s="534"/>
      <c r="K31" s="534"/>
      <c r="L31" s="518" t="str">
        <f t="shared" si="13"/>
        <v/>
      </c>
      <c r="M31" s="519" t="str">
        <f t="shared" si="14"/>
        <v/>
      </c>
      <c r="N31" s="520"/>
      <c r="O31" s="521" t="str">
        <f t="shared" si="0"/>
        <v/>
      </c>
      <c r="P31" s="522" t="str">
        <f t="shared" si="15"/>
        <v>--</v>
      </c>
      <c r="Q31" s="523" t="str">
        <f t="shared" si="1"/>
        <v>--</v>
      </c>
      <c r="R31" s="524" t="str">
        <f t="shared" si="2"/>
        <v>--</v>
      </c>
      <c r="S31" s="525" t="str">
        <f t="shared" si="3"/>
        <v>--</v>
      </c>
      <c r="T31" s="526" t="str">
        <f t="shared" si="4"/>
        <v>--</v>
      </c>
      <c r="U31" s="527" t="str">
        <f t="shared" si="5"/>
        <v>--</v>
      </c>
      <c r="V31" s="528" t="str">
        <f t="shared" si="6"/>
        <v>--</v>
      </c>
      <c r="W31" s="529" t="str">
        <f t="shared" si="7"/>
        <v>--</v>
      </c>
      <c r="X31" s="530" t="str">
        <f t="shared" si="8"/>
        <v>--</v>
      </c>
      <c r="Y31" s="531" t="str">
        <f t="shared" si="9"/>
        <v>--</v>
      </c>
      <c r="Z31" s="532" t="str">
        <f t="shared" si="10"/>
        <v/>
      </c>
      <c r="AA31" s="533" t="str">
        <f t="shared" si="12"/>
        <v/>
      </c>
      <c r="AB31" s="442"/>
    </row>
    <row r="32" spans="1:28" s="427" customFormat="1" ht="16.5" thickBot="1" thickTop="1">
      <c r="A32" s="431"/>
      <c r="B32" s="440"/>
      <c r="C32" s="514"/>
      <c r="D32" s="514"/>
      <c r="E32" s="514"/>
      <c r="F32" s="515"/>
      <c r="G32" s="515"/>
      <c r="H32" s="516"/>
      <c r="I32" s="517" t="e">
        <f t="shared" si="11"/>
        <v>#VALUE!</v>
      </c>
      <c r="J32" s="534"/>
      <c r="K32" s="534"/>
      <c r="L32" s="518" t="str">
        <f t="shared" si="13"/>
        <v/>
      </c>
      <c r="M32" s="519" t="str">
        <f t="shared" si="14"/>
        <v/>
      </c>
      <c r="N32" s="520"/>
      <c r="O32" s="521" t="str">
        <f t="shared" si="0"/>
        <v/>
      </c>
      <c r="P32" s="522" t="str">
        <f t="shared" si="15"/>
        <v>--</v>
      </c>
      <c r="Q32" s="523" t="str">
        <f t="shared" si="1"/>
        <v>--</v>
      </c>
      <c r="R32" s="524" t="str">
        <f t="shared" si="2"/>
        <v>--</v>
      </c>
      <c r="S32" s="525" t="str">
        <f t="shared" si="3"/>
        <v>--</v>
      </c>
      <c r="T32" s="526" t="str">
        <f t="shared" si="4"/>
        <v>--</v>
      </c>
      <c r="U32" s="527" t="str">
        <f t="shared" si="5"/>
        <v>--</v>
      </c>
      <c r="V32" s="528" t="str">
        <f t="shared" si="6"/>
        <v>--</v>
      </c>
      <c r="W32" s="529" t="str">
        <f t="shared" si="7"/>
        <v>--</v>
      </c>
      <c r="X32" s="530" t="str">
        <f t="shared" si="8"/>
        <v>--</v>
      </c>
      <c r="Y32" s="531" t="str">
        <f t="shared" si="9"/>
        <v>--</v>
      </c>
      <c r="Z32" s="532" t="str">
        <f t="shared" si="10"/>
        <v/>
      </c>
      <c r="AA32" s="533" t="str">
        <f t="shared" si="12"/>
        <v/>
      </c>
      <c r="AB32" s="442"/>
    </row>
    <row r="33" spans="1:28" s="427" customFormat="1" ht="16.5" thickBot="1" thickTop="1">
      <c r="A33" s="431"/>
      <c r="B33" s="440"/>
      <c r="C33" s="514"/>
      <c r="D33" s="514"/>
      <c r="E33" s="514"/>
      <c r="F33" s="515"/>
      <c r="G33" s="515"/>
      <c r="H33" s="516"/>
      <c r="I33" s="517" t="e">
        <f t="shared" si="11"/>
        <v>#VALUE!</v>
      </c>
      <c r="J33" s="534"/>
      <c r="K33" s="534"/>
      <c r="L33" s="518" t="str">
        <f t="shared" si="13"/>
        <v/>
      </c>
      <c r="M33" s="519" t="str">
        <f t="shared" si="14"/>
        <v/>
      </c>
      <c r="N33" s="520"/>
      <c r="O33" s="521" t="str">
        <f t="shared" si="0"/>
        <v/>
      </c>
      <c r="P33" s="522" t="str">
        <f t="shared" si="15"/>
        <v>--</v>
      </c>
      <c r="Q33" s="523" t="str">
        <f t="shared" si="1"/>
        <v>--</v>
      </c>
      <c r="R33" s="524" t="str">
        <f t="shared" si="2"/>
        <v>--</v>
      </c>
      <c r="S33" s="525" t="str">
        <f t="shared" si="3"/>
        <v>--</v>
      </c>
      <c r="T33" s="526" t="str">
        <f t="shared" si="4"/>
        <v>--</v>
      </c>
      <c r="U33" s="527" t="str">
        <f t="shared" si="5"/>
        <v>--</v>
      </c>
      <c r="V33" s="528" t="str">
        <f t="shared" si="6"/>
        <v>--</v>
      </c>
      <c r="W33" s="529" t="str">
        <f t="shared" si="7"/>
        <v>--</v>
      </c>
      <c r="X33" s="530" t="str">
        <f t="shared" si="8"/>
        <v>--</v>
      </c>
      <c r="Y33" s="531" t="str">
        <f t="shared" si="9"/>
        <v>--</v>
      </c>
      <c r="Z33" s="532" t="str">
        <f t="shared" si="10"/>
        <v/>
      </c>
      <c r="AA33" s="533" t="str">
        <f t="shared" si="12"/>
        <v/>
      </c>
      <c r="AB33" s="442"/>
    </row>
    <row r="34" spans="1:28" s="427" customFormat="1" ht="16.5" thickBot="1" thickTop="1">
      <c r="A34" s="431"/>
      <c r="B34" s="440"/>
      <c r="C34" s="514"/>
      <c r="D34" s="514"/>
      <c r="E34" s="514"/>
      <c r="F34" s="515"/>
      <c r="G34" s="515"/>
      <c r="H34" s="516"/>
      <c r="I34" s="517" t="e">
        <f t="shared" si="11"/>
        <v>#VALUE!</v>
      </c>
      <c r="J34" s="534"/>
      <c r="K34" s="534"/>
      <c r="L34" s="518" t="str">
        <f t="shared" si="13"/>
        <v/>
      </c>
      <c r="M34" s="519" t="str">
        <f t="shared" si="14"/>
        <v/>
      </c>
      <c r="N34" s="520"/>
      <c r="O34" s="521" t="str">
        <f t="shared" si="0"/>
        <v/>
      </c>
      <c r="P34" s="522" t="str">
        <f t="shared" si="15"/>
        <v>--</v>
      </c>
      <c r="Q34" s="523" t="str">
        <f t="shared" si="1"/>
        <v>--</v>
      </c>
      <c r="R34" s="524" t="str">
        <f t="shared" si="2"/>
        <v>--</v>
      </c>
      <c r="S34" s="525" t="str">
        <f t="shared" si="3"/>
        <v>--</v>
      </c>
      <c r="T34" s="526" t="str">
        <f t="shared" si="4"/>
        <v>--</v>
      </c>
      <c r="U34" s="527" t="str">
        <f t="shared" si="5"/>
        <v>--</v>
      </c>
      <c r="V34" s="528" t="str">
        <f t="shared" si="6"/>
        <v>--</v>
      </c>
      <c r="W34" s="529" t="str">
        <f t="shared" si="7"/>
        <v>--</v>
      </c>
      <c r="X34" s="530" t="str">
        <f t="shared" si="8"/>
        <v>--</v>
      </c>
      <c r="Y34" s="531" t="str">
        <f t="shared" si="9"/>
        <v>--</v>
      </c>
      <c r="Z34" s="532" t="str">
        <f t="shared" si="10"/>
        <v/>
      </c>
      <c r="AA34" s="533" t="str">
        <f t="shared" si="12"/>
        <v/>
      </c>
      <c r="AB34" s="442"/>
    </row>
    <row r="35" spans="1:28" s="427" customFormat="1" ht="16.5" thickBot="1" thickTop="1">
      <c r="A35" s="431"/>
      <c r="B35" s="440"/>
      <c r="C35" s="514"/>
      <c r="D35" s="514"/>
      <c r="E35" s="514"/>
      <c r="F35" s="515"/>
      <c r="G35" s="515"/>
      <c r="H35" s="516"/>
      <c r="I35" s="517" t="e">
        <f t="shared" si="11"/>
        <v>#VALUE!</v>
      </c>
      <c r="J35" s="534"/>
      <c r="K35" s="534"/>
      <c r="L35" s="518" t="str">
        <f t="shared" si="13"/>
        <v/>
      </c>
      <c r="M35" s="519" t="str">
        <f t="shared" si="14"/>
        <v/>
      </c>
      <c r="N35" s="520"/>
      <c r="O35" s="521" t="str">
        <f t="shared" si="0"/>
        <v/>
      </c>
      <c r="P35" s="522" t="str">
        <f t="shared" si="15"/>
        <v>--</v>
      </c>
      <c r="Q35" s="523" t="str">
        <f t="shared" si="1"/>
        <v>--</v>
      </c>
      <c r="R35" s="524" t="str">
        <f t="shared" si="2"/>
        <v>--</v>
      </c>
      <c r="S35" s="525" t="str">
        <f t="shared" si="3"/>
        <v>--</v>
      </c>
      <c r="T35" s="526" t="str">
        <f t="shared" si="4"/>
        <v>--</v>
      </c>
      <c r="U35" s="527" t="str">
        <f t="shared" si="5"/>
        <v>--</v>
      </c>
      <c r="V35" s="528" t="str">
        <f t="shared" si="6"/>
        <v>--</v>
      </c>
      <c r="W35" s="529" t="str">
        <f t="shared" si="7"/>
        <v>--</v>
      </c>
      <c r="X35" s="530" t="str">
        <f t="shared" si="8"/>
        <v>--</v>
      </c>
      <c r="Y35" s="531" t="str">
        <f t="shared" si="9"/>
        <v>--</v>
      </c>
      <c r="Z35" s="532" t="str">
        <f t="shared" si="10"/>
        <v/>
      </c>
      <c r="AA35" s="533" t="str">
        <f t="shared" si="12"/>
        <v/>
      </c>
      <c r="AB35" s="442"/>
    </row>
    <row r="36" spans="1:28" s="427" customFormat="1" ht="16.5" thickBot="1" thickTop="1">
      <c r="A36" s="431"/>
      <c r="B36" s="440"/>
      <c r="C36" s="514"/>
      <c r="D36" s="514"/>
      <c r="E36" s="514"/>
      <c r="F36" s="515"/>
      <c r="G36" s="515"/>
      <c r="H36" s="516"/>
      <c r="I36" s="517" t="e">
        <f t="shared" si="11"/>
        <v>#VALUE!</v>
      </c>
      <c r="J36" s="534"/>
      <c r="K36" s="534"/>
      <c r="L36" s="518" t="str">
        <f t="shared" si="13"/>
        <v/>
      </c>
      <c r="M36" s="519" t="str">
        <f t="shared" si="14"/>
        <v/>
      </c>
      <c r="N36" s="520"/>
      <c r="O36" s="521" t="str">
        <f t="shared" si="0"/>
        <v/>
      </c>
      <c r="P36" s="522" t="str">
        <f t="shared" si="15"/>
        <v>--</v>
      </c>
      <c r="Q36" s="523" t="str">
        <f t="shared" si="1"/>
        <v>--</v>
      </c>
      <c r="R36" s="524" t="str">
        <f t="shared" si="2"/>
        <v>--</v>
      </c>
      <c r="S36" s="525" t="str">
        <f t="shared" si="3"/>
        <v>--</v>
      </c>
      <c r="T36" s="526" t="str">
        <f t="shared" si="4"/>
        <v>--</v>
      </c>
      <c r="U36" s="527" t="str">
        <f t="shared" si="5"/>
        <v>--</v>
      </c>
      <c r="V36" s="528" t="str">
        <f t="shared" si="6"/>
        <v>--</v>
      </c>
      <c r="W36" s="529" t="str">
        <f t="shared" si="7"/>
        <v>--</v>
      </c>
      <c r="X36" s="530" t="str">
        <f t="shared" si="8"/>
        <v>--</v>
      </c>
      <c r="Y36" s="531" t="str">
        <f t="shared" si="9"/>
        <v>--</v>
      </c>
      <c r="Z36" s="532" t="str">
        <f t="shared" si="10"/>
        <v/>
      </c>
      <c r="AA36" s="533" t="str">
        <f t="shared" si="12"/>
        <v/>
      </c>
      <c r="AB36" s="442"/>
    </row>
    <row r="37" spans="1:28" s="427" customFormat="1" ht="16.5" thickBot="1" thickTop="1">
      <c r="A37" s="431"/>
      <c r="B37" s="535"/>
      <c r="C37" s="514"/>
      <c r="D37" s="514"/>
      <c r="E37" s="514"/>
      <c r="F37" s="515"/>
      <c r="G37" s="515"/>
      <c r="H37" s="516"/>
      <c r="I37" s="517" t="e">
        <f t="shared" si="11"/>
        <v>#VALUE!</v>
      </c>
      <c r="J37" s="534"/>
      <c r="K37" s="534"/>
      <c r="L37" s="518" t="str">
        <f t="shared" si="13"/>
        <v/>
      </c>
      <c r="M37" s="519" t="str">
        <f t="shared" si="14"/>
        <v/>
      </c>
      <c r="N37" s="520"/>
      <c r="O37" s="521" t="str">
        <f t="shared" si="0"/>
        <v/>
      </c>
      <c r="P37" s="522" t="str">
        <f t="shared" si="15"/>
        <v>--</v>
      </c>
      <c r="Q37" s="523" t="str">
        <f t="shared" si="1"/>
        <v>--</v>
      </c>
      <c r="R37" s="524" t="str">
        <f t="shared" si="2"/>
        <v>--</v>
      </c>
      <c r="S37" s="525" t="str">
        <f t="shared" si="3"/>
        <v>--</v>
      </c>
      <c r="T37" s="526" t="str">
        <f t="shared" si="4"/>
        <v>--</v>
      </c>
      <c r="U37" s="527" t="str">
        <f t="shared" si="5"/>
        <v>--</v>
      </c>
      <c r="V37" s="528" t="str">
        <f t="shared" si="6"/>
        <v>--</v>
      </c>
      <c r="W37" s="529" t="str">
        <f t="shared" si="7"/>
        <v>--</v>
      </c>
      <c r="X37" s="530" t="str">
        <f t="shared" si="8"/>
        <v>--</v>
      </c>
      <c r="Y37" s="531" t="str">
        <f t="shared" si="9"/>
        <v>--</v>
      </c>
      <c r="Z37" s="532" t="str">
        <f t="shared" si="10"/>
        <v/>
      </c>
      <c r="AA37" s="533" t="str">
        <f t="shared" si="12"/>
        <v/>
      </c>
      <c r="AB37" s="442"/>
    </row>
    <row r="38" spans="1:28" s="427" customFormat="1" ht="16.5" thickBot="1" thickTop="1">
      <c r="A38" s="431"/>
      <c r="B38" s="440"/>
      <c r="C38" s="514"/>
      <c r="D38" s="514"/>
      <c r="E38" s="514"/>
      <c r="F38" s="515"/>
      <c r="G38" s="515"/>
      <c r="H38" s="516"/>
      <c r="I38" s="517" t="e">
        <f t="shared" si="11"/>
        <v>#VALUE!</v>
      </c>
      <c r="J38" s="534"/>
      <c r="K38" s="534"/>
      <c r="L38" s="518" t="str">
        <f t="shared" si="13"/>
        <v/>
      </c>
      <c r="M38" s="519" t="str">
        <f t="shared" si="14"/>
        <v/>
      </c>
      <c r="N38" s="520"/>
      <c r="O38" s="521" t="str">
        <f t="shared" si="0"/>
        <v/>
      </c>
      <c r="P38" s="522" t="str">
        <f t="shared" si="15"/>
        <v>--</v>
      </c>
      <c r="Q38" s="523" t="str">
        <f t="shared" si="1"/>
        <v>--</v>
      </c>
      <c r="R38" s="524" t="str">
        <f t="shared" si="2"/>
        <v>--</v>
      </c>
      <c r="S38" s="525" t="str">
        <f t="shared" si="3"/>
        <v>--</v>
      </c>
      <c r="T38" s="526" t="str">
        <f t="shared" si="4"/>
        <v>--</v>
      </c>
      <c r="U38" s="527" t="str">
        <f t="shared" si="5"/>
        <v>--</v>
      </c>
      <c r="V38" s="528" t="str">
        <f t="shared" si="6"/>
        <v>--</v>
      </c>
      <c r="W38" s="529" t="str">
        <f t="shared" si="7"/>
        <v>--</v>
      </c>
      <c r="X38" s="530" t="str">
        <f t="shared" si="8"/>
        <v>--</v>
      </c>
      <c r="Y38" s="531" t="str">
        <f t="shared" si="9"/>
        <v>--</v>
      </c>
      <c r="Z38" s="532" t="str">
        <f t="shared" si="10"/>
        <v/>
      </c>
      <c r="AA38" s="533" t="str">
        <f t="shared" si="12"/>
        <v/>
      </c>
      <c r="AB38" s="442"/>
    </row>
    <row r="39" spans="1:28" s="427" customFormat="1" ht="16.5" thickBot="1" thickTop="1">
      <c r="A39" s="431"/>
      <c r="B39" s="440"/>
      <c r="C39" s="514"/>
      <c r="D39" s="514"/>
      <c r="E39" s="514"/>
      <c r="F39" s="515"/>
      <c r="G39" s="515"/>
      <c r="H39" s="516"/>
      <c r="I39" s="517" t="e">
        <f t="shared" si="11"/>
        <v>#VALUE!</v>
      </c>
      <c r="J39" s="534"/>
      <c r="K39" s="534"/>
      <c r="L39" s="518" t="str">
        <f t="shared" si="13"/>
        <v/>
      </c>
      <c r="M39" s="519" t="str">
        <f t="shared" si="14"/>
        <v/>
      </c>
      <c r="N39" s="520"/>
      <c r="O39" s="521" t="str">
        <f t="shared" si="0"/>
        <v/>
      </c>
      <c r="P39" s="522" t="str">
        <f t="shared" si="15"/>
        <v>--</v>
      </c>
      <c r="Q39" s="523" t="str">
        <f t="shared" si="1"/>
        <v>--</v>
      </c>
      <c r="R39" s="524" t="str">
        <f t="shared" si="2"/>
        <v>--</v>
      </c>
      <c r="S39" s="525" t="str">
        <f t="shared" si="3"/>
        <v>--</v>
      </c>
      <c r="T39" s="526" t="str">
        <f t="shared" si="4"/>
        <v>--</v>
      </c>
      <c r="U39" s="527" t="str">
        <f t="shared" si="5"/>
        <v>--</v>
      </c>
      <c r="V39" s="528" t="str">
        <f t="shared" si="6"/>
        <v>--</v>
      </c>
      <c r="W39" s="529" t="str">
        <f t="shared" si="7"/>
        <v>--</v>
      </c>
      <c r="X39" s="530" t="str">
        <f t="shared" si="8"/>
        <v>--</v>
      </c>
      <c r="Y39" s="531" t="str">
        <f t="shared" si="9"/>
        <v>--</v>
      </c>
      <c r="Z39" s="532" t="str">
        <f t="shared" si="10"/>
        <v/>
      </c>
      <c r="AA39" s="533" t="str">
        <f t="shared" si="12"/>
        <v/>
      </c>
      <c r="AB39" s="442"/>
    </row>
    <row r="40" spans="2:28" s="427" customFormat="1" ht="16.5" thickBot="1" thickTop="1">
      <c r="B40" s="536"/>
      <c r="C40" s="514"/>
      <c r="D40" s="514"/>
      <c r="E40" s="514"/>
      <c r="F40" s="515"/>
      <c r="G40" s="515"/>
      <c r="H40" s="516"/>
      <c r="I40" s="517" t="e">
        <f t="shared" si="11"/>
        <v>#VALUE!</v>
      </c>
      <c r="J40" s="534"/>
      <c r="K40" s="534"/>
      <c r="L40" s="518" t="str">
        <f t="shared" si="13"/>
        <v/>
      </c>
      <c r="M40" s="519" t="str">
        <f t="shared" si="14"/>
        <v/>
      </c>
      <c r="N40" s="520"/>
      <c r="O40" s="521" t="str">
        <f t="shared" si="0"/>
        <v/>
      </c>
      <c r="P40" s="522" t="str">
        <f t="shared" si="15"/>
        <v>--</v>
      </c>
      <c r="Q40" s="523" t="str">
        <f t="shared" si="1"/>
        <v>--</v>
      </c>
      <c r="R40" s="524" t="str">
        <f t="shared" si="2"/>
        <v>--</v>
      </c>
      <c r="S40" s="525" t="str">
        <f t="shared" si="3"/>
        <v>--</v>
      </c>
      <c r="T40" s="526" t="str">
        <f t="shared" si="4"/>
        <v>--</v>
      </c>
      <c r="U40" s="527" t="str">
        <f t="shared" si="5"/>
        <v>--</v>
      </c>
      <c r="V40" s="528" t="str">
        <f t="shared" si="6"/>
        <v>--</v>
      </c>
      <c r="W40" s="529" t="str">
        <f t="shared" si="7"/>
        <v>--</v>
      </c>
      <c r="X40" s="530" t="str">
        <f t="shared" si="8"/>
        <v>--</v>
      </c>
      <c r="Y40" s="531" t="str">
        <f t="shared" si="9"/>
        <v>--</v>
      </c>
      <c r="Z40" s="532" t="str">
        <f t="shared" si="10"/>
        <v/>
      </c>
      <c r="AA40" s="533" t="str">
        <f t="shared" si="12"/>
        <v/>
      </c>
      <c r="AB40" s="442"/>
    </row>
    <row r="41" spans="2:28" s="427" customFormat="1" ht="16.5" thickBot="1" thickTop="1">
      <c r="B41" s="536"/>
      <c r="C41" s="514"/>
      <c r="D41" s="514"/>
      <c r="E41" s="514"/>
      <c r="F41" s="515"/>
      <c r="G41" s="515"/>
      <c r="H41" s="516"/>
      <c r="I41" s="517" t="e">
        <f t="shared" si="11"/>
        <v>#VALUE!</v>
      </c>
      <c r="J41" s="534"/>
      <c r="K41" s="534"/>
      <c r="L41" s="518" t="str">
        <f t="shared" si="13"/>
        <v/>
      </c>
      <c r="M41" s="519" t="str">
        <f t="shared" si="14"/>
        <v/>
      </c>
      <c r="N41" s="520"/>
      <c r="O41" s="521" t="str">
        <f t="shared" si="0"/>
        <v/>
      </c>
      <c r="P41" s="522" t="str">
        <f t="shared" si="15"/>
        <v>--</v>
      </c>
      <c r="Q41" s="523" t="str">
        <f t="shared" si="1"/>
        <v>--</v>
      </c>
      <c r="R41" s="524" t="str">
        <f t="shared" si="2"/>
        <v>--</v>
      </c>
      <c r="S41" s="525" t="str">
        <f t="shared" si="3"/>
        <v>--</v>
      </c>
      <c r="T41" s="526" t="str">
        <f t="shared" si="4"/>
        <v>--</v>
      </c>
      <c r="U41" s="527" t="str">
        <f t="shared" si="5"/>
        <v>--</v>
      </c>
      <c r="V41" s="528" t="str">
        <f t="shared" si="6"/>
        <v>--</v>
      </c>
      <c r="W41" s="529" t="str">
        <f t="shared" si="7"/>
        <v>--</v>
      </c>
      <c r="X41" s="530" t="str">
        <f t="shared" si="8"/>
        <v>--</v>
      </c>
      <c r="Y41" s="531" t="str">
        <f t="shared" si="9"/>
        <v>--</v>
      </c>
      <c r="Z41" s="532" t="str">
        <f t="shared" si="10"/>
        <v/>
      </c>
      <c r="AA41" s="533" t="str">
        <f t="shared" si="12"/>
        <v/>
      </c>
      <c r="AB41" s="442"/>
    </row>
    <row r="42" spans="2:28" s="427" customFormat="1" ht="16.5" thickBot="1" thickTop="1">
      <c r="B42" s="536"/>
      <c r="C42" s="514"/>
      <c r="D42" s="514"/>
      <c r="E42" s="514"/>
      <c r="F42" s="515"/>
      <c r="G42" s="515"/>
      <c r="H42" s="516"/>
      <c r="I42" s="517" t="e">
        <f t="shared" si="11"/>
        <v>#VALUE!</v>
      </c>
      <c r="J42" s="534"/>
      <c r="K42" s="534"/>
      <c r="L42" s="518" t="str">
        <f t="shared" si="13"/>
        <v/>
      </c>
      <c r="M42" s="519" t="str">
        <f t="shared" si="14"/>
        <v/>
      </c>
      <c r="N42" s="520"/>
      <c r="O42" s="521" t="str">
        <f t="shared" si="0"/>
        <v/>
      </c>
      <c r="P42" s="522" t="str">
        <f t="shared" si="15"/>
        <v>--</v>
      </c>
      <c r="Q42" s="523" t="str">
        <f t="shared" si="1"/>
        <v>--</v>
      </c>
      <c r="R42" s="524" t="str">
        <f t="shared" si="2"/>
        <v>--</v>
      </c>
      <c r="S42" s="525" t="str">
        <f t="shared" si="3"/>
        <v>--</v>
      </c>
      <c r="T42" s="526" t="str">
        <f t="shared" si="4"/>
        <v>--</v>
      </c>
      <c r="U42" s="527" t="str">
        <f t="shared" si="5"/>
        <v>--</v>
      </c>
      <c r="V42" s="528" t="str">
        <f t="shared" si="6"/>
        <v>--</v>
      </c>
      <c r="W42" s="529" t="str">
        <f t="shared" si="7"/>
        <v>--</v>
      </c>
      <c r="X42" s="530" t="str">
        <f t="shared" si="8"/>
        <v>--</v>
      </c>
      <c r="Y42" s="531" t="str">
        <f t="shared" si="9"/>
        <v>--</v>
      </c>
      <c r="Z42" s="532" t="str">
        <f t="shared" si="10"/>
        <v/>
      </c>
      <c r="AA42" s="533" t="str">
        <f t="shared" si="12"/>
        <v/>
      </c>
      <c r="AB42" s="442"/>
    </row>
    <row r="43" spans="1:28" s="427" customFormat="1" ht="16.5" thickBot="1" thickTop="1">
      <c r="A43" s="431"/>
      <c r="B43" s="440"/>
      <c r="C43" s="537"/>
      <c r="D43" s="537"/>
      <c r="E43" s="537"/>
      <c r="F43" s="538"/>
      <c r="G43" s="539"/>
      <c r="H43" s="540"/>
      <c r="I43" s="541"/>
      <c r="J43" s="542"/>
      <c r="K43" s="542"/>
      <c r="L43" s="542"/>
      <c r="M43" s="542"/>
      <c r="N43" s="540"/>
      <c r="O43" s="543"/>
      <c r="P43" s="544"/>
      <c r="Q43" s="545"/>
      <c r="R43" s="546"/>
      <c r="S43" s="547"/>
      <c r="T43" s="548"/>
      <c r="U43" s="549"/>
      <c r="V43" s="550"/>
      <c r="W43" s="551"/>
      <c r="X43" s="552"/>
      <c r="Y43" s="553"/>
      <c r="Z43" s="554"/>
      <c r="AA43" s="555"/>
      <c r="AB43" s="442"/>
    </row>
    <row r="44" spans="1:28" s="427" customFormat="1" ht="17.25" thickBot="1" thickTop="1">
      <c r="A44" s="431"/>
      <c r="B44" s="440"/>
      <c r="C44" s="556" t="s">
        <v>193</v>
      </c>
      <c r="D44" s="557" t="s">
        <v>133</v>
      </c>
      <c r="E44" s="558"/>
      <c r="F44" s="559"/>
      <c r="G44" s="560"/>
      <c r="H44" s="561"/>
      <c r="I44" s="562"/>
      <c r="J44" s="562"/>
      <c r="K44" s="562"/>
      <c r="L44" s="562"/>
      <c r="M44" s="562"/>
      <c r="N44" s="562"/>
      <c r="O44" s="563"/>
      <c r="P44" s="544">
        <f aca="true" t="shared" si="16" ref="P44:Y44">SUM(P21:P43)</f>
        <v>170.00042400000004</v>
      </c>
      <c r="Q44" s="564">
        <f t="shared" si="16"/>
        <v>0</v>
      </c>
      <c r="R44" s="565">
        <f t="shared" si="16"/>
        <v>0</v>
      </c>
      <c r="S44" s="565">
        <f t="shared" si="16"/>
        <v>0</v>
      </c>
      <c r="T44" s="565">
        <f t="shared" si="16"/>
        <v>0</v>
      </c>
      <c r="U44" s="566">
        <f t="shared" si="16"/>
        <v>0</v>
      </c>
      <c r="V44" s="566">
        <f t="shared" si="16"/>
        <v>0</v>
      </c>
      <c r="W44" s="566">
        <f t="shared" si="16"/>
        <v>0</v>
      </c>
      <c r="X44" s="567">
        <f t="shared" si="16"/>
        <v>0</v>
      </c>
      <c r="Y44" s="568">
        <f t="shared" si="16"/>
        <v>0</v>
      </c>
      <c r="Z44" s="569"/>
      <c r="AA44" s="570">
        <f>ROUND(SUM(AA21:AA43),2)</f>
        <v>170</v>
      </c>
      <c r="AB44" s="571"/>
    </row>
    <row r="45" spans="1:28" s="584" customFormat="1" ht="9.75" thickTop="1">
      <c r="A45" s="572"/>
      <c r="B45" s="573"/>
      <c r="C45" s="558"/>
      <c r="D45" s="558"/>
      <c r="E45" s="558"/>
      <c r="F45" s="574"/>
      <c r="G45" s="575"/>
      <c r="H45" s="576"/>
      <c r="I45" s="577"/>
      <c r="J45" s="577"/>
      <c r="K45" s="577"/>
      <c r="L45" s="577"/>
      <c r="M45" s="577"/>
      <c r="N45" s="577"/>
      <c r="O45" s="578"/>
      <c r="P45" s="579"/>
      <c r="Q45" s="579"/>
      <c r="R45" s="580"/>
      <c r="S45" s="580"/>
      <c r="T45" s="581"/>
      <c r="U45" s="581"/>
      <c r="V45" s="581"/>
      <c r="W45" s="581"/>
      <c r="X45" s="581"/>
      <c r="Y45" s="581"/>
      <c r="Z45" s="581"/>
      <c r="AA45" s="582"/>
      <c r="AB45" s="583"/>
    </row>
    <row r="46" spans="1:28" s="427" customFormat="1" ht="13.5" thickBot="1">
      <c r="A46" s="431"/>
      <c r="B46" s="585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7"/>
    </row>
    <row r="47" spans="1:28" ht="13.5" thickTop="1">
      <c r="A47" s="588"/>
      <c r="B47" s="588"/>
      <c r="AB47" s="588"/>
    </row>
    <row r="92" spans="1:2" ht="12.75">
      <c r="A92" s="588"/>
      <c r="B92" s="588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5361" r:id="rId4" name="Button 1">
              <controlPr defaultSize="0" print="0" autoFill="0" autoPict="0" macro="[1]!Actualizar_Referencias">
                <anchor moveWithCells="1" sizeWithCells="1">
                  <from>
                    <xdr:col>0</xdr:col>
                    <xdr:colOff>38100</xdr:colOff>
                    <xdr:row>43</xdr:row>
                    <xdr:rowOff>9525</xdr:rowOff>
                  </from>
                  <to>
                    <xdr:col>2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zoomScale="55" zoomScaleNormal="55" workbookViewId="0" topLeftCell="A10">
      <selection activeCell="B42" sqref="B42"/>
    </sheetView>
  </sheetViews>
  <sheetFormatPr defaultColWidth="11.421875" defaultRowHeight="12.75"/>
  <cols>
    <col min="1" max="1" width="22.7109375" style="595" customWidth="1"/>
    <col min="2" max="2" width="15.7109375" style="595" customWidth="1"/>
    <col min="3" max="3" width="5.7109375" style="595" customWidth="1"/>
    <col min="4" max="4" width="56.421875" style="595" customWidth="1"/>
    <col min="5" max="5" width="10.421875" style="595" customWidth="1"/>
    <col min="6" max="6" width="14.140625" style="595" customWidth="1"/>
    <col min="7" max="19" width="10.7109375" style="595" customWidth="1"/>
    <col min="20" max="20" width="15.7109375" style="595" customWidth="1"/>
    <col min="21" max="256" width="11.421875" style="595" customWidth="1"/>
    <col min="257" max="257" width="22.7109375" style="595" customWidth="1"/>
    <col min="258" max="258" width="15.7109375" style="595" customWidth="1"/>
    <col min="259" max="259" width="5.7109375" style="595" customWidth="1"/>
    <col min="260" max="260" width="56.421875" style="595" customWidth="1"/>
    <col min="261" max="261" width="10.421875" style="595" customWidth="1"/>
    <col min="262" max="262" width="14.140625" style="595" customWidth="1"/>
    <col min="263" max="275" width="10.7109375" style="595" customWidth="1"/>
    <col min="276" max="276" width="15.7109375" style="595" customWidth="1"/>
    <col min="277" max="512" width="11.421875" style="595" customWidth="1"/>
    <col min="513" max="513" width="22.7109375" style="595" customWidth="1"/>
    <col min="514" max="514" width="15.7109375" style="595" customWidth="1"/>
    <col min="515" max="515" width="5.7109375" style="595" customWidth="1"/>
    <col min="516" max="516" width="56.421875" style="595" customWidth="1"/>
    <col min="517" max="517" width="10.421875" style="595" customWidth="1"/>
    <col min="518" max="518" width="14.140625" style="595" customWidth="1"/>
    <col min="519" max="531" width="10.7109375" style="595" customWidth="1"/>
    <col min="532" max="532" width="15.7109375" style="595" customWidth="1"/>
    <col min="533" max="768" width="11.421875" style="595" customWidth="1"/>
    <col min="769" max="769" width="22.7109375" style="595" customWidth="1"/>
    <col min="770" max="770" width="15.7109375" style="595" customWidth="1"/>
    <col min="771" max="771" width="5.7109375" style="595" customWidth="1"/>
    <col min="772" max="772" width="56.421875" style="595" customWidth="1"/>
    <col min="773" max="773" width="10.421875" style="595" customWidth="1"/>
    <col min="774" max="774" width="14.140625" style="595" customWidth="1"/>
    <col min="775" max="787" width="10.7109375" style="595" customWidth="1"/>
    <col min="788" max="788" width="15.7109375" style="595" customWidth="1"/>
    <col min="789" max="1024" width="11.421875" style="595" customWidth="1"/>
    <col min="1025" max="1025" width="22.7109375" style="595" customWidth="1"/>
    <col min="1026" max="1026" width="15.7109375" style="595" customWidth="1"/>
    <col min="1027" max="1027" width="5.7109375" style="595" customWidth="1"/>
    <col min="1028" max="1028" width="56.421875" style="595" customWidth="1"/>
    <col min="1029" max="1029" width="10.421875" style="595" customWidth="1"/>
    <col min="1030" max="1030" width="14.140625" style="595" customWidth="1"/>
    <col min="1031" max="1043" width="10.7109375" style="595" customWidth="1"/>
    <col min="1044" max="1044" width="15.7109375" style="595" customWidth="1"/>
    <col min="1045" max="1280" width="11.421875" style="595" customWidth="1"/>
    <col min="1281" max="1281" width="22.7109375" style="595" customWidth="1"/>
    <col min="1282" max="1282" width="15.7109375" style="595" customWidth="1"/>
    <col min="1283" max="1283" width="5.7109375" style="595" customWidth="1"/>
    <col min="1284" max="1284" width="56.421875" style="595" customWidth="1"/>
    <col min="1285" max="1285" width="10.421875" style="595" customWidth="1"/>
    <col min="1286" max="1286" width="14.140625" style="595" customWidth="1"/>
    <col min="1287" max="1299" width="10.7109375" style="595" customWidth="1"/>
    <col min="1300" max="1300" width="15.7109375" style="595" customWidth="1"/>
    <col min="1301" max="1536" width="11.421875" style="595" customWidth="1"/>
    <col min="1537" max="1537" width="22.7109375" style="595" customWidth="1"/>
    <col min="1538" max="1538" width="15.7109375" style="595" customWidth="1"/>
    <col min="1539" max="1539" width="5.7109375" style="595" customWidth="1"/>
    <col min="1540" max="1540" width="56.421875" style="595" customWidth="1"/>
    <col min="1541" max="1541" width="10.421875" style="595" customWidth="1"/>
    <col min="1542" max="1542" width="14.140625" style="595" customWidth="1"/>
    <col min="1543" max="1555" width="10.7109375" style="595" customWidth="1"/>
    <col min="1556" max="1556" width="15.7109375" style="595" customWidth="1"/>
    <col min="1557" max="1792" width="11.421875" style="595" customWidth="1"/>
    <col min="1793" max="1793" width="22.7109375" style="595" customWidth="1"/>
    <col min="1794" max="1794" width="15.7109375" style="595" customWidth="1"/>
    <col min="1795" max="1795" width="5.7109375" style="595" customWidth="1"/>
    <col min="1796" max="1796" width="56.421875" style="595" customWidth="1"/>
    <col min="1797" max="1797" width="10.421875" style="595" customWidth="1"/>
    <col min="1798" max="1798" width="14.140625" style="595" customWidth="1"/>
    <col min="1799" max="1811" width="10.7109375" style="595" customWidth="1"/>
    <col min="1812" max="1812" width="15.7109375" style="595" customWidth="1"/>
    <col min="1813" max="2048" width="11.421875" style="595" customWidth="1"/>
    <col min="2049" max="2049" width="22.7109375" style="595" customWidth="1"/>
    <col min="2050" max="2050" width="15.7109375" style="595" customWidth="1"/>
    <col min="2051" max="2051" width="5.7109375" style="595" customWidth="1"/>
    <col min="2052" max="2052" width="56.421875" style="595" customWidth="1"/>
    <col min="2053" max="2053" width="10.421875" style="595" customWidth="1"/>
    <col min="2054" max="2054" width="14.140625" style="595" customWidth="1"/>
    <col min="2055" max="2067" width="10.7109375" style="595" customWidth="1"/>
    <col min="2068" max="2068" width="15.7109375" style="595" customWidth="1"/>
    <col min="2069" max="2304" width="11.421875" style="595" customWidth="1"/>
    <col min="2305" max="2305" width="22.7109375" style="595" customWidth="1"/>
    <col min="2306" max="2306" width="15.7109375" style="595" customWidth="1"/>
    <col min="2307" max="2307" width="5.7109375" style="595" customWidth="1"/>
    <col min="2308" max="2308" width="56.421875" style="595" customWidth="1"/>
    <col min="2309" max="2309" width="10.421875" style="595" customWidth="1"/>
    <col min="2310" max="2310" width="14.140625" style="595" customWidth="1"/>
    <col min="2311" max="2323" width="10.7109375" style="595" customWidth="1"/>
    <col min="2324" max="2324" width="15.7109375" style="595" customWidth="1"/>
    <col min="2325" max="2560" width="11.421875" style="595" customWidth="1"/>
    <col min="2561" max="2561" width="22.7109375" style="595" customWidth="1"/>
    <col min="2562" max="2562" width="15.7109375" style="595" customWidth="1"/>
    <col min="2563" max="2563" width="5.7109375" style="595" customWidth="1"/>
    <col min="2564" max="2564" width="56.421875" style="595" customWidth="1"/>
    <col min="2565" max="2565" width="10.421875" style="595" customWidth="1"/>
    <col min="2566" max="2566" width="14.140625" style="595" customWidth="1"/>
    <col min="2567" max="2579" width="10.7109375" style="595" customWidth="1"/>
    <col min="2580" max="2580" width="15.7109375" style="595" customWidth="1"/>
    <col min="2581" max="2816" width="11.421875" style="595" customWidth="1"/>
    <col min="2817" max="2817" width="22.7109375" style="595" customWidth="1"/>
    <col min="2818" max="2818" width="15.7109375" style="595" customWidth="1"/>
    <col min="2819" max="2819" width="5.7109375" style="595" customWidth="1"/>
    <col min="2820" max="2820" width="56.421875" style="595" customWidth="1"/>
    <col min="2821" max="2821" width="10.421875" style="595" customWidth="1"/>
    <col min="2822" max="2822" width="14.140625" style="595" customWidth="1"/>
    <col min="2823" max="2835" width="10.7109375" style="595" customWidth="1"/>
    <col min="2836" max="2836" width="15.7109375" style="595" customWidth="1"/>
    <col min="2837" max="3072" width="11.421875" style="595" customWidth="1"/>
    <col min="3073" max="3073" width="22.7109375" style="595" customWidth="1"/>
    <col min="3074" max="3074" width="15.7109375" style="595" customWidth="1"/>
    <col min="3075" max="3075" width="5.7109375" style="595" customWidth="1"/>
    <col min="3076" max="3076" width="56.421875" style="595" customWidth="1"/>
    <col min="3077" max="3077" width="10.421875" style="595" customWidth="1"/>
    <col min="3078" max="3078" width="14.140625" style="595" customWidth="1"/>
    <col min="3079" max="3091" width="10.7109375" style="595" customWidth="1"/>
    <col min="3092" max="3092" width="15.7109375" style="595" customWidth="1"/>
    <col min="3093" max="3328" width="11.421875" style="595" customWidth="1"/>
    <col min="3329" max="3329" width="22.7109375" style="595" customWidth="1"/>
    <col min="3330" max="3330" width="15.7109375" style="595" customWidth="1"/>
    <col min="3331" max="3331" width="5.7109375" style="595" customWidth="1"/>
    <col min="3332" max="3332" width="56.421875" style="595" customWidth="1"/>
    <col min="3333" max="3333" width="10.421875" style="595" customWidth="1"/>
    <col min="3334" max="3334" width="14.140625" style="595" customWidth="1"/>
    <col min="3335" max="3347" width="10.7109375" style="595" customWidth="1"/>
    <col min="3348" max="3348" width="15.7109375" style="595" customWidth="1"/>
    <col min="3349" max="3584" width="11.421875" style="595" customWidth="1"/>
    <col min="3585" max="3585" width="22.7109375" style="595" customWidth="1"/>
    <col min="3586" max="3586" width="15.7109375" style="595" customWidth="1"/>
    <col min="3587" max="3587" width="5.7109375" style="595" customWidth="1"/>
    <col min="3588" max="3588" width="56.421875" style="595" customWidth="1"/>
    <col min="3589" max="3589" width="10.421875" style="595" customWidth="1"/>
    <col min="3590" max="3590" width="14.140625" style="595" customWidth="1"/>
    <col min="3591" max="3603" width="10.7109375" style="595" customWidth="1"/>
    <col min="3604" max="3604" width="15.7109375" style="595" customWidth="1"/>
    <col min="3605" max="3840" width="11.421875" style="595" customWidth="1"/>
    <col min="3841" max="3841" width="22.7109375" style="595" customWidth="1"/>
    <col min="3842" max="3842" width="15.7109375" style="595" customWidth="1"/>
    <col min="3843" max="3843" width="5.7109375" style="595" customWidth="1"/>
    <col min="3844" max="3844" width="56.421875" style="595" customWidth="1"/>
    <col min="3845" max="3845" width="10.421875" style="595" customWidth="1"/>
    <col min="3846" max="3846" width="14.140625" style="595" customWidth="1"/>
    <col min="3847" max="3859" width="10.7109375" style="595" customWidth="1"/>
    <col min="3860" max="3860" width="15.7109375" style="595" customWidth="1"/>
    <col min="3861" max="4096" width="11.421875" style="595" customWidth="1"/>
    <col min="4097" max="4097" width="22.7109375" style="595" customWidth="1"/>
    <col min="4098" max="4098" width="15.7109375" style="595" customWidth="1"/>
    <col min="4099" max="4099" width="5.7109375" style="595" customWidth="1"/>
    <col min="4100" max="4100" width="56.421875" style="595" customWidth="1"/>
    <col min="4101" max="4101" width="10.421875" style="595" customWidth="1"/>
    <col min="4102" max="4102" width="14.140625" style="595" customWidth="1"/>
    <col min="4103" max="4115" width="10.7109375" style="595" customWidth="1"/>
    <col min="4116" max="4116" width="15.7109375" style="595" customWidth="1"/>
    <col min="4117" max="4352" width="11.421875" style="595" customWidth="1"/>
    <col min="4353" max="4353" width="22.7109375" style="595" customWidth="1"/>
    <col min="4354" max="4354" width="15.7109375" style="595" customWidth="1"/>
    <col min="4355" max="4355" width="5.7109375" style="595" customWidth="1"/>
    <col min="4356" max="4356" width="56.421875" style="595" customWidth="1"/>
    <col min="4357" max="4357" width="10.421875" style="595" customWidth="1"/>
    <col min="4358" max="4358" width="14.140625" style="595" customWidth="1"/>
    <col min="4359" max="4371" width="10.7109375" style="595" customWidth="1"/>
    <col min="4372" max="4372" width="15.7109375" style="595" customWidth="1"/>
    <col min="4373" max="4608" width="11.421875" style="595" customWidth="1"/>
    <col min="4609" max="4609" width="22.7109375" style="595" customWidth="1"/>
    <col min="4610" max="4610" width="15.7109375" style="595" customWidth="1"/>
    <col min="4611" max="4611" width="5.7109375" style="595" customWidth="1"/>
    <col min="4612" max="4612" width="56.421875" style="595" customWidth="1"/>
    <col min="4613" max="4613" width="10.421875" style="595" customWidth="1"/>
    <col min="4614" max="4614" width="14.140625" style="595" customWidth="1"/>
    <col min="4615" max="4627" width="10.7109375" style="595" customWidth="1"/>
    <col min="4628" max="4628" width="15.7109375" style="595" customWidth="1"/>
    <col min="4629" max="4864" width="11.421875" style="595" customWidth="1"/>
    <col min="4865" max="4865" width="22.7109375" style="595" customWidth="1"/>
    <col min="4866" max="4866" width="15.7109375" style="595" customWidth="1"/>
    <col min="4867" max="4867" width="5.7109375" style="595" customWidth="1"/>
    <col min="4868" max="4868" width="56.421875" style="595" customWidth="1"/>
    <col min="4869" max="4869" width="10.421875" style="595" customWidth="1"/>
    <col min="4870" max="4870" width="14.140625" style="595" customWidth="1"/>
    <col min="4871" max="4883" width="10.7109375" style="595" customWidth="1"/>
    <col min="4884" max="4884" width="15.7109375" style="595" customWidth="1"/>
    <col min="4885" max="5120" width="11.421875" style="595" customWidth="1"/>
    <col min="5121" max="5121" width="22.7109375" style="595" customWidth="1"/>
    <col min="5122" max="5122" width="15.7109375" style="595" customWidth="1"/>
    <col min="5123" max="5123" width="5.7109375" style="595" customWidth="1"/>
    <col min="5124" max="5124" width="56.421875" style="595" customWidth="1"/>
    <col min="5125" max="5125" width="10.421875" style="595" customWidth="1"/>
    <col min="5126" max="5126" width="14.140625" style="595" customWidth="1"/>
    <col min="5127" max="5139" width="10.7109375" style="595" customWidth="1"/>
    <col min="5140" max="5140" width="15.7109375" style="595" customWidth="1"/>
    <col min="5141" max="5376" width="11.421875" style="595" customWidth="1"/>
    <col min="5377" max="5377" width="22.7109375" style="595" customWidth="1"/>
    <col min="5378" max="5378" width="15.7109375" style="595" customWidth="1"/>
    <col min="5379" max="5379" width="5.7109375" style="595" customWidth="1"/>
    <col min="5380" max="5380" width="56.421875" style="595" customWidth="1"/>
    <col min="5381" max="5381" width="10.421875" style="595" customWidth="1"/>
    <col min="5382" max="5382" width="14.140625" style="595" customWidth="1"/>
    <col min="5383" max="5395" width="10.7109375" style="595" customWidth="1"/>
    <col min="5396" max="5396" width="15.7109375" style="595" customWidth="1"/>
    <col min="5397" max="5632" width="11.421875" style="595" customWidth="1"/>
    <col min="5633" max="5633" width="22.7109375" style="595" customWidth="1"/>
    <col min="5634" max="5634" width="15.7109375" style="595" customWidth="1"/>
    <col min="5635" max="5635" width="5.7109375" style="595" customWidth="1"/>
    <col min="5636" max="5636" width="56.421875" style="595" customWidth="1"/>
    <col min="5637" max="5637" width="10.421875" style="595" customWidth="1"/>
    <col min="5638" max="5638" width="14.140625" style="595" customWidth="1"/>
    <col min="5639" max="5651" width="10.7109375" style="595" customWidth="1"/>
    <col min="5652" max="5652" width="15.7109375" style="595" customWidth="1"/>
    <col min="5653" max="5888" width="11.421875" style="595" customWidth="1"/>
    <col min="5889" max="5889" width="22.7109375" style="595" customWidth="1"/>
    <col min="5890" max="5890" width="15.7109375" style="595" customWidth="1"/>
    <col min="5891" max="5891" width="5.7109375" style="595" customWidth="1"/>
    <col min="5892" max="5892" width="56.421875" style="595" customWidth="1"/>
    <col min="5893" max="5893" width="10.421875" style="595" customWidth="1"/>
    <col min="5894" max="5894" width="14.140625" style="595" customWidth="1"/>
    <col min="5895" max="5907" width="10.7109375" style="595" customWidth="1"/>
    <col min="5908" max="5908" width="15.7109375" style="595" customWidth="1"/>
    <col min="5909" max="6144" width="11.421875" style="595" customWidth="1"/>
    <col min="6145" max="6145" width="22.7109375" style="595" customWidth="1"/>
    <col min="6146" max="6146" width="15.7109375" style="595" customWidth="1"/>
    <col min="6147" max="6147" width="5.7109375" style="595" customWidth="1"/>
    <col min="6148" max="6148" width="56.421875" style="595" customWidth="1"/>
    <col min="6149" max="6149" width="10.421875" style="595" customWidth="1"/>
    <col min="6150" max="6150" width="14.140625" style="595" customWidth="1"/>
    <col min="6151" max="6163" width="10.7109375" style="595" customWidth="1"/>
    <col min="6164" max="6164" width="15.7109375" style="595" customWidth="1"/>
    <col min="6165" max="6400" width="11.421875" style="595" customWidth="1"/>
    <col min="6401" max="6401" width="22.7109375" style="595" customWidth="1"/>
    <col min="6402" max="6402" width="15.7109375" style="595" customWidth="1"/>
    <col min="6403" max="6403" width="5.7109375" style="595" customWidth="1"/>
    <col min="6404" max="6404" width="56.421875" style="595" customWidth="1"/>
    <col min="6405" max="6405" width="10.421875" style="595" customWidth="1"/>
    <col min="6406" max="6406" width="14.140625" style="595" customWidth="1"/>
    <col min="6407" max="6419" width="10.7109375" style="595" customWidth="1"/>
    <col min="6420" max="6420" width="15.7109375" style="595" customWidth="1"/>
    <col min="6421" max="6656" width="11.421875" style="595" customWidth="1"/>
    <col min="6657" max="6657" width="22.7109375" style="595" customWidth="1"/>
    <col min="6658" max="6658" width="15.7109375" style="595" customWidth="1"/>
    <col min="6659" max="6659" width="5.7109375" style="595" customWidth="1"/>
    <col min="6660" max="6660" width="56.421875" style="595" customWidth="1"/>
    <col min="6661" max="6661" width="10.421875" style="595" customWidth="1"/>
    <col min="6662" max="6662" width="14.140625" style="595" customWidth="1"/>
    <col min="6663" max="6675" width="10.7109375" style="595" customWidth="1"/>
    <col min="6676" max="6676" width="15.7109375" style="595" customWidth="1"/>
    <col min="6677" max="6912" width="11.421875" style="595" customWidth="1"/>
    <col min="6913" max="6913" width="22.7109375" style="595" customWidth="1"/>
    <col min="6914" max="6914" width="15.7109375" style="595" customWidth="1"/>
    <col min="6915" max="6915" width="5.7109375" style="595" customWidth="1"/>
    <col min="6916" max="6916" width="56.421875" style="595" customWidth="1"/>
    <col min="6917" max="6917" width="10.421875" style="595" customWidth="1"/>
    <col min="6918" max="6918" width="14.140625" style="595" customWidth="1"/>
    <col min="6919" max="6931" width="10.7109375" style="595" customWidth="1"/>
    <col min="6932" max="6932" width="15.7109375" style="595" customWidth="1"/>
    <col min="6933" max="7168" width="11.421875" style="595" customWidth="1"/>
    <col min="7169" max="7169" width="22.7109375" style="595" customWidth="1"/>
    <col min="7170" max="7170" width="15.7109375" style="595" customWidth="1"/>
    <col min="7171" max="7171" width="5.7109375" style="595" customWidth="1"/>
    <col min="7172" max="7172" width="56.421875" style="595" customWidth="1"/>
    <col min="7173" max="7173" width="10.421875" style="595" customWidth="1"/>
    <col min="7174" max="7174" width="14.140625" style="595" customWidth="1"/>
    <col min="7175" max="7187" width="10.7109375" style="595" customWidth="1"/>
    <col min="7188" max="7188" width="15.7109375" style="595" customWidth="1"/>
    <col min="7189" max="7424" width="11.421875" style="595" customWidth="1"/>
    <col min="7425" max="7425" width="22.7109375" style="595" customWidth="1"/>
    <col min="7426" max="7426" width="15.7109375" style="595" customWidth="1"/>
    <col min="7427" max="7427" width="5.7109375" style="595" customWidth="1"/>
    <col min="7428" max="7428" width="56.421875" style="595" customWidth="1"/>
    <col min="7429" max="7429" width="10.421875" style="595" customWidth="1"/>
    <col min="7430" max="7430" width="14.140625" style="595" customWidth="1"/>
    <col min="7431" max="7443" width="10.7109375" style="595" customWidth="1"/>
    <col min="7444" max="7444" width="15.7109375" style="595" customWidth="1"/>
    <col min="7445" max="7680" width="11.421875" style="595" customWidth="1"/>
    <col min="7681" max="7681" width="22.7109375" style="595" customWidth="1"/>
    <col min="7682" max="7682" width="15.7109375" style="595" customWidth="1"/>
    <col min="7683" max="7683" width="5.7109375" style="595" customWidth="1"/>
    <col min="7684" max="7684" width="56.421875" style="595" customWidth="1"/>
    <col min="7685" max="7685" width="10.421875" style="595" customWidth="1"/>
    <col min="7686" max="7686" width="14.140625" style="595" customWidth="1"/>
    <col min="7687" max="7699" width="10.7109375" style="595" customWidth="1"/>
    <col min="7700" max="7700" width="15.7109375" style="595" customWidth="1"/>
    <col min="7701" max="7936" width="11.421875" style="595" customWidth="1"/>
    <col min="7937" max="7937" width="22.7109375" style="595" customWidth="1"/>
    <col min="7938" max="7938" width="15.7109375" style="595" customWidth="1"/>
    <col min="7939" max="7939" width="5.7109375" style="595" customWidth="1"/>
    <col min="7940" max="7940" width="56.421875" style="595" customWidth="1"/>
    <col min="7941" max="7941" width="10.421875" style="595" customWidth="1"/>
    <col min="7942" max="7942" width="14.140625" style="595" customWidth="1"/>
    <col min="7943" max="7955" width="10.7109375" style="595" customWidth="1"/>
    <col min="7956" max="7956" width="15.7109375" style="595" customWidth="1"/>
    <col min="7957" max="8192" width="11.421875" style="595" customWidth="1"/>
    <col min="8193" max="8193" width="22.7109375" style="595" customWidth="1"/>
    <col min="8194" max="8194" width="15.7109375" style="595" customWidth="1"/>
    <col min="8195" max="8195" width="5.7109375" style="595" customWidth="1"/>
    <col min="8196" max="8196" width="56.421875" style="595" customWidth="1"/>
    <col min="8197" max="8197" width="10.421875" style="595" customWidth="1"/>
    <col min="8198" max="8198" width="14.140625" style="595" customWidth="1"/>
    <col min="8199" max="8211" width="10.7109375" style="595" customWidth="1"/>
    <col min="8212" max="8212" width="15.7109375" style="595" customWidth="1"/>
    <col min="8213" max="8448" width="11.421875" style="595" customWidth="1"/>
    <col min="8449" max="8449" width="22.7109375" style="595" customWidth="1"/>
    <col min="8450" max="8450" width="15.7109375" style="595" customWidth="1"/>
    <col min="8451" max="8451" width="5.7109375" style="595" customWidth="1"/>
    <col min="8452" max="8452" width="56.421875" style="595" customWidth="1"/>
    <col min="8453" max="8453" width="10.421875" style="595" customWidth="1"/>
    <col min="8454" max="8454" width="14.140625" style="595" customWidth="1"/>
    <col min="8455" max="8467" width="10.7109375" style="595" customWidth="1"/>
    <col min="8468" max="8468" width="15.7109375" style="595" customWidth="1"/>
    <col min="8469" max="8704" width="11.421875" style="595" customWidth="1"/>
    <col min="8705" max="8705" width="22.7109375" style="595" customWidth="1"/>
    <col min="8706" max="8706" width="15.7109375" style="595" customWidth="1"/>
    <col min="8707" max="8707" width="5.7109375" style="595" customWidth="1"/>
    <col min="8708" max="8708" width="56.421875" style="595" customWidth="1"/>
    <col min="8709" max="8709" width="10.421875" style="595" customWidth="1"/>
    <col min="8710" max="8710" width="14.140625" style="595" customWidth="1"/>
    <col min="8711" max="8723" width="10.7109375" style="595" customWidth="1"/>
    <col min="8724" max="8724" width="15.7109375" style="595" customWidth="1"/>
    <col min="8725" max="8960" width="11.421875" style="595" customWidth="1"/>
    <col min="8961" max="8961" width="22.7109375" style="595" customWidth="1"/>
    <col min="8962" max="8962" width="15.7109375" style="595" customWidth="1"/>
    <col min="8963" max="8963" width="5.7109375" style="595" customWidth="1"/>
    <col min="8964" max="8964" width="56.421875" style="595" customWidth="1"/>
    <col min="8965" max="8965" width="10.421875" style="595" customWidth="1"/>
    <col min="8966" max="8966" width="14.140625" style="595" customWidth="1"/>
    <col min="8967" max="8979" width="10.7109375" style="595" customWidth="1"/>
    <col min="8980" max="8980" width="15.7109375" style="595" customWidth="1"/>
    <col min="8981" max="9216" width="11.421875" style="595" customWidth="1"/>
    <col min="9217" max="9217" width="22.7109375" style="595" customWidth="1"/>
    <col min="9218" max="9218" width="15.7109375" style="595" customWidth="1"/>
    <col min="9219" max="9219" width="5.7109375" style="595" customWidth="1"/>
    <col min="9220" max="9220" width="56.421875" style="595" customWidth="1"/>
    <col min="9221" max="9221" width="10.421875" style="595" customWidth="1"/>
    <col min="9222" max="9222" width="14.140625" style="595" customWidth="1"/>
    <col min="9223" max="9235" width="10.7109375" style="595" customWidth="1"/>
    <col min="9236" max="9236" width="15.7109375" style="595" customWidth="1"/>
    <col min="9237" max="9472" width="11.421875" style="595" customWidth="1"/>
    <col min="9473" max="9473" width="22.7109375" style="595" customWidth="1"/>
    <col min="9474" max="9474" width="15.7109375" style="595" customWidth="1"/>
    <col min="9475" max="9475" width="5.7109375" style="595" customWidth="1"/>
    <col min="9476" max="9476" width="56.421875" style="595" customWidth="1"/>
    <col min="9477" max="9477" width="10.421875" style="595" customWidth="1"/>
    <col min="9478" max="9478" width="14.140625" style="595" customWidth="1"/>
    <col min="9479" max="9491" width="10.7109375" style="595" customWidth="1"/>
    <col min="9492" max="9492" width="15.7109375" style="595" customWidth="1"/>
    <col min="9493" max="9728" width="11.421875" style="595" customWidth="1"/>
    <col min="9729" max="9729" width="22.7109375" style="595" customWidth="1"/>
    <col min="9730" max="9730" width="15.7109375" style="595" customWidth="1"/>
    <col min="9731" max="9731" width="5.7109375" style="595" customWidth="1"/>
    <col min="9732" max="9732" width="56.421875" style="595" customWidth="1"/>
    <col min="9733" max="9733" width="10.421875" style="595" customWidth="1"/>
    <col min="9734" max="9734" width="14.140625" style="595" customWidth="1"/>
    <col min="9735" max="9747" width="10.7109375" style="595" customWidth="1"/>
    <col min="9748" max="9748" width="15.7109375" style="595" customWidth="1"/>
    <col min="9749" max="9984" width="11.421875" style="595" customWidth="1"/>
    <col min="9985" max="9985" width="22.7109375" style="595" customWidth="1"/>
    <col min="9986" max="9986" width="15.7109375" style="595" customWidth="1"/>
    <col min="9987" max="9987" width="5.7109375" style="595" customWidth="1"/>
    <col min="9988" max="9988" width="56.421875" style="595" customWidth="1"/>
    <col min="9989" max="9989" width="10.421875" style="595" customWidth="1"/>
    <col min="9990" max="9990" width="14.140625" style="595" customWidth="1"/>
    <col min="9991" max="10003" width="10.7109375" style="595" customWidth="1"/>
    <col min="10004" max="10004" width="15.7109375" style="595" customWidth="1"/>
    <col min="10005" max="10240" width="11.421875" style="595" customWidth="1"/>
    <col min="10241" max="10241" width="22.7109375" style="595" customWidth="1"/>
    <col min="10242" max="10242" width="15.7109375" style="595" customWidth="1"/>
    <col min="10243" max="10243" width="5.7109375" style="595" customWidth="1"/>
    <col min="10244" max="10244" width="56.421875" style="595" customWidth="1"/>
    <col min="10245" max="10245" width="10.421875" style="595" customWidth="1"/>
    <col min="10246" max="10246" width="14.140625" style="595" customWidth="1"/>
    <col min="10247" max="10259" width="10.7109375" style="595" customWidth="1"/>
    <col min="10260" max="10260" width="15.7109375" style="595" customWidth="1"/>
    <col min="10261" max="10496" width="11.421875" style="595" customWidth="1"/>
    <col min="10497" max="10497" width="22.7109375" style="595" customWidth="1"/>
    <col min="10498" max="10498" width="15.7109375" style="595" customWidth="1"/>
    <col min="10499" max="10499" width="5.7109375" style="595" customWidth="1"/>
    <col min="10500" max="10500" width="56.421875" style="595" customWidth="1"/>
    <col min="10501" max="10501" width="10.421875" style="595" customWidth="1"/>
    <col min="10502" max="10502" width="14.140625" style="595" customWidth="1"/>
    <col min="10503" max="10515" width="10.7109375" style="595" customWidth="1"/>
    <col min="10516" max="10516" width="15.7109375" style="595" customWidth="1"/>
    <col min="10517" max="10752" width="11.421875" style="595" customWidth="1"/>
    <col min="10753" max="10753" width="22.7109375" style="595" customWidth="1"/>
    <col min="10754" max="10754" width="15.7109375" style="595" customWidth="1"/>
    <col min="10755" max="10755" width="5.7109375" style="595" customWidth="1"/>
    <col min="10756" max="10756" width="56.421875" style="595" customWidth="1"/>
    <col min="10757" max="10757" width="10.421875" style="595" customWidth="1"/>
    <col min="10758" max="10758" width="14.140625" style="595" customWidth="1"/>
    <col min="10759" max="10771" width="10.7109375" style="595" customWidth="1"/>
    <col min="10772" max="10772" width="15.7109375" style="595" customWidth="1"/>
    <col min="10773" max="11008" width="11.421875" style="595" customWidth="1"/>
    <col min="11009" max="11009" width="22.7109375" style="595" customWidth="1"/>
    <col min="11010" max="11010" width="15.7109375" style="595" customWidth="1"/>
    <col min="11011" max="11011" width="5.7109375" style="595" customWidth="1"/>
    <col min="11012" max="11012" width="56.421875" style="595" customWidth="1"/>
    <col min="11013" max="11013" width="10.421875" style="595" customWidth="1"/>
    <col min="11014" max="11014" width="14.140625" style="595" customWidth="1"/>
    <col min="11015" max="11027" width="10.7109375" style="595" customWidth="1"/>
    <col min="11028" max="11028" width="15.7109375" style="595" customWidth="1"/>
    <col min="11029" max="11264" width="11.421875" style="595" customWidth="1"/>
    <col min="11265" max="11265" width="22.7109375" style="595" customWidth="1"/>
    <col min="11266" max="11266" width="15.7109375" style="595" customWidth="1"/>
    <col min="11267" max="11267" width="5.7109375" style="595" customWidth="1"/>
    <col min="11268" max="11268" width="56.421875" style="595" customWidth="1"/>
    <col min="11269" max="11269" width="10.421875" style="595" customWidth="1"/>
    <col min="11270" max="11270" width="14.140625" style="595" customWidth="1"/>
    <col min="11271" max="11283" width="10.7109375" style="595" customWidth="1"/>
    <col min="11284" max="11284" width="15.7109375" style="595" customWidth="1"/>
    <col min="11285" max="11520" width="11.421875" style="595" customWidth="1"/>
    <col min="11521" max="11521" width="22.7109375" style="595" customWidth="1"/>
    <col min="11522" max="11522" width="15.7109375" style="595" customWidth="1"/>
    <col min="11523" max="11523" width="5.7109375" style="595" customWidth="1"/>
    <col min="11524" max="11524" width="56.421875" style="595" customWidth="1"/>
    <col min="11525" max="11525" width="10.421875" style="595" customWidth="1"/>
    <col min="11526" max="11526" width="14.140625" style="595" customWidth="1"/>
    <col min="11527" max="11539" width="10.7109375" style="595" customWidth="1"/>
    <col min="11540" max="11540" width="15.7109375" style="595" customWidth="1"/>
    <col min="11541" max="11776" width="11.421875" style="595" customWidth="1"/>
    <col min="11777" max="11777" width="22.7109375" style="595" customWidth="1"/>
    <col min="11778" max="11778" width="15.7109375" style="595" customWidth="1"/>
    <col min="11779" max="11779" width="5.7109375" style="595" customWidth="1"/>
    <col min="11780" max="11780" width="56.421875" style="595" customWidth="1"/>
    <col min="11781" max="11781" width="10.421875" style="595" customWidth="1"/>
    <col min="11782" max="11782" width="14.140625" style="595" customWidth="1"/>
    <col min="11783" max="11795" width="10.7109375" style="595" customWidth="1"/>
    <col min="11796" max="11796" width="15.7109375" style="595" customWidth="1"/>
    <col min="11797" max="12032" width="11.421875" style="595" customWidth="1"/>
    <col min="12033" max="12033" width="22.7109375" style="595" customWidth="1"/>
    <col min="12034" max="12034" width="15.7109375" style="595" customWidth="1"/>
    <col min="12035" max="12035" width="5.7109375" style="595" customWidth="1"/>
    <col min="12036" max="12036" width="56.421875" style="595" customWidth="1"/>
    <col min="12037" max="12037" width="10.421875" style="595" customWidth="1"/>
    <col min="12038" max="12038" width="14.140625" style="595" customWidth="1"/>
    <col min="12039" max="12051" width="10.7109375" style="595" customWidth="1"/>
    <col min="12052" max="12052" width="15.7109375" style="595" customWidth="1"/>
    <col min="12053" max="12288" width="11.421875" style="595" customWidth="1"/>
    <col min="12289" max="12289" width="22.7109375" style="595" customWidth="1"/>
    <col min="12290" max="12290" width="15.7109375" style="595" customWidth="1"/>
    <col min="12291" max="12291" width="5.7109375" style="595" customWidth="1"/>
    <col min="12292" max="12292" width="56.421875" style="595" customWidth="1"/>
    <col min="12293" max="12293" width="10.421875" style="595" customWidth="1"/>
    <col min="12294" max="12294" width="14.140625" style="595" customWidth="1"/>
    <col min="12295" max="12307" width="10.7109375" style="595" customWidth="1"/>
    <col min="12308" max="12308" width="15.7109375" style="595" customWidth="1"/>
    <col min="12309" max="12544" width="11.421875" style="595" customWidth="1"/>
    <col min="12545" max="12545" width="22.7109375" style="595" customWidth="1"/>
    <col min="12546" max="12546" width="15.7109375" style="595" customWidth="1"/>
    <col min="12547" max="12547" width="5.7109375" style="595" customWidth="1"/>
    <col min="12548" max="12548" width="56.421875" style="595" customWidth="1"/>
    <col min="12549" max="12549" width="10.421875" style="595" customWidth="1"/>
    <col min="12550" max="12550" width="14.140625" style="595" customWidth="1"/>
    <col min="12551" max="12563" width="10.7109375" style="595" customWidth="1"/>
    <col min="12564" max="12564" width="15.7109375" style="595" customWidth="1"/>
    <col min="12565" max="12800" width="11.421875" style="595" customWidth="1"/>
    <col min="12801" max="12801" width="22.7109375" style="595" customWidth="1"/>
    <col min="12802" max="12802" width="15.7109375" style="595" customWidth="1"/>
    <col min="12803" max="12803" width="5.7109375" style="595" customWidth="1"/>
    <col min="12804" max="12804" width="56.421875" style="595" customWidth="1"/>
    <col min="12805" max="12805" width="10.421875" style="595" customWidth="1"/>
    <col min="12806" max="12806" width="14.140625" style="595" customWidth="1"/>
    <col min="12807" max="12819" width="10.7109375" style="595" customWidth="1"/>
    <col min="12820" max="12820" width="15.7109375" style="595" customWidth="1"/>
    <col min="12821" max="13056" width="11.421875" style="595" customWidth="1"/>
    <col min="13057" max="13057" width="22.7109375" style="595" customWidth="1"/>
    <col min="13058" max="13058" width="15.7109375" style="595" customWidth="1"/>
    <col min="13059" max="13059" width="5.7109375" style="595" customWidth="1"/>
    <col min="13060" max="13060" width="56.421875" style="595" customWidth="1"/>
    <col min="13061" max="13061" width="10.421875" style="595" customWidth="1"/>
    <col min="13062" max="13062" width="14.140625" style="595" customWidth="1"/>
    <col min="13063" max="13075" width="10.7109375" style="595" customWidth="1"/>
    <col min="13076" max="13076" width="15.7109375" style="595" customWidth="1"/>
    <col min="13077" max="13312" width="11.421875" style="595" customWidth="1"/>
    <col min="13313" max="13313" width="22.7109375" style="595" customWidth="1"/>
    <col min="13314" max="13314" width="15.7109375" style="595" customWidth="1"/>
    <col min="13315" max="13315" width="5.7109375" style="595" customWidth="1"/>
    <col min="13316" max="13316" width="56.421875" style="595" customWidth="1"/>
    <col min="13317" max="13317" width="10.421875" style="595" customWidth="1"/>
    <col min="13318" max="13318" width="14.140625" style="595" customWidth="1"/>
    <col min="13319" max="13331" width="10.7109375" style="595" customWidth="1"/>
    <col min="13332" max="13332" width="15.7109375" style="595" customWidth="1"/>
    <col min="13333" max="13568" width="11.421875" style="595" customWidth="1"/>
    <col min="13569" max="13569" width="22.7109375" style="595" customWidth="1"/>
    <col min="13570" max="13570" width="15.7109375" style="595" customWidth="1"/>
    <col min="13571" max="13571" width="5.7109375" style="595" customWidth="1"/>
    <col min="13572" max="13572" width="56.421875" style="595" customWidth="1"/>
    <col min="13573" max="13573" width="10.421875" style="595" customWidth="1"/>
    <col min="13574" max="13574" width="14.140625" style="595" customWidth="1"/>
    <col min="13575" max="13587" width="10.7109375" style="595" customWidth="1"/>
    <col min="13588" max="13588" width="15.7109375" style="595" customWidth="1"/>
    <col min="13589" max="13824" width="11.421875" style="595" customWidth="1"/>
    <col min="13825" max="13825" width="22.7109375" style="595" customWidth="1"/>
    <col min="13826" max="13826" width="15.7109375" style="595" customWidth="1"/>
    <col min="13827" max="13827" width="5.7109375" style="595" customWidth="1"/>
    <col min="13828" max="13828" width="56.421875" style="595" customWidth="1"/>
    <col min="13829" max="13829" width="10.421875" style="595" customWidth="1"/>
    <col min="13830" max="13830" width="14.140625" style="595" customWidth="1"/>
    <col min="13831" max="13843" width="10.7109375" style="595" customWidth="1"/>
    <col min="13844" max="13844" width="15.7109375" style="595" customWidth="1"/>
    <col min="13845" max="14080" width="11.421875" style="595" customWidth="1"/>
    <col min="14081" max="14081" width="22.7109375" style="595" customWidth="1"/>
    <col min="14082" max="14082" width="15.7109375" style="595" customWidth="1"/>
    <col min="14083" max="14083" width="5.7109375" style="595" customWidth="1"/>
    <col min="14084" max="14084" width="56.421875" style="595" customWidth="1"/>
    <col min="14085" max="14085" width="10.421875" style="595" customWidth="1"/>
    <col min="14086" max="14086" width="14.140625" style="595" customWidth="1"/>
    <col min="14087" max="14099" width="10.7109375" style="595" customWidth="1"/>
    <col min="14100" max="14100" width="15.7109375" style="595" customWidth="1"/>
    <col min="14101" max="14336" width="11.421875" style="595" customWidth="1"/>
    <col min="14337" max="14337" width="22.7109375" style="595" customWidth="1"/>
    <col min="14338" max="14338" width="15.7109375" style="595" customWidth="1"/>
    <col min="14339" max="14339" width="5.7109375" style="595" customWidth="1"/>
    <col min="14340" max="14340" width="56.421875" style="595" customWidth="1"/>
    <col min="14341" max="14341" width="10.421875" style="595" customWidth="1"/>
    <col min="14342" max="14342" width="14.140625" style="595" customWidth="1"/>
    <col min="14343" max="14355" width="10.7109375" style="595" customWidth="1"/>
    <col min="14356" max="14356" width="15.7109375" style="595" customWidth="1"/>
    <col min="14357" max="14592" width="11.421875" style="595" customWidth="1"/>
    <col min="14593" max="14593" width="22.7109375" style="595" customWidth="1"/>
    <col min="14594" max="14594" width="15.7109375" style="595" customWidth="1"/>
    <col min="14595" max="14595" width="5.7109375" style="595" customWidth="1"/>
    <col min="14596" max="14596" width="56.421875" style="595" customWidth="1"/>
    <col min="14597" max="14597" width="10.421875" style="595" customWidth="1"/>
    <col min="14598" max="14598" width="14.140625" style="595" customWidth="1"/>
    <col min="14599" max="14611" width="10.7109375" style="595" customWidth="1"/>
    <col min="14612" max="14612" width="15.7109375" style="595" customWidth="1"/>
    <col min="14613" max="14848" width="11.421875" style="595" customWidth="1"/>
    <col min="14849" max="14849" width="22.7109375" style="595" customWidth="1"/>
    <col min="14850" max="14850" width="15.7109375" style="595" customWidth="1"/>
    <col min="14851" max="14851" width="5.7109375" style="595" customWidth="1"/>
    <col min="14852" max="14852" width="56.421875" style="595" customWidth="1"/>
    <col min="14853" max="14853" width="10.421875" style="595" customWidth="1"/>
    <col min="14854" max="14854" width="14.140625" style="595" customWidth="1"/>
    <col min="14855" max="14867" width="10.7109375" style="595" customWidth="1"/>
    <col min="14868" max="14868" width="15.7109375" style="595" customWidth="1"/>
    <col min="14869" max="15104" width="11.421875" style="595" customWidth="1"/>
    <col min="15105" max="15105" width="22.7109375" style="595" customWidth="1"/>
    <col min="15106" max="15106" width="15.7109375" style="595" customWidth="1"/>
    <col min="15107" max="15107" width="5.7109375" style="595" customWidth="1"/>
    <col min="15108" max="15108" width="56.421875" style="595" customWidth="1"/>
    <col min="15109" max="15109" width="10.421875" style="595" customWidth="1"/>
    <col min="15110" max="15110" width="14.140625" style="595" customWidth="1"/>
    <col min="15111" max="15123" width="10.7109375" style="595" customWidth="1"/>
    <col min="15124" max="15124" width="15.7109375" style="595" customWidth="1"/>
    <col min="15125" max="15360" width="11.421875" style="595" customWidth="1"/>
    <col min="15361" max="15361" width="22.7109375" style="595" customWidth="1"/>
    <col min="15362" max="15362" width="15.7109375" style="595" customWidth="1"/>
    <col min="15363" max="15363" width="5.7109375" style="595" customWidth="1"/>
    <col min="15364" max="15364" width="56.421875" style="595" customWidth="1"/>
    <col min="15365" max="15365" width="10.421875" style="595" customWidth="1"/>
    <col min="15366" max="15366" width="14.140625" style="595" customWidth="1"/>
    <col min="15367" max="15379" width="10.7109375" style="595" customWidth="1"/>
    <col min="15380" max="15380" width="15.7109375" style="595" customWidth="1"/>
    <col min="15381" max="15616" width="11.421875" style="595" customWidth="1"/>
    <col min="15617" max="15617" width="22.7109375" style="595" customWidth="1"/>
    <col min="15618" max="15618" width="15.7109375" style="595" customWidth="1"/>
    <col min="15619" max="15619" width="5.7109375" style="595" customWidth="1"/>
    <col min="15620" max="15620" width="56.421875" style="595" customWidth="1"/>
    <col min="15621" max="15621" width="10.421875" style="595" customWidth="1"/>
    <col min="15622" max="15622" width="14.140625" style="595" customWidth="1"/>
    <col min="15623" max="15635" width="10.7109375" style="595" customWidth="1"/>
    <col min="15636" max="15636" width="15.7109375" style="595" customWidth="1"/>
    <col min="15637" max="15872" width="11.421875" style="595" customWidth="1"/>
    <col min="15873" max="15873" width="22.7109375" style="595" customWidth="1"/>
    <col min="15874" max="15874" width="15.7109375" style="595" customWidth="1"/>
    <col min="15875" max="15875" width="5.7109375" style="595" customWidth="1"/>
    <col min="15876" max="15876" width="56.421875" style="595" customWidth="1"/>
    <col min="15877" max="15877" width="10.421875" style="595" customWidth="1"/>
    <col min="15878" max="15878" width="14.140625" style="595" customWidth="1"/>
    <col min="15879" max="15891" width="10.7109375" style="595" customWidth="1"/>
    <col min="15892" max="15892" width="15.7109375" style="595" customWidth="1"/>
    <col min="15893" max="16128" width="11.421875" style="595" customWidth="1"/>
    <col min="16129" max="16129" width="22.7109375" style="595" customWidth="1"/>
    <col min="16130" max="16130" width="15.7109375" style="595" customWidth="1"/>
    <col min="16131" max="16131" width="5.7109375" style="595" customWidth="1"/>
    <col min="16132" max="16132" width="56.421875" style="595" customWidth="1"/>
    <col min="16133" max="16133" width="10.421875" style="595" customWidth="1"/>
    <col min="16134" max="16134" width="14.140625" style="595" customWidth="1"/>
    <col min="16135" max="16147" width="10.7109375" style="595" customWidth="1"/>
    <col min="16148" max="16148" width="15.7109375" style="595" customWidth="1"/>
    <col min="16149" max="16384" width="11.421875" style="595" customWidth="1"/>
  </cols>
  <sheetData>
    <row r="1" ht="38.25" customHeight="1">
      <c r="T1" s="596"/>
    </row>
    <row r="2" spans="2:20" s="597" customFormat="1" ht="40.5" customHeight="1">
      <c r="B2" s="598" t="str">
        <f>+'TOT-0516'!B2</f>
        <v>ANEXO VI al Memorándum D.T.E.E. N°        639    /2016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</row>
    <row r="3" spans="1:2" s="601" customFormat="1" ht="11.25" customHeight="1">
      <c r="A3" s="599" t="s">
        <v>3</v>
      </c>
      <c r="B3" s="600"/>
    </row>
    <row r="4" spans="1:4" s="601" customFormat="1" ht="11.25" customHeight="1">
      <c r="A4" s="599" t="s">
        <v>4</v>
      </c>
      <c r="B4" s="600"/>
      <c r="D4" s="602"/>
    </row>
    <row r="5" spans="1:4" ht="10.5" customHeight="1">
      <c r="A5" s="603"/>
      <c r="D5" s="604"/>
    </row>
    <row r="6" spans="1:20" ht="26.25">
      <c r="A6" s="603"/>
      <c r="B6" s="605" t="s">
        <v>195</v>
      </c>
      <c r="C6" s="606"/>
      <c r="D6" s="604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</row>
    <row r="7" spans="1:4" ht="18.75" customHeight="1">
      <c r="A7" s="603"/>
      <c r="D7" s="604"/>
    </row>
    <row r="8" spans="1:20" ht="26.25">
      <c r="A8" s="603"/>
      <c r="B8" s="607" t="s">
        <v>1</v>
      </c>
      <c r="C8" s="606"/>
      <c r="D8" s="604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</row>
    <row r="9" spans="1:4" ht="18.75" customHeight="1">
      <c r="A9" s="603"/>
      <c r="D9" s="604"/>
    </row>
    <row r="10" spans="1:20" ht="26.25">
      <c r="A10" s="603"/>
      <c r="B10" s="607" t="s">
        <v>196</v>
      </c>
      <c r="C10" s="606"/>
      <c r="D10" s="604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</row>
    <row r="11" ht="18.75" customHeight="1" thickBot="1"/>
    <row r="12" spans="2:20" ht="18.75" customHeight="1" thickTop="1">
      <c r="B12" s="608"/>
      <c r="C12" s="609"/>
      <c r="D12" s="610"/>
      <c r="E12" s="610"/>
      <c r="F12" s="610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11"/>
    </row>
    <row r="13" spans="2:20" ht="30" customHeight="1">
      <c r="B13" s="612" t="s">
        <v>201</v>
      </c>
      <c r="C13" s="606"/>
      <c r="D13" s="613"/>
      <c r="E13" s="613"/>
      <c r="F13" s="613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5"/>
    </row>
    <row r="14" spans="2:20" ht="18.75" customHeight="1" thickBot="1">
      <c r="B14" s="616"/>
      <c r="C14" s="617"/>
      <c r="D14" s="618"/>
      <c r="E14" s="618"/>
      <c r="F14" s="619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1"/>
    </row>
    <row r="15" spans="1:20" s="629" customFormat="1" ht="46.5" customHeight="1" thickBot="1" thickTop="1">
      <c r="A15" s="622"/>
      <c r="B15" s="623"/>
      <c r="C15" s="624"/>
      <c r="D15" s="624" t="s">
        <v>197</v>
      </c>
      <c r="E15" s="625" t="s">
        <v>21</v>
      </c>
      <c r="F15" s="626" t="s">
        <v>22</v>
      </c>
      <c r="G15" s="627">
        <f>+'[2]Tasa de Falla'!IK15</f>
        <v>42125</v>
      </c>
      <c r="H15" s="627">
        <f>+'[2]Tasa de Falla'!IL15</f>
        <v>42156</v>
      </c>
      <c r="I15" s="627">
        <f>+'[2]Tasa de Falla'!IM15</f>
        <v>42186</v>
      </c>
      <c r="J15" s="627">
        <f>+'[2]Tasa de Falla'!IN15</f>
        <v>42217</v>
      </c>
      <c r="K15" s="627">
        <f>+'[2]Tasa de Falla'!IO15</f>
        <v>42248</v>
      </c>
      <c r="L15" s="627">
        <f>+'[2]Tasa de Falla'!IP15</f>
        <v>42278</v>
      </c>
      <c r="M15" s="627">
        <f>+'[2]Tasa de Falla'!IQ15</f>
        <v>42309</v>
      </c>
      <c r="N15" s="627">
        <f>+'[2]Tasa de Falla'!IR15</f>
        <v>42339</v>
      </c>
      <c r="O15" s="627">
        <f>+'[2]Tasa de Falla'!IS15</f>
        <v>42370</v>
      </c>
      <c r="P15" s="627">
        <f>+'[2]Tasa de Falla'!IT15</f>
        <v>42401</v>
      </c>
      <c r="Q15" s="627">
        <f>+'[2]Tasa de Falla'!IU15</f>
        <v>42430</v>
      </c>
      <c r="R15" s="627">
        <f>+'[2]Tasa de Falla'!IV15</f>
        <v>42461</v>
      </c>
      <c r="S15" s="627">
        <f>+'[2]Tasa de Falla'!IW15</f>
        <v>42491</v>
      </c>
      <c r="T15" s="628"/>
    </row>
    <row r="16" spans="2:20" s="629" customFormat="1" ht="24.95" customHeight="1" thickTop="1">
      <c r="B16" s="630"/>
      <c r="C16" s="631"/>
      <c r="D16" s="632"/>
      <c r="E16" s="632"/>
      <c r="F16" s="633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4"/>
      <c r="T16" s="628"/>
    </row>
    <row r="17" spans="2:20" s="629" customFormat="1" ht="24.95" customHeight="1">
      <c r="B17" s="630"/>
      <c r="C17" s="635">
        <f>+'[2]Tasa de Falla'!C17</f>
        <v>1</v>
      </c>
      <c r="D17" s="663" t="str">
        <f>+'[2]Tasa de Falla'!D17</f>
        <v>AGUA DEL TORO - CRUZ DE PIEDRA</v>
      </c>
      <c r="E17" s="663">
        <f>+'[2]Tasa de Falla'!E17</f>
        <v>220</v>
      </c>
      <c r="F17" s="664">
        <f>+'[2]Tasa de Falla'!F17</f>
        <v>177.9</v>
      </c>
      <c r="G17" s="636" t="str">
        <f>IF('[2]Tasa de Falla'!IK17="","",'[2]Tasa de Falla'!IK17)</f>
        <v/>
      </c>
      <c r="H17" s="636" t="str">
        <f>IF('[2]Tasa de Falla'!IL17="","",'[2]Tasa de Falla'!IL17)</f>
        <v/>
      </c>
      <c r="I17" s="636" t="str">
        <f>IF('[2]Tasa de Falla'!IM17="","",'[2]Tasa de Falla'!IM17)</f>
        <v/>
      </c>
      <c r="J17" s="636" t="str">
        <f>IF('[2]Tasa de Falla'!IN17="","",'[2]Tasa de Falla'!IN17)</f>
        <v/>
      </c>
      <c r="K17" s="636" t="str">
        <f>IF('[2]Tasa de Falla'!IO17="","",'[2]Tasa de Falla'!IO17)</f>
        <v/>
      </c>
      <c r="L17" s="636" t="str">
        <f>IF('[2]Tasa de Falla'!IP17="","",'[2]Tasa de Falla'!IP17)</f>
        <v/>
      </c>
      <c r="M17" s="636" t="str">
        <f>IF('[2]Tasa de Falla'!IQ17="","",'[2]Tasa de Falla'!IQ17)</f>
        <v/>
      </c>
      <c r="N17" s="636" t="str">
        <f>IF('[2]Tasa de Falla'!IR17="","",'[2]Tasa de Falla'!IR17)</f>
        <v/>
      </c>
      <c r="O17" s="636">
        <f>IF('[2]Tasa de Falla'!IS17="","",'[2]Tasa de Falla'!IS17)</f>
        <v>1</v>
      </c>
      <c r="P17" s="636" t="str">
        <f>IF('[2]Tasa de Falla'!IT17="","",'[2]Tasa de Falla'!IT17)</f>
        <v/>
      </c>
      <c r="Q17" s="636" t="str">
        <f>IF('[2]Tasa de Falla'!IU17="","",'[2]Tasa de Falla'!IU17)</f>
        <v/>
      </c>
      <c r="R17" s="636" t="str">
        <f>IF('[2]Tasa de Falla'!IV17="","",'[2]Tasa de Falla'!IV17)</f>
        <v/>
      </c>
      <c r="S17" s="633"/>
      <c r="T17" s="628"/>
    </row>
    <row r="18" spans="2:20" s="629" customFormat="1" ht="24.95" customHeight="1">
      <c r="B18" s="630"/>
      <c r="C18" s="635">
        <f>+'[2]Tasa de Falla'!C18</f>
        <v>2</v>
      </c>
      <c r="D18" s="663" t="str">
        <f>+'[2]Tasa de Falla'!D18</f>
        <v>AGUA DEL TORO - LOS REYUNOS</v>
      </c>
      <c r="E18" s="663">
        <f>+'[2]Tasa de Falla'!E18</f>
        <v>220</v>
      </c>
      <c r="F18" s="664">
        <f>+'[2]Tasa de Falla'!F18</f>
        <v>43</v>
      </c>
      <c r="G18" s="636" t="str">
        <f>IF('[2]Tasa de Falla'!IK18="","",'[2]Tasa de Falla'!IK18)</f>
        <v/>
      </c>
      <c r="H18" s="636" t="str">
        <f>IF('[2]Tasa de Falla'!IL18="","",'[2]Tasa de Falla'!IL18)</f>
        <v/>
      </c>
      <c r="I18" s="636" t="str">
        <f>IF('[2]Tasa de Falla'!IM18="","",'[2]Tasa de Falla'!IM18)</f>
        <v/>
      </c>
      <c r="J18" s="636" t="str">
        <f>IF('[2]Tasa de Falla'!IN18="","",'[2]Tasa de Falla'!IN18)</f>
        <v/>
      </c>
      <c r="K18" s="636" t="str">
        <f>IF('[2]Tasa de Falla'!IO18="","",'[2]Tasa de Falla'!IO18)</f>
        <v/>
      </c>
      <c r="L18" s="636" t="str">
        <f>IF('[2]Tasa de Falla'!IP18="","",'[2]Tasa de Falla'!IP18)</f>
        <v/>
      </c>
      <c r="M18" s="636" t="str">
        <f>IF('[2]Tasa de Falla'!IQ18="","",'[2]Tasa de Falla'!IQ18)</f>
        <v/>
      </c>
      <c r="N18" s="636" t="str">
        <f>IF('[2]Tasa de Falla'!IR18="","",'[2]Tasa de Falla'!IR18)</f>
        <v/>
      </c>
      <c r="O18" s="636" t="str">
        <f>IF('[2]Tasa de Falla'!IS18="","",'[2]Tasa de Falla'!IS18)</f>
        <v/>
      </c>
      <c r="P18" s="636" t="str">
        <f>IF('[2]Tasa de Falla'!IT18="","",'[2]Tasa de Falla'!IT18)</f>
        <v/>
      </c>
      <c r="Q18" s="636" t="str">
        <f>IF('[2]Tasa de Falla'!IU18="","",'[2]Tasa de Falla'!IU18)</f>
        <v/>
      </c>
      <c r="R18" s="636" t="str">
        <f>IF('[2]Tasa de Falla'!IV18="","",'[2]Tasa de Falla'!IV18)</f>
        <v/>
      </c>
      <c r="S18" s="633"/>
      <c r="T18" s="628"/>
    </row>
    <row r="19" spans="2:20" s="629" customFormat="1" ht="24.95" customHeight="1">
      <c r="B19" s="630"/>
      <c r="C19" s="635">
        <f>+'[2]Tasa de Falla'!C19</f>
        <v>3</v>
      </c>
      <c r="D19" s="663" t="str">
        <f>+'[2]Tasa de Falla'!D19</f>
        <v>AGUA DEL TORO - NIHUIL II</v>
      </c>
      <c r="E19" s="663">
        <f>+'[2]Tasa de Falla'!E19</f>
        <v>220</v>
      </c>
      <c r="F19" s="664">
        <f>+'[2]Tasa de Falla'!F19</f>
        <v>53.5</v>
      </c>
      <c r="G19" s="636" t="str">
        <f>IF('[2]Tasa de Falla'!IK19="","",'[2]Tasa de Falla'!IK19)</f>
        <v/>
      </c>
      <c r="H19" s="636" t="str">
        <f>IF('[2]Tasa de Falla'!IL19="","",'[2]Tasa de Falla'!IL19)</f>
        <v/>
      </c>
      <c r="I19" s="636" t="str">
        <f>IF('[2]Tasa de Falla'!IM19="","",'[2]Tasa de Falla'!IM19)</f>
        <v/>
      </c>
      <c r="J19" s="636" t="str">
        <f>IF('[2]Tasa de Falla'!IN19="","",'[2]Tasa de Falla'!IN19)</f>
        <v/>
      </c>
      <c r="K19" s="636" t="str">
        <f>IF('[2]Tasa de Falla'!IO19="","",'[2]Tasa de Falla'!IO19)</f>
        <v/>
      </c>
      <c r="L19" s="636" t="str">
        <f>IF('[2]Tasa de Falla'!IP19="","",'[2]Tasa de Falla'!IP19)</f>
        <v/>
      </c>
      <c r="M19" s="636" t="str">
        <f>IF('[2]Tasa de Falla'!IQ19="","",'[2]Tasa de Falla'!IQ19)</f>
        <v/>
      </c>
      <c r="N19" s="636" t="str">
        <f>IF('[2]Tasa de Falla'!IR19="","",'[2]Tasa de Falla'!IR19)</f>
        <v/>
      </c>
      <c r="O19" s="636" t="str">
        <f>IF('[2]Tasa de Falla'!IS19="","",'[2]Tasa de Falla'!IS19)</f>
        <v/>
      </c>
      <c r="P19" s="636" t="str">
        <f>IF('[2]Tasa de Falla'!IT19="","",'[2]Tasa de Falla'!IT19)</f>
        <v/>
      </c>
      <c r="Q19" s="636" t="str">
        <f>IF('[2]Tasa de Falla'!IU19="","",'[2]Tasa de Falla'!IU19)</f>
        <v/>
      </c>
      <c r="R19" s="636" t="str">
        <f>IF('[2]Tasa de Falla'!IV19="","",'[2]Tasa de Falla'!IV19)</f>
        <v/>
      </c>
      <c r="S19" s="633"/>
      <c r="T19" s="628"/>
    </row>
    <row r="20" spans="2:20" s="629" customFormat="1" ht="24.95" customHeight="1">
      <c r="B20" s="630"/>
      <c r="C20" s="635">
        <f>+'[2]Tasa de Falla'!C20</f>
        <v>4</v>
      </c>
      <c r="D20" s="663" t="str">
        <f>+'[2]Tasa de Falla'!D20</f>
        <v>CRUZ DE PIEDRA - SAN JUAN</v>
      </c>
      <c r="E20" s="663">
        <f>+'[2]Tasa de Falla'!E20</f>
        <v>220</v>
      </c>
      <c r="F20" s="664">
        <f>+'[2]Tasa de Falla'!F20</f>
        <v>171.6</v>
      </c>
      <c r="G20" s="636" t="str">
        <f>IF('[2]Tasa de Falla'!IK20="","",'[2]Tasa de Falla'!IK20)</f>
        <v/>
      </c>
      <c r="H20" s="636" t="str">
        <f>IF('[2]Tasa de Falla'!IL20="","",'[2]Tasa de Falla'!IL20)</f>
        <v/>
      </c>
      <c r="I20" s="636" t="str">
        <f>IF('[2]Tasa de Falla'!IM20="","",'[2]Tasa de Falla'!IM20)</f>
        <v/>
      </c>
      <c r="J20" s="636" t="str">
        <f>IF('[2]Tasa de Falla'!IN20="","",'[2]Tasa de Falla'!IN20)</f>
        <v/>
      </c>
      <c r="K20" s="636" t="str">
        <f>IF('[2]Tasa de Falla'!IO20="","",'[2]Tasa de Falla'!IO20)</f>
        <v/>
      </c>
      <c r="L20" s="636" t="str">
        <f>IF('[2]Tasa de Falla'!IP20="","",'[2]Tasa de Falla'!IP20)</f>
        <v/>
      </c>
      <c r="M20" s="636" t="str">
        <f>IF('[2]Tasa de Falla'!IQ20="","",'[2]Tasa de Falla'!IQ20)</f>
        <v/>
      </c>
      <c r="N20" s="636" t="str">
        <f>IF('[2]Tasa de Falla'!IR20="","",'[2]Tasa de Falla'!IR20)</f>
        <v/>
      </c>
      <c r="O20" s="636" t="str">
        <f>IF('[2]Tasa de Falla'!IS20="","",'[2]Tasa de Falla'!IS20)</f>
        <v/>
      </c>
      <c r="P20" s="636" t="str">
        <f>IF('[2]Tasa de Falla'!IT20="","",'[2]Tasa de Falla'!IT20)</f>
        <v/>
      </c>
      <c r="Q20" s="636" t="str">
        <f>IF('[2]Tasa de Falla'!IU20="","",'[2]Tasa de Falla'!IU20)</f>
        <v/>
      </c>
      <c r="R20" s="636" t="str">
        <f>IF('[2]Tasa de Falla'!IV20="","",'[2]Tasa de Falla'!IV20)</f>
        <v/>
      </c>
      <c r="S20" s="633"/>
      <c r="T20" s="628"/>
    </row>
    <row r="21" spans="2:20" s="629" customFormat="1" ht="24.95" customHeight="1">
      <c r="B21" s="630"/>
      <c r="C21" s="635">
        <f>+'[2]Tasa de Falla'!C21</f>
        <v>5</v>
      </c>
      <c r="D21" s="663" t="str">
        <f>+'[2]Tasa de Falla'!D21</f>
        <v>LOS REYUNOS - GRAN MENDOZA</v>
      </c>
      <c r="E21" s="663">
        <f>+'[2]Tasa de Falla'!E21</f>
        <v>220</v>
      </c>
      <c r="F21" s="664">
        <f>+'[2]Tasa de Falla'!F21</f>
        <v>188.3</v>
      </c>
      <c r="G21" s="636" t="str">
        <f>IF('[2]Tasa de Falla'!IK21="","",'[2]Tasa de Falla'!IK21)</f>
        <v/>
      </c>
      <c r="H21" s="636">
        <f>IF('[2]Tasa de Falla'!IL21="","",'[2]Tasa de Falla'!IL21)</f>
        <v>1</v>
      </c>
      <c r="I21" s="636" t="str">
        <f>IF('[2]Tasa de Falla'!IM21="","",'[2]Tasa de Falla'!IM21)</f>
        <v/>
      </c>
      <c r="J21" s="636" t="str">
        <f>IF('[2]Tasa de Falla'!IN21="","",'[2]Tasa de Falla'!IN21)</f>
        <v/>
      </c>
      <c r="K21" s="636" t="str">
        <f>IF('[2]Tasa de Falla'!IO21="","",'[2]Tasa de Falla'!IO21)</f>
        <v/>
      </c>
      <c r="L21" s="636" t="str">
        <f>IF('[2]Tasa de Falla'!IP21="","",'[2]Tasa de Falla'!IP21)</f>
        <v/>
      </c>
      <c r="M21" s="636" t="str">
        <f>IF('[2]Tasa de Falla'!IQ21="","",'[2]Tasa de Falla'!IQ21)</f>
        <v/>
      </c>
      <c r="N21" s="636">
        <f>IF('[2]Tasa de Falla'!IR21="","",'[2]Tasa de Falla'!IR21)</f>
        <v>1</v>
      </c>
      <c r="O21" s="636" t="str">
        <f>IF('[2]Tasa de Falla'!IS21="","",'[2]Tasa de Falla'!IS21)</f>
        <v/>
      </c>
      <c r="P21" s="636" t="str">
        <f>IF('[2]Tasa de Falla'!IT21="","",'[2]Tasa de Falla'!IT21)</f>
        <v/>
      </c>
      <c r="Q21" s="636" t="str">
        <f>IF('[2]Tasa de Falla'!IU21="","",'[2]Tasa de Falla'!IU21)</f>
        <v/>
      </c>
      <c r="R21" s="636" t="str">
        <f>IF('[2]Tasa de Falla'!IV21="","",'[2]Tasa de Falla'!IV21)</f>
        <v/>
      </c>
      <c r="S21" s="633"/>
      <c r="T21" s="628"/>
    </row>
    <row r="22" spans="2:20" s="629" customFormat="1" ht="24.95" customHeight="1">
      <c r="B22" s="630"/>
      <c r="C22" s="635">
        <f>+'[2]Tasa de Falla'!C22</f>
        <v>6</v>
      </c>
      <c r="D22" s="663" t="str">
        <f>+'[2]Tasa de Falla'!D22</f>
        <v>CRUZ DE PIEDRA - CAÑADA HONDA</v>
      </c>
      <c r="E22" s="663">
        <f>+'[2]Tasa de Falla'!E22</f>
        <v>132</v>
      </c>
      <c r="F22" s="664">
        <f>+'[2]Tasa de Falla'!F22</f>
        <v>125.8</v>
      </c>
      <c r="G22" s="636" t="str">
        <f>IF('[2]Tasa de Falla'!IK22="","",'[2]Tasa de Falla'!IK22)</f>
        <v/>
      </c>
      <c r="H22" s="636">
        <f>IF('[2]Tasa de Falla'!IL22="","",'[2]Tasa de Falla'!IL22)</f>
        <v>1</v>
      </c>
      <c r="I22" s="636" t="str">
        <f>IF('[2]Tasa de Falla'!IM22="","",'[2]Tasa de Falla'!IM22)</f>
        <v/>
      </c>
      <c r="J22" s="636" t="str">
        <f>IF('[2]Tasa de Falla'!IN22="","",'[2]Tasa de Falla'!IN22)</f>
        <v/>
      </c>
      <c r="K22" s="636" t="str">
        <f>IF('[2]Tasa de Falla'!IO22="","",'[2]Tasa de Falla'!IO22)</f>
        <v/>
      </c>
      <c r="L22" s="636" t="str">
        <f>IF('[2]Tasa de Falla'!IP22="","",'[2]Tasa de Falla'!IP22)</f>
        <v/>
      </c>
      <c r="M22" s="636" t="str">
        <f>IF('[2]Tasa de Falla'!IQ22="","",'[2]Tasa de Falla'!IQ22)</f>
        <v/>
      </c>
      <c r="N22" s="636" t="str">
        <f>IF('[2]Tasa de Falla'!IR22="","",'[2]Tasa de Falla'!IR22)</f>
        <v/>
      </c>
      <c r="O22" s="636">
        <f>IF('[2]Tasa de Falla'!IS22="","",'[2]Tasa de Falla'!IS22)</f>
        <v>1</v>
      </c>
      <c r="P22" s="636" t="str">
        <f>IF('[2]Tasa de Falla'!IT22="","",'[2]Tasa de Falla'!IT22)</f>
        <v/>
      </c>
      <c r="Q22" s="636" t="str">
        <f>IF('[2]Tasa de Falla'!IU22="","",'[2]Tasa de Falla'!IU22)</f>
        <v/>
      </c>
      <c r="R22" s="636" t="str">
        <f>IF('[2]Tasa de Falla'!IV22="","",'[2]Tasa de Falla'!IV22)</f>
        <v/>
      </c>
      <c r="S22" s="633"/>
      <c r="T22" s="628"/>
    </row>
    <row r="23" spans="2:20" s="629" customFormat="1" ht="24.95" customHeight="1">
      <c r="B23" s="630"/>
      <c r="C23" s="635">
        <f>+'[2]Tasa de Falla'!C23</f>
        <v>7</v>
      </c>
      <c r="D23" s="663" t="str">
        <f>+'[2]Tasa de Falla'!D23</f>
        <v>ANCHORIS - CAPIZ</v>
      </c>
      <c r="E23" s="663">
        <f>+'[2]Tasa de Falla'!E23</f>
        <v>132</v>
      </c>
      <c r="F23" s="664">
        <f>+'[2]Tasa de Falla'!F23</f>
        <v>42</v>
      </c>
      <c r="G23" s="636" t="str">
        <f>IF('[2]Tasa de Falla'!IK23="","",'[2]Tasa de Falla'!IK23)</f>
        <v/>
      </c>
      <c r="H23" s="636" t="str">
        <f>IF('[2]Tasa de Falla'!IL23="","",'[2]Tasa de Falla'!IL23)</f>
        <v/>
      </c>
      <c r="I23" s="636" t="str">
        <f>IF('[2]Tasa de Falla'!IM23="","",'[2]Tasa de Falla'!IM23)</f>
        <v/>
      </c>
      <c r="J23" s="636" t="str">
        <f>IF('[2]Tasa de Falla'!IN23="","",'[2]Tasa de Falla'!IN23)</f>
        <v/>
      </c>
      <c r="K23" s="636" t="str">
        <f>IF('[2]Tasa de Falla'!IO23="","",'[2]Tasa de Falla'!IO23)</f>
        <v/>
      </c>
      <c r="L23" s="636" t="str">
        <f>IF('[2]Tasa de Falla'!IP23="","",'[2]Tasa de Falla'!IP23)</f>
        <v/>
      </c>
      <c r="M23" s="636" t="str">
        <f>IF('[2]Tasa de Falla'!IQ23="","",'[2]Tasa de Falla'!IQ23)</f>
        <v/>
      </c>
      <c r="N23" s="636" t="str">
        <f>IF('[2]Tasa de Falla'!IR23="","",'[2]Tasa de Falla'!IR23)</f>
        <v/>
      </c>
      <c r="O23" s="636" t="str">
        <f>IF('[2]Tasa de Falla'!IS23="","",'[2]Tasa de Falla'!IS23)</f>
        <v/>
      </c>
      <c r="P23" s="636" t="str">
        <f>IF('[2]Tasa de Falla'!IT23="","",'[2]Tasa de Falla'!IT23)</f>
        <v/>
      </c>
      <c r="Q23" s="636" t="str">
        <f>IF('[2]Tasa de Falla'!IU23="","",'[2]Tasa de Falla'!IU23)</f>
        <v/>
      </c>
      <c r="R23" s="636" t="str">
        <f>IF('[2]Tasa de Falla'!IV23="","",'[2]Tasa de Falla'!IV23)</f>
        <v/>
      </c>
      <c r="S23" s="633"/>
      <c r="T23" s="628"/>
    </row>
    <row r="24" spans="2:20" s="629" customFormat="1" ht="24.95" customHeight="1">
      <c r="B24" s="630"/>
      <c r="C24" s="635">
        <f>+'[2]Tasa de Falla'!C24</f>
        <v>8</v>
      </c>
      <c r="D24" s="663" t="str">
        <f>+'[2]Tasa de Falla'!D24</f>
        <v>ANCHORIS - CRUZ DE PIEDRA</v>
      </c>
      <c r="E24" s="663">
        <f>+'[2]Tasa de Falla'!E24</f>
        <v>132</v>
      </c>
      <c r="F24" s="664">
        <f>+'[2]Tasa de Falla'!F24</f>
        <v>33.5</v>
      </c>
      <c r="G24" s="636" t="str">
        <f>IF('[2]Tasa de Falla'!IK24="","",'[2]Tasa de Falla'!IK24)</f>
        <v/>
      </c>
      <c r="H24" s="636" t="str">
        <f>IF('[2]Tasa de Falla'!IL24="","",'[2]Tasa de Falla'!IL24)</f>
        <v/>
      </c>
      <c r="I24" s="636" t="str">
        <f>IF('[2]Tasa de Falla'!IM24="","",'[2]Tasa de Falla'!IM24)</f>
        <v/>
      </c>
      <c r="J24" s="636" t="str">
        <f>IF('[2]Tasa de Falla'!IN24="","",'[2]Tasa de Falla'!IN24)</f>
        <v/>
      </c>
      <c r="K24" s="636" t="str">
        <f>IF('[2]Tasa de Falla'!IO24="","",'[2]Tasa de Falla'!IO24)</f>
        <v/>
      </c>
      <c r="L24" s="636" t="str">
        <f>IF('[2]Tasa de Falla'!IP24="","",'[2]Tasa de Falla'!IP24)</f>
        <v/>
      </c>
      <c r="M24" s="636" t="str">
        <f>IF('[2]Tasa de Falla'!IQ24="","",'[2]Tasa de Falla'!IQ24)</f>
        <v/>
      </c>
      <c r="N24" s="636" t="str">
        <f>IF('[2]Tasa de Falla'!IR24="","",'[2]Tasa de Falla'!IR24)</f>
        <v/>
      </c>
      <c r="O24" s="636" t="str">
        <f>IF('[2]Tasa de Falla'!IS24="","",'[2]Tasa de Falla'!IS24)</f>
        <v/>
      </c>
      <c r="P24" s="636" t="str">
        <f>IF('[2]Tasa de Falla'!IT24="","",'[2]Tasa de Falla'!IT24)</f>
        <v/>
      </c>
      <c r="Q24" s="636" t="str">
        <f>IF('[2]Tasa de Falla'!IU24="","",'[2]Tasa de Falla'!IU24)</f>
        <v/>
      </c>
      <c r="R24" s="636" t="str">
        <f>IF('[2]Tasa de Falla'!IV24="","",'[2]Tasa de Falla'!IV24)</f>
        <v/>
      </c>
      <c r="S24" s="633"/>
      <c r="T24" s="628"/>
    </row>
    <row r="25" spans="2:20" s="629" customFormat="1" ht="24.95" customHeight="1">
      <c r="B25" s="630"/>
      <c r="C25" s="635">
        <f>+'[2]Tasa de Falla'!C25</f>
        <v>9</v>
      </c>
      <c r="D25" s="663" t="str">
        <f>+'[2]Tasa de Falla'!D25</f>
        <v>ANCHORIZ -Deriv."T" a LC 35-B.R.Tunuyan</v>
      </c>
      <c r="E25" s="663">
        <f>+'[2]Tasa de Falla'!E25</f>
        <v>132</v>
      </c>
      <c r="F25" s="664">
        <f>+'[2]Tasa de Falla'!F25</f>
        <v>52.9</v>
      </c>
      <c r="G25" s="636" t="str">
        <f>IF('[2]Tasa de Falla'!IK25="","",'[2]Tasa de Falla'!IK25)</f>
        <v/>
      </c>
      <c r="H25" s="636" t="str">
        <f>IF('[2]Tasa de Falla'!IL25="","",'[2]Tasa de Falla'!IL25)</f>
        <v/>
      </c>
      <c r="I25" s="636" t="str">
        <f>IF('[2]Tasa de Falla'!IM25="","",'[2]Tasa de Falla'!IM25)</f>
        <v/>
      </c>
      <c r="J25" s="636" t="str">
        <f>IF('[2]Tasa de Falla'!IN25="","",'[2]Tasa de Falla'!IN25)</f>
        <v/>
      </c>
      <c r="K25" s="636" t="str">
        <f>IF('[2]Tasa de Falla'!IO25="","",'[2]Tasa de Falla'!IO25)</f>
        <v/>
      </c>
      <c r="L25" s="636" t="str">
        <f>IF('[2]Tasa de Falla'!IP25="","",'[2]Tasa de Falla'!IP25)</f>
        <v/>
      </c>
      <c r="M25" s="636" t="str">
        <f>IF('[2]Tasa de Falla'!IQ25="","",'[2]Tasa de Falla'!IQ25)</f>
        <v/>
      </c>
      <c r="N25" s="636" t="str">
        <f>IF('[2]Tasa de Falla'!IR25="","",'[2]Tasa de Falla'!IR25)</f>
        <v/>
      </c>
      <c r="O25" s="636" t="str">
        <f>IF('[2]Tasa de Falla'!IS25="","",'[2]Tasa de Falla'!IS25)</f>
        <v/>
      </c>
      <c r="P25" s="636" t="str">
        <f>IF('[2]Tasa de Falla'!IT25="","",'[2]Tasa de Falla'!IT25)</f>
        <v/>
      </c>
      <c r="Q25" s="636" t="str">
        <f>IF('[2]Tasa de Falla'!IU25="","",'[2]Tasa de Falla'!IU25)</f>
        <v/>
      </c>
      <c r="R25" s="636" t="str">
        <f>IF('[2]Tasa de Falla'!IV25="","",'[2]Tasa de Falla'!IV25)</f>
        <v/>
      </c>
      <c r="S25" s="633"/>
      <c r="T25" s="628"/>
    </row>
    <row r="26" spans="2:20" s="629" customFormat="1" ht="24.95" customHeight="1">
      <c r="B26" s="630"/>
      <c r="C26" s="635">
        <f>+'[2]Tasa de Falla'!C26</f>
        <v>10</v>
      </c>
      <c r="D26" s="663" t="str">
        <f>+'[2]Tasa de Falla'!D26</f>
        <v>CAPIZ - PEDRO VARGAS</v>
      </c>
      <c r="E26" s="663">
        <f>+'[2]Tasa de Falla'!E26</f>
        <v>132</v>
      </c>
      <c r="F26" s="664">
        <f>+'[2]Tasa de Falla'!F26</f>
        <v>122.1</v>
      </c>
      <c r="G26" s="636" t="str">
        <f>IF('[2]Tasa de Falla'!IK26="","",'[2]Tasa de Falla'!IK26)</f>
        <v/>
      </c>
      <c r="H26" s="636" t="str">
        <f>IF('[2]Tasa de Falla'!IL26="","",'[2]Tasa de Falla'!IL26)</f>
        <v/>
      </c>
      <c r="I26" s="636" t="str">
        <f>IF('[2]Tasa de Falla'!IM26="","",'[2]Tasa de Falla'!IM26)</f>
        <v/>
      </c>
      <c r="J26" s="636" t="str">
        <f>IF('[2]Tasa de Falla'!IN26="","",'[2]Tasa de Falla'!IN26)</f>
        <v/>
      </c>
      <c r="K26" s="636" t="str">
        <f>IF('[2]Tasa de Falla'!IO26="","",'[2]Tasa de Falla'!IO26)</f>
        <v/>
      </c>
      <c r="L26" s="636" t="str">
        <f>IF('[2]Tasa de Falla'!IP26="","",'[2]Tasa de Falla'!IP26)</f>
        <v/>
      </c>
      <c r="M26" s="636" t="str">
        <f>IF('[2]Tasa de Falla'!IQ26="","",'[2]Tasa de Falla'!IQ26)</f>
        <v/>
      </c>
      <c r="N26" s="636" t="str">
        <f>IF('[2]Tasa de Falla'!IR26="","",'[2]Tasa de Falla'!IR26)</f>
        <v/>
      </c>
      <c r="O26" s="636" t="str">
        <f>IF('[2]Tasa de Falla'!IS26="","",'[2]Tasa de Falla'!IS26)</f>
        <v/>
      </c>
      <c r="P26" s="636" t="str">
        <f>IF('[2]Tasa de Falla'!IT26="","",'[2]Tasa de Falla'!IT26)</f>
        <v/>
      </c>
      <c r="Q26" s="636" t="str">
        <f>IF('[2]Tasa de Falla'!IU26="","",'[2]Tasa de Falla'!IU26)</f>
        <v/>
      </c>
      <c r="R26" s="636" t="str">
        <f>IF('[2]Tasa de Falla'!IV26="","",'[2]Tasa de Falla'!IV26)</f>
        <v/>
      </c>
      <c r="S26" s="633"/>
      <c r="T26" s="628"/>
    </row>
    <row r="27" spans="2:20" s="629" customFormat="1" ht="24.95" customHeight="1">
      <c r="B27" s="630"/>
      <c r="C27" s="635">
        <f>+'[2]Tasa de Falla'!C27</f>
        <v>11</v>
      </c>
      <c r="D27" s="663" t="str">
        <f>+'[2]Tasa de Falla'!D27</f>
        <v>SAN RAFAEL - PEDRO VARGAS</v>
      </c>
      <c r="E27" s="663">
        <f>+'[2]Tasa de Falla'!E27</f>
        <v>132</v>
      </c>
      <c r="F27" s="664">
        <f>+'[2]Tasa de Falla'!F27</f>
        <v>15.6</v>
      </c>
      <c r="G27" s="636" t="str">
        <f>IF('[2]Tasa de Falla'!IK27="","",'[2]Tasa de Falla'!IK27)</f>
        <v/>
      </c>
      <c r="H27" s="636" t="str">
        <f>IF('[2]Tasa de Falla'!IL27="","",'[2]Tasa de Falla'!IL27)</f>
        <v/>
      </c>
      <c r="I27" s="636" t="str">
        <f>IF('[2]Tasa de Falla'!IM27="","",'[2]Tasa de Falla'!IM27)</f>
        <v/>
      </c>
      <c r="J27" s="636" t="str">
        <f>IF('[2]Tasa de Falla'!IN27="","",'[2]Tasa de Falla'!IN27)</f>
        <v/>
      </c>
      <c r="K27" s="636" t="str">
        <f>IF('[2]Tasa de Falla'!IO27="","",'[2]Tasa de Falla'!IO27)</f>
        <v/>
      </c>
      <c r="L27" s="636">
        <f>IF('[2]Tasa de Falla'!IP27="","",'[2]Tasa de Falla'!IP27)</f>
        <v>1</v>
      </c>
      <c r="M27" s="636" t="str">
        <f>IF('[2]Tasa de Falla'!IQ27="","",'[2]Tasa de Falla'!IQ27)</f>
        <v/>
      </c>
      <c r="N27" s="636" t="str">
        <f>IF('[2]Tasa de Falla'!IR27="","",'[2]Tasa de Falla'!IR27)</f>
        <v/>
      </c>
      <c r="O27" s="636" t="str">
        <f>IF('[2]Tasa de Falla'!IS27="","",'[2]Tasa de Falla'!IS27)</f>
        <v/>
      </c>
      <c r="P27" s="636" t="str">
        <f>IF('[2]Tasa de Falla'!IT27="","",'[2]Tasa de Falla'!IT27)</f>
        <v/>
      </c>
      <c r="Q27" s="636" t="str">
        <f>IF('[2]Tasa de Falla'!IU27="","",'[2]Tasa de Falla'!IU27)</f>
        <v/>
      </c>
      <c r="R27" s="636" t="str">
        <f>IF('[2]Tasa de Falla'!IV27="","",'[2]Tasa de Falla'!IV27)</f>
        <v/>
      </c>
      <c r="S27" s="633"/>
      <c r="T27" s="628"/>
    </row>
    <row r="28" spans="2:20" s="629" customFormat="1" ht="24.95" customHeight="1">
      <c r="B28" s="630"/>
      <c r="C28" s="635">
        <f>+'[2]Tasa de Falla'!C28</f>
        <v>12</v>
      </c>
      <c r="D28" s="663" t="str">
        <f>+'[2]Tasa de Falla'!D28</f>
        <v>GRAN MENDOZA - MONTE CASEROS 1</v>
      </c>
      <c r="E28" s="663">
        <f>+'[2]Tasa de Falla'!E28</f>
        <v>132</v>
      </c>
      <c r="F28" s="664">
        <f>+'[2]Tasa de Falla'!F28</f>
        <v>19.1</v>
      </c>
      <c r="G28" s="636" t="str">
        <f>IF('[2]Tasa de Falla'!IK28="","",'[2]Tasa de Falla'!IK28)</f>
        <v/>
      </c>
      <c r="H28" s="636" t="str">
        <f>IF('[2]Tasa de Falla'!IL28="","",'[2]Tasa de Falla'!IL28)</f>
        <v/>
      </c>
      <c r="I28" s="636" t="str">
        <f>IF('[2]Tasa de Falla'!IM28="","",'[2]Tasa de Falla'!IM28)</f>
        <v/>
      </c>
      <c r="J28" s="636" t="str">
        <f>IF('[2]Tasa de Falla'!IN28="","",'[2]Tasa de Falla'!IN28)</f>
        <v/>
      </c>
      <c r="K28" s="636" t="str">
        <f>IF('[2]Tasa de Falla'!IO28="","",'[2]Tasa de Falla'!IO28)</f>
        <v/>
      </c>
      <c r="L28" s="636" t="str">
        <f>IF('[2]Tasa de Falla'!IP28="","",'[2]Tasa de Falla'!IP28)</f>
        <v/>
      </c>
      <c r="M28" s="636" t="str">
        <f>IF('[2]Tasa de Falla'!IQ28="","",'[2]Tasa de Falla'!IQ28)</f>
        <v/>
      </c>
      <c r="N28" s="636" t="str">
        <f>IF('[2]Tasa de Falla'!IR28="","",'[2]Tasa de Falla'!IR28)</f>
        <v/>
      </c>
      <c r="O28" s="636" t="str">
        <f>IF('[2]Tasa de Falla'!IS28="","",'[2]Tasa de Falla'!IS28)</f>
        <v/>
      </c>
      <c r="P28" s="636" t="str">
        <f>IF('[2]Tasa de Falla'!IT28="","",'[2]Tasa de Falla'!IT28)</f>
        <v/>
      </c>
      <c r="Q28" s="636" t="str">
        <f>IF('[2]Tasa de Falla'!IU28="","",'[2]Tasa de Falla'!IU28)</f>
        <v/>
      </c>
      <c r="R28" s="636" t="str">
        <f>IF('[2]Tasa de Falla'!IV28="","",'[2]Tasa de Falla'!IV28)</f>
        <v/>
      </c>
      <c r="S28" s="633"/>
      <c r="T28" s="628"/>
    </row>
    <row r="29" spans="2:20" s="629" customFormat="1" ht="24.95" customHeight="1">
      <c r="B29" s="630"/>
      <c r="C29" s="635">
        <f>+'[2]Tasa de Falla'!C29</f>
        <v>13</v>
      </c>
      <c r="D29" s="663" t="str">
        <f>+'[2]Tasa de Falla'!D29</f>
        <v>GRAN MENDOZA - MONTE CASEROS 2</v>
      </c>
      <c r="E29" s="663">
        <f>+'[2]Tasa de Falla'!E29</f>
        <v>132</v>
      </c>
      <c r="F29" s="664">
        <f>+'[2]Tasa de Falla'!F29</f>
        <v>19.1</v>
      </c>
      <c r="G29" s="636" t="str">
        <f>IF('[2]Tasa de Falla'!IK29="","",'[2]Tasa de Falla'!IK29)</f>
        <v/>
      </c>
      <c r="H29" s="636" t="str">
        <f>IF('[2]Tasa de Falla'!IL29="","",'[2]Tasa de Falla'!IL29)</f>
        <v/>
      </c>
      <c r="I29" s="636" t="str">
        <f>IF('[2]Tasa de Falla'!IM29="","",'[2]Tasa de Falla'!IM29)</f>
        <v/>
      </c>
      <c r="J29" s="636" t="str">
        <f>IF('[2]Tasa de Falla'!IN29="","",'[2]Tasa de Falla'!IN29)</f>
        <v/>
      </c>
      <c r="K29" s="636" t="str">
        <f>IF('[2]Tasa de Falla'!IO29="","",'[2]Tasa de Falla'!IO29)</f>
        <v/>
      </c>
      <c r="L29" s="636" t="str">
        <f>IF('[2]Tasa de Falla'!IP29="","",'[2]Tasa de Falla'!IP29)</f>
        <v/>
      </c>
      <c r="M29" s="636" t="str">
        <f>IF('[2]Tasa de Falla'!IQ29="","",'[2]Tasa de Falla'!IQ29)</f>
        <v/>
      </c>
      <c r="N29" s="636" t="str">
        <f>IF('[2]Tasa de Falla'!IR29="","",'[2]Tasa de Falla'!IR29)</f>
        <v/>
      </c>
      <c r="O29" s="636" t="str">
        <f>IF('[2]Tasa de Falla'!IS29="","",'[2]Tasa de Falla'!IS29)</f>
        <v/>
      </c>
      <c r="P29" s="636" t="str">
        <f>IF('[2]Tasa de Falla'!IT29="","",'[2]Tasa de Falla'!IT29)</f>
        <v/>
      </c>
      <c r="Q29" s="636" t="str">
        <f>IF('[2]Tasa de Falla'!IU29="","",'[2]Tasa de Falla'!IU29)</f>
        <v/>
      </c>
      <c r="R29" s="636" t="str">
        <f>IF('[2]Tasa de Falla'!IV29="","",'[2]Tasa de Falla'!IV29)</f>
        <v/>
      </c>
      <c r="S29" s="633"/>
      <c r="T29" s="628"/>
    </row>
    <row r="30" spans="2:20" s="629" customFormat="1" ht="24.95" customHeight="1">
      <c r="B30" s="630"/>
      <c r="C30" s="635">
        <f>+'[2]Tasa de Falla'!C30</f>
        <v>14</v>
      </c>
      <c r="D30" s="663" t="str">
        <f>+'[2]Tasa de Falla'!D30</f>
        <v>CRUZ DE PIEDRA - GRAN MENDOZA 1</v>
      </c>
      <c r="E30" s="663">
        <f>+'[2]Tasa de Falla'!E30</f>
        <v>132</v>
      </c>
      <c r="F30" s="664">
        <f>+'[2]Tasa de Falla'!F30</f>
        <v>22</v>
      </c>
      <c r="G30" s="636" t="str">
        <f>IF('[2]Tasa de Falla'!IK30="","",'[2]Tasa de Falla'!IK30)</f>
        <v/>
      </c>
      <c r="H30" s="636" t="str">
        <f>IF('[2]Tasa de Falla'!IL30="","",'[2]Tasa de Falla'!IL30)</f>
        <v/>
      </c>
      <c r="I30" s="636" t="str">
        <f>IF('[2]Tasa de Falla'!IM30="","",'[2]Tasa de Falla'!IM30)</f>
        <v/>
      </c>
      <c r="J30" s="636" t="str">
        <f>IF('[2]Tasa de Falla'!IN30="","",'[2]Tasa de Falla'!IN30)</f>
        <v/>
      </c>
      <c r="K30" s="636" t="str">
        <f>IF('[2]Tasa de Falla'!IO30="","",'[2]Tasa de Falla'!IO30)</f>
        <v/>
      </c>
      <c r="L30" s="636" t="str">
        <f>IF('[2]Tasa de Falla'!IP30="","",'[2]Tasa de Falla'!IP30)</f>
        <v/>
      </c>
      <c r="M30" s="636" t="str">
        <f>IF('[2]Tasa de Falla'!IQ30="","",'[2]Tasa de Falla'!IQ30)</f>
        <v/>
      </c>
      <c r="N30" s="636">
        <f>IF('[2]Tasa de Falla'!IR30="","",'[2]Tasa de Falla'!IR30)</f>
        <v>1</v>
      </c>
      <c r="O30" s="636" t="str">
        <f>IF('[2]Tasa de Falla'!IS30="","",'[2]Tasa de Falla'!IS30)</f>
        <v/>
      </c>
      <c r="P30" s="636" t="str">
        <f>IF('[2]Tasa de Falla'!IT30="","",'[2]Tasa de Falla'!IT30)</f>
        <v/>
      </c>
      <c r="Q30" s="636" t="str">
        <f>IF('[2]Tasa de Falla'!IU30="","",'[2]Tasa de Falla'!IU30)</f>
        <v/>
      </c>
      <c r="R30" s="636" t="str">
        <f>IF('[2]Tasa de Falla'!IV30="","",'[2]Tasa de Falla'!IV30)</f>
        <v/>
      </c>
      <c r="S30" s="633"/>
      <c r="T30" s="628"/>
    </row>
    <row r="31" spans="2:20" s="629" customFormat="1" ht="24.95" customHeight="1">
      <c r="B31" s="630"/>
      <c r="C31" s="635">
        <f>+'[2]Tasa de Falla'!C31</f>
        <v>15</v>
      </c>
      <c r="D31" s="663" t="str">
        <f>+'[2]Tasa de Falla'!D31</f>
        <v>CRUZ DE PIEDRA - GRAN MENDOZA 2</v>
      </c>
      <c r="E31" s="663">
        <f>+'[2]Tasa de Falla'!E31</f>
        <v>132</v>
      </c>
      <c r="F31" s="664">
        <f>+'[2]Tasa de Falla'!F31</f>
        <v>22</v>
      </c>
      <c r="G31" s="636" t="str">
        <f>IF('[2]Tasa de Falla'!IK31="","",'[2]Tasa de Falla'!IK31)</f>
        <v/>
      </c>
      <c r="H31" s="636" t="str">
        <f>IF('[2]Tasa de Falla'!IL31="","",'[2]Tasa de Falla'!IL31)</f>
        <v/>
      </c>
      <c r="I31" s="636" t="str">
        <f>IF('[2]Tasa de Falla'!IM31="","",'[2]Tasa de Falla'!IM31)</f>
        <v/>
      </c>
      <c r="J31" s="636" t="str">
        <f>IF('[2]Tasa de Falla'!IN31="","",'[2]Tasa de Falla'!IN31)</f>
        <v/>
      </c>
      <c r="K31" s="636" t="str">
        <f>IF('[2]Tasa de Falla'!IO31="","",'[2]Tasa de Falla'!IO31)</f>
        <v/>
      </c>
      <c r="L31" s="636" t="str">
        <f>IF('[2]Tasa de Falla'!IP31="","",'[2]Tasa de Falla'!IP31)</f>
        <v/>
      </c>
      <c r="M31" s="636" t="str">
        <f>IF('[2]Tasa de Falla'!IQ31="","",'[2]Tasa de Falla'!IQ31)</f>
        <v/>
      </c>
      <c r="N31" s="636" t="str">
        <f>IF('[2]Tasa de Falla'!IR31="","",'[2]Tasa de Falla'!IR31)</f>
        <v/>
      </c>
      <c r="O31" s="636">
        <f>IF('[2]Tasa de Falla'!IS31="","",'[2]Tasa de Falla'!IS31)</f>
        <v>1</v>
      </c>
      <c r="P31" s="636" t="str">
        <f>IF('[2]Tasa de Falla'!IT31="","",'[2]Tasa de Falla'!IT31)</f>
        <v/>
      </c>
      <c r="Q31" s="636" t="str">
        <f>IF('[2]Tasa de Falla'!IU31="","",'[2]Tasa de Falla'!IU31)</f>
        <v/>
      </c>
      <c r="R31" s="636" t="str">
        <f>IF('[2]Tasa de Falla'!IV31="","",'[2]Tasa de Falla'!IV31)</f>
        <v/>
      </c>
      <c r="S31" s="633"/>
      <c r="T31" s="628"/>
    </row>
    <row r="32" spans="2:20" s="629" customFormat="1" ht="24.95" customHeight="1">
      <c r="B32" s="630"/>
      <c r="C32" s="635">
        <f>+'[2]Tasa de Falla'!C32</f>
        <v>16</v>
      </c>
      <c r="D32" s="663" t="str">
        <f>+'[2]Tasa de Falla'!D32</f>
        <v>CRUZ DE PIEDRA - SAN JUAN</v>
      </c>
      <c r="E32" s="663">
        <f>+'[2]Tasa de Falla'!E32</f>
        <v>132</v>
      </c>
      <c r="F32" s="664">
        <f>+'[2]Tasa de Falla'!F32</f>
        <v>180.18</v>
      </c>
      <c r="G32" s="636" t="str">
        <f>IF('[2]Tasa de Falla'!IK32="","",'[2]Tasa de Falla'!IK32)</f>
        <v>XXXX</v>
      </c>
      <c r="H32" s="636" t="str">
        <f>IF('[2]Tasa de Falla'!IL32="","",'[2]Tasa de Falla'!IL32)</f>
        <v>XXXX</v>
      </c>
      <c r="I32" s="636" t="str">
        <f>IF('[2]Tasa de Falla'!IM32="","",'[2]Tasa de Falla'!IM32)</f>
        <v>XXXX</v>
      </c>
      <c r="J32" s="636" t="str">
        <f>IF('[2]Tasa de Falla'!IN32="","",'[2]Tasa de Falla'!IN32)</f>
        <v>XXXX</v>
      </c>
      <c r="K32" s="636" t="str">
        <f>IF('[2]Tasa de Falla'!IO32="","",'[2]Tasa de Falla'!IO32)</f>
        <v>XXXX</v>
      </c>
      <c r="L32" s="636" t="str">
        <f>IF('[2]Tasa de Falla'!IP32="","",'[2]Tasa de Falla'!IP32)</f>
        <v>XXXX</v>
      </c>
      <c r="M32" s="636" t="str">
        <f>IF('[2]Tasa de Falla'!IQ32="","",'[2]Tasa de Falla'!IQ32)</f>
        <v>XXXX</v>
      </c>
      <c r="N32" s="636" t="str">
        <f>IF('[2]Tasa de Falla'!IR32="","",'[2]Tasa de Falla'!IR32)</f>
        <v>XXXX</v>
      </c>
      <c r="O32" s="636" t="str">
        <f>IF('[2]Tasa de Falla'!IS32="","",'[2]Tasa de Falla'!IS32)</f>
        <v>XXXX</v>
      </c>
      <c r="P32" s="636" t="str">
        <f>IF('[2]Tasa de Falla'!IT32="","",'[2]Tasa de Falla'!IT32)</f>
        <v>XXXX</v>
      </c>
      <c r="Q32" s="636" t="str">
        <f>IF('[2]Tasa de Falla'!IU32="","",'[2]Tasa de Falla'!IU32)</f>
        <v>XXXX</v>
      </c>
      <c r="R32" s="636" t="str">
        <f>IF('[2]Tasa de Falla'!IV32="","",'[2]Tasa de Falla'!IV32)</f>
        <v>XXXX</v>
      </c>
      <c r="S32" s="633"/>
      <c r="T32" s="628"/>
    </row>
    <row r="33" spans="2:20" s="629" customFormat="1" ht="24.95" customHeight="1">
      <c r="B33" s="630"/>
      <c r="C33" s="635">
        <f>+'[2]Tasa de Falla'!C33</f>
        <v>17</v>
      </c>
      <c r="D33" s="663" t="str">
        <f>+'[2]Tasa de Falla'!D33</f>
        <v>CRUZ DE PIEDRA - LUJAN DE CUYO 1</v>
      </c>
      <c r="E33" s="663">
        <f>+'[2]Tasa de Falla'!E33</f>
        <v>132</v>
      </c>
      <c r="F33" s="664">
        <f>+'[2]Tasa de Falla'!F33</f>
        <v>18.1</v>
      </c>
      <c r="G33" s="636" t="str">
        <f>IF('[2]Tasa de Falla'!IK33="","",'[2]Tasa de Falla'!IK33)</f>
        <v/>
      </c>
      <c r="H33" s="636" t="str">
        <f>IF('[2]Tasa de Falla'!IL33="","",'[2]Tasa de Falla'!IL33)</f>
        <v/>
      </c>
      <c r="I33" s="636" t="str">
        <f>IF('[2]Tasa de Falla'!IM33="","",'[2]Tasa de Falla'!IM33)</f>
        <v/>
      </c>
      <c r="J33" s="636" t="str">
        <f>IF('[2]Tasa de Falla'!IN33="","",'[2]Tasa de Falla'!IN33)</f>
        <v/>
      </c>
      <c r="K33" s="636" t="str">
        <f>IF('[2]Tasa de Falla'!IO33="","",'[2]Tasa de Falla'!IO33)</f>
        <v/>
      </c>
      <c r="L33" s="636" t="str">
        <f>IF('[2]Tasa de Falla'!IP33="","",'[2]Tasa de Falla'!IP33)</f>
        <v/>
      </c>
      <c r="M33" s="636" t="str">
        <f>IF('[2]Tasa de Falla'!IQ33="","",'[2]Tasa de Falla'!IQ33)</f>
        <v/>
      </c>
      <c r="N33" s="636" t="str">
        <f>IF('[2]Tasa de Falla'!IR33="","",'[2]Tasa de Falla'!IR33)</f>
        <v/>
      </c>
      <c r="O33" s="636" t="str">
        <f>IF('[2]Tasa de Falla'!IS33="","",'[2]Tasa de Falla'!IS33)</f>
        <v/>
      </c>
      <c r="P33" s="636" t="str">
        <f>IF('[2]Tasa de Falla'!IT33="","",'[2]Tasa de Falla'!IT33)</f>
        <v/>
      </c>
      <c r="Q33" s="636" t="str">
        <f>IF('[2]Tasa de Falla'!IU33="","",'[2]Tasa de Falla'!IU33)</f>
        <v/>
      </c>
      <c r="R33" s="636" t="str">
        <f>IF('[2]Tasa de Falla'!IV33="","",'[2]Tasa de Falla'!IV33)</f>
        <v/>
      </c>
      <c r="S33" s="633"/>
      <c r="T33" s="628"/>
    </row>
    <row r="34" spans="2:20" s="629" customFormat="1" ht="24.75" customHeight="1">
      <c r="B34" s="630"/>
      <c r="C34" s="635">
        <f>+'[2]Tasa de Falla'!C34</f>
        <v>18</v>
      </c>
      <c r="D34" s="663" t="str">
        <f>+'[2]Tasa de Falla'!D34</f>
        <v>CRUZ DE PIEDRA - LUJAN DE CUYO 2</v>
      </c>
      <c r="E34" s="663">
        <f>+'[2]Tasa de Falla'!E34</f>
        <v>132</v>
      </c>
      <c r="F34" s="664">
        <f>+'[2]Tasa de Falla'!F34</f>
        <v>18.1</v>
      </c>
      <c r="G34" s="636" t="str">
        <f>IF('[2]Tasa de Falla'!IK34="","",'[2]Tasa de Falla'!IK34)</f>
        <v/>
      </c>
      <c r="H34" s="636" t="str">
        <f>IF('[2]Tasa de Falla'!IL34="","",'[2]Tasa de Falla'!IL34)</f>
        <v/>
      </c>
      <c r="I34" s="636" t="str">
        <f>IF('[2]Tasa de Falla'!IM34="","",'[2]Tasa de Falla'!IM34)</f>
        <v/>
      </c>
      <c r="J34" s="636" t="str">
        <f>IF('[2]Tasa de Falla'!IN34="","",'[2]Tasa de Falla'!IN34)</f>
        <v/>
      </c>
      <c r="K34" s="636" t="str">
        <f>IF('[2]Tasa de Falla'!IO34="","",'[2]Tasa de Falla'!IO34)</f>
        <v/>
      </c>
      <c r="L34" s="636" t="str">
        <f>IF('[2]Tasa de Falla'!IP34="","",'[2]Tasa de Falla'!IP34)</f>
        <v/>
      </c>
      <c r="M34" s="636" t="str">
        <f>IF('[2]Tasa de Falla'!IQ34="","",'[2]Tasa de Falla'!IQ34)</f>
        <v/>
      </c>
      <c r="N34" s="636" t="str">
        <f>IF('[2]Tasa de Falla'!IR34="","",'[2]Tasa de Falla'!IR34)</f>
        <v/>
      </c>
      <c r="O34" s="636" t="str">
        <f>IF('[2]Tasa de Falla'!IS34="","",'[2]Tasa de Falla'!IS34)</f>
        <v/>
      </c>
      <c r="P34" s="636" t="str">
        <f>IF('[2]Tasa de Falla'!IT34="","",'[2]Tasa de Falla'!IT34)</f>
        <v/>
      </c>
      <c r="Q34" s="636" t="str">
        <f>IF('[2]Tasa de Falla'!IU34="","",'[2]Tasa de Falla'!IU34)</f>
        <v/>
      </c>
      <c r="R34" s="636" t="str">
        <f>IF('[2]Tasa de Falla'!IV34="","",'[2]Tasa de Falla'!IV34)</f>
        <v/>
      </c>
      <c r="S34" s="633"/>
      <c r="T34" s="628"/>
    </row>
    <row r="35" spans="2:20" s="629" customFormat="1" ht="24.75" customHeight="1">
      <c r="B35" s="630"/>
      <c r="C35" s="635">
        <f>+'[2]Tasa de Falla'!C35</f>
        <v>19</v>
      </c>
      <c r="D35" s="663" t="str">
        <f>+'[2]Tasa de Falla'!D35</f>
        <v>C.H. NIHUIL I - PEDRO VARGAS</v>
      </c>
      <c r="E35" s="663">
        <f>+'[2]Tasa de Falla'!E35</f>
        <v>132</v>
      </c>
      <c r="F35" s="664">
        <f>+'[2]Tasa de Falla'!F35</f>
        <v>46.5</v>
      </c>
      <c r="G35" s="636" t="str">
        <f>IF('[2]Tasa de Falla'!IK35="","",'[2]Tasa de Falla'!IK35)</f>
        <v/>
      </c>
      <c r="H35" s="636" t="str">
        <f>IF('[2]Tasa de Falla'!IL35="","",'[2]Tasa de Falla'!IL35)</f>
        <v/>
      </c>
      <c r="I35" s="636" t="str">
        <f>IF('[2]Tasa de Falla'!IM35="","",'[2]Tasa de Falla'!IM35)</f>
        <v/>
      </c>
      <c r="J35" s="636" t="str">
        <f>IF('[2]Tasa de Falla'!IN35="","",'[2]Tasa de Falla'!IN35)</f>
        <v/>
      </c>
      <c r="K35" s="636" t="str">
        <f>IF('[2]Tasa de Falla'!IO35="","",'[2]Tasa de Falla'!IO35)</f>
        <v/>
      </c>
      <c r="L35" s="636" t="str">
        <f>IF('[2]Tasa de Falla'!IP35="","",'[2]Tasa de Falla'!IP35)</f>
        <v/>
      </c>
      <c r="M35" s="636" t="str">
        <f>IF('[2]Tasa de Falla'!IQ35="","",'[2]Tasa de Falla'!IQ35)</f>
        <v/>
      </c>
      <c r="N35" s="636" t="str">
        <f>IF('[2]Tasa de Falla'!IR35="","",'[2]Tasa de Falla'!IR35)</f>
        <v/>
      </c>
      <c r="O35" s="636" t="str">
        <f>IF('[2]Tasa de Falla'!IS35="","",'[2]Tasa de Falla'!IS35)</f>
        <v/>
      </c>
      <c r="P35" s="636" t="str">
        <f>IF('[2]Tasa de Falla'!IT35="","",'[2]Tasa de Falla'!IT35)</f>
        <v/>
      </c>
      <c r="Q35" s="636" t="str">
        <f>IF('[2]Tasa de Falla'!IU35="","",'[2]Tasa de Falla'!IU35)</f>
        <v/>
      </c>
      <c r="R35" s="636" t="str">
        <f>IF('[2]Tasa de Falla'!IV35="","",'[2]Tasa de Falla'!IV35)</f>
        <v/>
      </c>
      <c r="S35" s="633"/>
      <c r="T35" s="628"/>
    </row>
    <row r="36" spans="2:20" s="629" customFormat="1" ht="24.75" customHeight="1">
      <c r="B36" s="630"/>
      <c r="C36" s="635">
        <f>+'[2]Tasa de Falla'!C36</f>
        <v>20</v>
      </c>
      <c r="D36" s="663" t="str">
        <f>+'[2]Tasa de Falla'!D36</f>
        <v>N AN JUAN - SAN JUAN</v>
      </c>
      <c r="E36" s="663">
        <f>+'[2]Tasa de Falla'!E36</f>
        <v>220</v>
      </c>
      <c r="F36" s="664">
        <f>+'[2]Tasa de Falla'!F36</f>
        <v>4.5</v>
      </c>
      <c r="G36" s="636" t="str">
        <f>IF('[2]Tasa de Falla'!IK36="","",'[2]Tasa de Falla'!IK36)</f>
        <v/>
      </c>
      <c r="H36" s="636" t="str">
        <f>IF('[2]Tasa de Falla'!IL36="","",'[2]Tasa de Falla'!IL36)</f>
        <v/>
      </c>
      <c r="I36" s="636" t="str">
        <f>IF('[2]Tasa de Falla'!IM36="","",'[2]Tasa de Falla'!IM36)</f>
        <v/>
      </c>
      <c r="J36" s="636" t="str">
        <f>IF('[2]Tasa de Falla'!IN36="","",'[2]Tasa de Falla'!IN36)</f>
        <v/>
      </c>
      <c r="K36" s="636" t="str">
        <f>IF('[2]Tasa de Falla'!IO36="","",'[2]Tasa de Falla'!IO36)</f>
        <v/>
      </c>
      <c r="L36" s="636" t="str">
        <f>IF('[2]Tasa de Falla'!IP36="","",'[2]Tasa de Falla'!IP36)</f>
        <v/>
      </c>
      <c r="M36" s="636" t="str">
        <f>IF('[2]Tasa de Falla'!IQ36="","",'[2]Tasa de Falla'!IQ36)</f>
        <v/>
      </c>
      <c r="N36" s="636" t="str">
        <f>IF('[2]Tasa de Falla'!IR36="","",'[2]Tasa de Falla'!IR36)</f>
        <v/>
      </c>
      <c r="O36" s="636" t="str">
        <f>IF('[2]Tasa de Falla'!IS36="","",'[2]Tasa de Falla'!IS36)</f>
        <v/>
      </c>
      <c r="P36" s="636" t="str">
        <f>IF('[2]Tasa de Falla'!IT36="","",'[2]Tasa de Falla'!IT36)</f>
        <v/>
      </c>
      <c r="Q36" s="636" t="str">
        <f>IF('[2]Tasa de Falla'!IU36="","",'[2]Tasa de Falla'!IU36)</f>
        <v/>
      </c>
      <c r="R36" s="636" t="str">
        <f>IF('[2]Tasa de Falla'!IV36="","",'[2]Tasa de Falla'!IV36)</f>
        <v/>
      </c>
      <c r="S36" s="633"/>
      <c r="T36" s="628"/>
    </row>
    <row r="37" spans="2:20" s="629" customFormat="1" ht="24.75" customHeight="1">
      <c r="B37" s="630"/>
      <c r="C37" s="635">
        <f>+'[2]Tasa de Falla'!C37</f>
        <v>21</v>
      </c>
      <c r="D37" s="663" t="str">
        <f>+'[2]Tasa de Falla'!D37</f>
        <v>SAN JUAN - CAÑADA HONDA</v>
      </c>
      <c r="E37" s="663">
        <f>+'[2]Tasa de Falla'!E37</f>
        <v>132</v>
      </c>
      <c r="F37" s="664">
        <f>+'[2]Tasa de Falla'!F37</f>
        <v>54.4</v>
      </c>
      <c r="G37" s="636" t="str">
        <f>IF('[2]Tasa de Falla'!IK37="","",'[2]Tasa de Falla'!IK37)</f>
        <v/>
      </c>
      <c r="H37" s="636" t="str">
        <f>IF('[2]Tasa de Falla'!IL37="","",'[2]Tasa de Falla'!IL37)</f>
        <v/>
      </c>
      <c r="I37" s="636" t="str">
        <f>IF('[2]Tasa de Falla'!IM37="","",'[2]Tasa de Falla'!IM37)</f>
        <v/>
      </c>
      <c r="J37" s="636" t="str">
        <f>IF('[2]Tasa de Falla'!IN37="","",'[2]Tasa de Falla'!IN37)</f>
        <v/>
      </c>
      <c r="K37" s="636">
        <f>IF('[2]Tasa de Falla'!IO37="","",'[2]Tasa de Falla'!IO37)</f>
        <v>1</v>
      </c>
      <c r="L37" s="636" t="str">
        <f>IF('[2]Tasa de Falla'!IP37="","",'[2]Tasa de Falla'!IP37)</f>
        <v/>
      </c>
      <c r="M37" s="636" t="str">
        <f>IF('[2]Tasa de Falla'!IQ37="","",'[2]Tasa de Falla'!IQ37)</f>
        <v/>
      </c>
      <c r="N37" s="636" t="str">
        <f>IF('[2]Tasa de Falla'!IR37="","",'[2]Tasa de Falla'!IR37)</f>
        <v/>
      </c>
      <c r="O37" s="636" t="str">
        <f>IF('[2]Tasa de Falla'!IS37="","",'[2]Tasa de Falla'!IS37)</f>
        <v/>
      </c>
      <c r="P37" s="636" t="str">
        <f>IF('[2]Tasa de Falla'!IT37="","",'[2]Tasa de Falla'!IT37)</f>
        <v/>
      </c>
      <c r="Q37" s="636" t="str">
        <f>IF('[2]Tasa de Falla'!IU37="","",'[2]Tasa de Falla'!IU37)</f>
        <v/>
      </c>
      <c r="R37" s="636" t="str">
        <f>IF('[2]Tasa de Falla'!IV37="","",'[2]Tasa de Falla'!IV37)</f>
        <v/>
      </c>
      <c r="S37" s="633"/>
      <c r="T37" s="628"/>
    </row>
    <row r="38" spans="2:20" s="629" customFormat="1" ht="24.95" customHeight="1" thickBot="1">
      <c r="B38" s="630"/>
      <c r="C38" s="635">
        <f>+'[2]Tasa de Falla'!C38</f>
        <v>22</v>
      </c>
      <c r="D38" s="663" t="str">
        <f>+'[2]Tasa de Falla'!D38</f>
        <v>CACHEUTA - LUJAN DE CUYO</v>
      </c>
      <c r="E38" s="663">
        <f>+'[2]Tasa de Falla'!E38</f>
        <v>132</v>
      </c>
      <c r="F38" s="664">
        <f>+'[2]Tasa de Falla'!F38</f>
        <v>14</v>
      </c>
      <c r="G38" s="636" t="str">
        <f>IF('[2]Tasa de Falla'!IK38="","",'[2]Tasa de Falla'!IK38)</f>
        <v/>
      </c>
      <c r="H38" s="636">
        <f>IF('[2]Tasa de Falla'!IL38="","",'[2]Tasa de Falla'!IL38)</f>
        <v>1</v>
      </c>
      <c r="I38" s="636" t="str">
        <f>IF('[2]Tasa de Falla'!IM38="","",'[2]Tasa de Falla'!IM38)</f>
        <v/>
      </c>
      <c r="J38" s="636" t="str">
        <f>IF('[2]Tasa de Falla'!IN38="","",'[2]Tasa de Falla'!IN38)</f>
        <v/>
      </c>
      <c r="K38" s="636" t="str">
        <f>IF('[2]Tasa de Falla'!IO38="","",'[2]Tasa de Falla'!IO38)</f>
        <v/>
      </c>
      <c r="L38" s="636" t="str">
        <f>IF('[2]Tasa de Falla'!IP38="","",'[2]Tasa de Falla'!IP38)</f>
        <v/>
      </c>
      <c r="M38" s="636" t="str">
        <f>IF('[2]Tasa de Falla'!IQ38="","",'[2]Tasa de Falla'!IQ38)</f>
        <v/>
      </c>
      <c r="N38" s="636" t="str">
        <f>IF('[2]Tasa de Falla'!IR38="","",'[2]Tasa de Falla'!IR38)</f>
        <v/>
      </c>
      <c r="O38" s="636" t="str">
        <f>IF('[2]Tasa de Falla'!IS38="","",'[2]Tasa de Falla'!IS38)</f>
        <v/>
      </c>
      <c r="P38" s="636" t="str">
        <f>IF('[2]Tasa de Falla'!IT38="","",'[2]Tasa de Falla'!IT38)</f>
        <v/>
      </c>
      <c r="Q38" s="636" t="str">
        <f>IF('[2]Tasa de Falla'!IU38="","",'[2]Tasa de Falla'!IU38)</f>
        <v/>
      </c>
      <c r="R38" s="636" t="str">
        <f>IF('[2]Tasa de Falla'!IV38="","",'[2]Tasa de Falla'!IV38)</f>
        <v/>
      </c>
      <c r="S38" s="633"/>
      <c r="T38" s="628"/>
    </row>
    <row r="39" spans="2:20" s="629" customFormat="1" ht="24.95" customHeight="1" thickBot="1" thickTop="1">
      <c r="B39" s="630"/>
      <c r="C39" s="637"/>
      <c r="D39" s="638"/>
      <c r="E39" s="639" t="s">
        <v>198</v>
      </c>
      <c r="F39" s="640">
        <f>ROUND(SUM($F$17:$F$38)-SUMIF($R17:$R38,"XXXX",$F$17:$F$38),2)</f>
        <v>1264</v>
      </c>
      <c r="G39" s="641"/>
      <c r="H39" s="642"/>
      <c r="I39" s="641"/>
      <c r="J39" s="642"/>
      <c r="K39" s="641"/>
      <c r="L39" s="642"/>
      <c r="M39" s="641"/>
      <c r="N39" s="642"/>
      <c r="O39" s="641"/>
      <c r="P39" s="642"/>
      <c r="Q39" s="641"/>
      <c r="R39" s="642"/>
      <c r="S39" s="633"/>
      <c r="T39" s="628"/>
    </row>
    <row r="40" spans="2:20" s="629" customFormat="1" ht="24.95" customHeight="1" thickBot="1" thickTop="1">
      <c r="B40" s="630"/>
      <c r="C40" s="643"/>
      <c r="D40" s="644"/>
      <c r="F40" s="645" t="s">
        <v>199</v>
      </c>
      <c r="G40" s="646">
        <f>SUM(G17:G38)</f>
        <v>0</v>
      </c>
      <c r="H40" s="646">
        <f>SUM(H17:H38)</f>
        <v>3</v>
      </c>
      <c r="I40" s="646">
        <f aca="true" t="shared" si="0" ref="I40:R40">SUM(I17:I38)</f>
        <v>0</v>
      </c>
      <c r="J40" s="646">
        <f t="shared" si="0"/>
        <v>0</v>
      </c>
      <c r="K40" s="646">
        <f t="shared" si="0"/>
        <v>1</v>
      </c>
      <c r="L40" s="646">
        <f t="shared" si="0"/>
        <v>1</v>
      </c>
      <c r="M40" s="646">
        <f t="shared" si="0"/>
        <v>0</v>
      </c>
      <c r="N40" s="646">
        <f t="shared" si="0"/>
        <v>2</v>
      </c>
      <c r="O40" s="646">
        <f t="shared" si="0"/>
        <v>3</v>
      </c>
      <c r="P40" s="646">
        <f t="shared" si="0"/>
        <v>0</v>
      </c>
      <c r="Q40" s="646">
        <f t="shared" si="0"/>
        <v>0</v>
      </c>
      <c r="R40" s="646">
        <f t="shared" si="0"/>
        <v>0</v>
      </c>
      <c r="S40" s="633"/>
      <c r="T40" s="628"/>
    </row>
    <row r="41" spans="2:20" s="629" customFormat="1" ht="24.95" customHeight="1" thickBot="1" thickTop="1">
      <c r="B41" s="630"/>
      <c r="C41" s="643"/>
      <c r="D41" s="643"/>
      <c r="E41" s="643"/>
      <c r="F41" s="647" t="s">
        <v>200</v>
      </c>
      <c r="G41" s="648">
        <f>'[2]Tasa de Falla'!IK42</f>
        <v>1.19</v>
      </c>
      <c r="H41" s="648">
        <f>'[2]Tasa de Falla'!IL42</f>
        <v>1.19</v>
      </c>
      <c r="I41" s="648">
        <f>'[2]Tasa de Falla'!IM42</f>
        <v>1.42</v>
      </c>
      <c r="J41" s="648">
        <f>'[2]Tasa de Falla'!IN42</f>
        <v>1.34</v>
      </c>
      <c r="K41" s="648">
        <f>'[2]Tasa de Falla'!IO42</f>
        <v>1.03</v>
      </c>
      <c r="L41" s="648">
        <f>'[2]Tasa de Falla'!IP42</f>
        <v>0.87</v>
      </c>
      <c r="M41" s="648">
        <f>'[2]Tasa de Falla'!IQ42</f>
        <v>0.95</v>
      </c>
      <c r="N41" s="648">
        <f>'[2]Tasa de Falla'!IR42</f>
        <v>0.95</v>
      </c>
      <c r="O41" s="648">
        <f>'[2]Tasa de Falla'!IS42</f>
        <v>1.03</v>
      </c>
      <c r="P41" s="648">
        <f>'[2]Tasa de Falla'!IT42</f>
        <v>1.27</v>
      </c>
      <c r="Q41" s="648">
        <f>'[2]Tasa de Falla'!IU42</f>
        <v>0.87</v>
      </c>
      <c r="R41" s="648">
        <f>'[2]Tasa de Falla'!IV42</f>
        <v>0.79</v>
      </c>
      <c r="S41" s="648">
        <f>'[2]Tasa de Falla'!IW42</f>
        <v>0.79</v>
      </c>
      <c r="T41" s="665" t="s">
        <v>202</v>
      </c>
    </row>
    <row r="42" spans="2:20" ht="18.75" customHeight="1" thickTop="1">
      <c r="B42" s="616"/>
      <c r="C42" s="643"/>
      <c r="D42" s="649"/>
      <c r="E42" s="650"/>
      <c r="F42" s="651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3"/>
    </row>
    <row r="43" spans="2:20" ht="15.75">
      <c r="B43" s="654"/>
      <c r="C43" s="666" t="s">
        <v>203</v>
      </c>
      <c r="D43" s="667" t="s">
        <v>204</v>
      </c>
      <c r="O43" s="655"/>
      <c r="P43" s="655"/>
      <c r="Q43" s="655"/>
      <c r="R43" s="620"/>
      <c r="S43" s="620"/>
      <c r="T43" s="621"/>
    </row>
    <row r="44" spans="2:20" ht="18.75" customHeight="1" thickBot="1">
      <c r="B44" s="656"/>
      <c r="C44" s="657"/>
      <c r="D44" s="658"/>
      <c r="E44" s="658"/>
      <c r="F44" s="659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1"/>
    </row>
    <row r="45" ht="13.5" thickTop="1">
      <c r="AA45" s="595">
        <f>ROUND(SUM(AA20:AA44),2)</f>
        <v>0</v>
      </c>
    </row>
    <row r="48" ht="12.75">
      <c r="F48" s="662"/>
    </row>
    <row r="49" ht="12.75">
      <c r="F49" s="662"/>
    </row>
  </sheetData>
  <printOptions/>
  <pageMargins left="0.23" right="0.1968503937007874" top="0.63" bottom="0.7874015748031497" header="0.5118110236220472" footer="0.25"/>
  <pageSetup fitToHeight="1" fitToWidth="1" horizontalDpi="600" verticalDpi="600" orientation="landscape" paperSize="9" scale="47" r:id="rId2"/>
  <headerFooter alignWithMargins="0">
    <oddFooter>&amp;L&amp;"Times New Roman,Normal"&amp;8&amp;Z&amp;F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21"/>
  <sheetViews>
    <sheetView zoomScale="85" zoomScaleNormal="85" workbookViewId="0" topLeftCell="A1">
      <selection activeCell="F14" sqref="F14"/>
    </sheetView>
  </sheetViews>
  <sheetFormatPr defaultColWidth="11.421875" defaultRowHeight="12.75"/>
  <cols>
    <col min="1" max="1" width="21.7109375" style="401" customWidth="1"/>
    <col min="2" max="2" width="9.28125" style="401" customWidth="1"/>
    <col min="3" max="3" width="11.8515625" style="401" bestFit="1" customWidth="1"/>
    <col min="4" max="4" width="9.57421875" style="401" bestFit="1" customWidth="1"/>
    <col min="5" max="5" width="14.8515625" style="401" bestFit="1" customWidth="1"/>
    <col min="6" max="6" width="64.00390625" style="401" bestFit="1" customWidth="1"/>
    <col min="7" max="16384" width="11.421875" style="401" customWidth="1"/>
  </cols>
  <sheetData>
    <row r="1" spans="1:4" ht="12.75">
      <c r="A1" s="400" t="s">
        <v>76</v>
      </c>
      <c r="B1" s="400" t="s">
        <v>76</v>
      </c>
      <c r="C1" s="400" t="s">
        <v>77</v>
      </c>
      <c r="D1" s="400" t="s">
        <v>78</v>
      </c>
    </row>
    <row r="2" spans="1:4" ht="12.75">
      <c r="A2" s="402" t="s">
        <v>60</v>
      </c>
      <c r="B2" s="403" t="s">
        <v>79</v>
      </c>
      <c r="C2" s="402">
        <v>31</v>
      </c>
      <c r="D2" s="402">
        <v>2006</v>
      </c>
    </row>
    <row r="3" spans="1:4" ht="12.75">
      <c r="A3" s="402" t="s">
        <v>61</v>
      </c>
      <c r="B3" s="403" t="s">
        <v>80</v>
      </c>
      <c r="C3" s="402">
        <f ca="1">IF(MOD(E14,4)=0,29,28)</f>
        <v>29</v>
      </c>
      <c r="D3" s="402">
        <f>+D2+1</f>
        <v>2007</v>
      </c>
    </row>
    <row r="4" spans="1:4" ht="12.75">
      <c r="A4" s="402" t="s">
        <v>62</v>
      </c>
      <c r="B4" s="403" t="s">
        <v>81</v>
      </c>
      <c r="C4" s="402">
        <v>31</v>
      </c>
      <c r="D4" s="402">
        <v>2008</v>
      </c>
    </row>
    <row r="5" spans="1:4" ht="12.75">
      <c r="A5" s="402" t="s">
        <v>63</v>
      </c>
      <c r="B5" s="403" t="s">
        <v>82</v>
      </c>
      <c r="C5" s="402">
        <v>30</v>
      </c>
      <c r="D5" s="402">
        <v>2009</v>
      </c>
    </row>
    <row r="6" spans="1:4" ht="12.75">
      <c r="A6" s="402" t="s">
        <v>64</v>
      </c>
      <c r="B6" s="403" t="s">
        <v>83</v>
      </c>
      <c r="C6" s="402">
        <v>31</v>
      </c>
      <c r="D6" s="402">
        <v>2010</v>
      </c>
    </row>
    <row r="7" spans="1:4" ht="12.75">
      <c r="A7" s="402" t="s">
        <v>65</v>
      </c>
      <c r="B7" s="403" t="s">
        <v>84</v>
      </c>
      <c r="C7" s="402">
        <v>30</v>
      </c>
      <c r="D7" s="402">
        <v>2011</v>
      </c>
    </row>
    <row r="8" spans="1:4" ht="12.75">
      <c r="A8" s="402" t="s">
        <v>66</v>
      </c>
      <c r="B8" s="403" t="s">
        <v>85</v>
      </c>
      <c r="C8" s="402">
        <v>31</v>
      </c>
      <c r="D8" s="402">
        <v>2012</v>
      </c>
    </row>
    <row r="9" spans="1:4" ht="12.75">
      <c r="A9" s="402" t="s">
        <v>67</v>
      </c>
      <c r="B9" s="403" t="s">
        <v>86</v>
      </c>
      <c r="C9" s="402">
        <v>31</v>
      </c>
      <c r="D9" s="402">
        <v>2013</v>
      </c>
    </row>
    <row r="10" spans="1:4" ht="12.75">
      <c r="A10" s="402" t="s">
        <v>68</v>
      </c>
      <c r="B10" s="403" t="s">
        <v>87</v>
      </c>
      <c r="C10" s="402">
        <v>30</v>
      </c>
      <c r="D10" s="402">
        <v>2014</v>
      </c>
    </row>
    <row r="11" spans="1:4" ht="12.75">
      <c r="A11" s="402" t="s">
        <v>69</v>
      </c>
      <c r="B11" s="403" t="s">
        <v>88</v>
      </c>
      <c r="C11" s="402">
        <v>31</v>
      </c>
      <c r="D11" s="402">
        <v>2015</v>
      </c>
    </row>
    <row r="12" spans="1:4" ht="12.75">
      <c r="A12" s="402" t="s">
        <v>70</v>
      </c>
      <c r="B12" s="403" t="s">
        <v>89</v>
      </c>
      <c r="C12" s="402">
        <v>30</v>
      </c>
      <c r="D12" s="402">
        <v>2016</v>
      </c>
    </row>
    <row r="13" spans="1:9" ht="12.75">
      <c r="A13" s="402" t="s">
        <v>71</v>
      </c>
      <c r="B13" s="403" t="s">
        <v>90</v>
      </c>
      <c r="C13" s="402">
        <v>31</v>
      </c>
      <c r="D13" s="402"/>
      <c r="I13" s="404" t="s">
        <v>91</v>
      </c>
    </row>
    <row r="14" spans="1:9" ht="12.75">
      <c r="A14" s="405">
        <v>11</v>
      </c>
      <c r="B14" s="406">
        <v>5</v>
      </c>
      <c r="C14" s="405" t="str">
        <f ca="1">CELL("CONTENIDO",OFFSET(A1,B14,0))</f>
        <v>mayo</v>
      </c>
      <c r="D14" s="405">
        <f ca="1">CELL("CONTENIDO",OFFSET(C1,B14,0))</f>
        <v>31</v>
      </c>
      <c r="E14" s="405">
        <f ca="1">CELL("CONTENIDO",OFFSET(D1,A14,0))</f>
        <v>2016</v>
      </c>
      <c r="F14" s="405" t="str">
        <f ca="1">"Desde el 01 al "&amp;D14&amp;" de "&amp;C14&amp;" de "&amp;E14</f>
        <v>Desde el 01 al 31 de mayo de 2016</v>
      </c>
      <c r="G14" s="405" t="str">
        <f ca="1">CELL("CONTENIDO",OFFSET(B1,B14,0))</f>
        <v>05</v>
      </c>
      <c r="H14" s="405" t="str">
        <f ca="1">RIGHT(E14,2)</f>
        <v>16</v>
      </c>
      <c r="I14" s="407" t="s">
        <v>92</v>
      </c>
    </row>
    <row r="15" spans="1:8" ht="12.75">
      <c r="A15" s="405"/>
      <c r="B15" s="408" t="str">
        <f ca="1">"\\rugor\files\Transporte\Transporte\AA PROCESO AUT ARCHIVOS J\DISTROCUYO\"&amp;E14</f>
        <v>\\rugor\files\Transporte\Transporte\AA PROCESO AUT ARCHIVOS J\DISTROCUYO\2016</v>
      </c>
      <c r="C15" s="405"/>
      <c r="D15" s="405"/>
      <c r="E15" s="405"/>
      <c r="F15" s="405"/>
      <c r="G15" s="405" t="str">
        <f ca="1">"J"&amp;G14&amp;H14&amp;"CUY"</f>
        <v>J0516CUY</v>
      </c>
      <c r="H15" s="405"/>
    </row>
    <row r="16" spans="1:8" ht="12.75">
      <c r="A16" s="405"/>
      <c r="B16" s="408" t="str">
        <f ca="1">"\\rugor\files\Transporte\transporte\AA PROCESO AUT\INTERCAMBIO\"&amp;H14&amp;G14</f>
        <v>\\rugor\files\Transporte\transporte\AA PROCESO AUT\INTERCAMBIO\1605</v>
      </c>
      <c r="C16" s="405"/>
      <c r="D16" s="405"/>
      <c r="E16" s="405"/>
      <c r="F16" s="405"/>
      <c r="G16" s="405"/>
      <c r="H16" s="405"/>
    </row>
    <row r="17" spans="1:29" s="409" customFormat="1" ht="12.75">
      <c r="A17" s="400" t="s">
        <v>93</v>
      </c>
      <c r="B17" s="400" t="s">
        <v>94</v>
      </c>
      <c r="C17" s="400" t="s">
        <v>95</v>
      </c>
      <c r="D17" s="400" t="s">
        <v>96</v>
      </c>
      <c r="E17" s="400" t="s">
        <v>97</v>
      </c>
      <c r="F17" s="400" t="s">
        <v>98</v>
      </c>
      <c r="G17" s="400" t="s">
        <v>126</v>
      </c>
      <c r="H17" s="400" t="s">
        <v>99</v>
      </c>
      <c r="I17" s="400" t="s">
        <v>100</v>
      </c>
      <c r="J17" s="400" t="s">
        <v>101</v>
      </c>
      <c r="K17" s="400" t="s">
        <v>102</v>
      </c>
      <c r="L17" s="400" t="s">
        <v>103</v>
      </c>
      <c r="M17" s="400" t="s">
        <v>104</v>
      </c>
      <c r="N17" s="400" t="s">
        <v>105</v>
      </c>
      <c r="O17" s="400" t="s">
        <v>106</v>
      </c>
      <c r="P17" s="400" t="s">
        <v>107</v>
      </c>
      <c r="Q17" s="400" t="s">
        <v>108</v>
      </c>
      <c r="R17" s="400" t="s">
        <v>109</v>
      </c>
      <c r="S17" s="400" t="s">
        <v>110</v>
      </c>
      <c r="T17" s="400" t="s">
        <v>111</v>
      </c>
      <c r="U17" s="400" t="s">
        <v>112</v>
      </c>
      <c r="V17" s="400" t="s">
        <v>113</v>
      </c>
      <c r="W17" s="400" t="s">
        <v>114</v>
      </c>
      <c r="X17" s="400" t="s">
        <v>115</v>
      </c>
      <c r="Y17" s="400" t="s">
        <v>116</v>
      </c>
      <c r="Z17" s="400" t="s">
        <v>117</v>
      </c>
      <c r="AA17" s="400" t="s">
        <v>118</v>
      </c>
      <c r="AB17" s="400" t="s">
        <v>119</v>
      </c>
      <c r="AC17" s="400" t="s">
        <v>120</v>
      </c>
    </row>
    <row r="18" spans="1:29" ht="12.75">
      <c r="A18" s="410" t="s">
        <v>121</v>
      </c>
      <c r="B18" s="410">
        <v>21</v>
      </c>
      <c r="C18" s="410">
        <v>19</v>
      </c>
      <c r="D18" s="410">
        <v>12</v>
      </c>
      <c r="E18" s="410" t="str">
        <f ca="1">"LI-"&amp;$G$14</f>
        <v>LI-05</v>
      </c>
      <c r="F18" s="410" t="s">
        <v>127</v>
      </c>
      <c r="G18" s="410">
        <v>3</v>
      </c>
      <c r="H18" s="411">
        <v>5</v>
      </c>
      <c r="I18" s="411">
        <v>4</v>
      </c>
      <c r="J18" s="410">
        <v>6</v>
      </c>
      <c r="K18" s="410">
        <v>7</v>
      </c>
      <c r="L18" s="410">
        <v>8</v>
      </c>
      <c r="M18" s="410">
        <v>0</v>
      </c>
      <c r="N18" s="410">
        <v>10</v>
      </c>
      <c r="O18" s="410">
        <v>11</v>
      </c>
      <c r="P18" s="410">
        <v>14</v>
      </c>
      <c r="Q18" s="410">
        <v>26</v>
      </c>
      <c r="R18" s="410">
        <v>0</v>
      </c>
      <c r="S18" s="410">
        <v>15</v>
      </c>
      <c r="T18" s="410">
        <v>0</v>
      </c>
      <c r="U18" s="410">
        <v>0</v>
      </c>
      <c r="V18" s="410">
        <v>0</v>
      </c>
      <c r="W18" s="410">
        <v>18</v>
      </c>
      <c r="X18" s="410">
        <v>9</v>
      </c>
      <c r="Y18" s="410">
        <v>42</v>
      </c>
      <c r="Z18" s="410">
        <v>27</v>
      </c>
      <c r="AA18" s="410">
        <v>19</v>
      </c>
      <c r="AB18" s="410">
        <v>27</v>
      </c>
      <c r="AC18" s="410">
        <v>14</v>
      </c>
    </row>
    <row r="19" spans="1:29" ht="12.75">
      <c r="A19" s="412" t="s">
        <v>122</v>
      </c>
      <c r="B19" s="412">
        <v>22</v>
      </c>
      <c r="C19" s="412">
        <v>19</v>
      </c>
      <c r="D19" s="412">
        <v>13</v>
      </c>
      <c r="E19" s="412" t="str">
        <f ca="1">"T-"&amp;$G$14</f>
        <v>T-05</v>
      </c>
      <c r="F19" s="412" t="s">
        <v>128</v>
      </c>
      <c r="G19" s="410">
        <v>3</v>
      </c>
      <c r="H19" s="411">
        <v>5</v>
      </c>
      <c r="I19" s="411">
        <v>4</v>
      </c>
      <c r="J19" s="412">
        <v>6</v>
      </c>
      <c r="K19" s="412">
        <v>7</v>
      </c>
      <c r="L19" s="412">
        <v>8</v>
      </c>
      <c r="M19" s="412">
        <v>9</v>
      </c>
      <c r="N19" s="412">
        <v>11</v>
      </c>
      <c r="O19" s="412">
        <v>12</v>
      </c>
      <c r="P19" s="412">
        <v>15</v>
      </c>
      <c r="Q19" s="412">
        <v>16</v>
      </c>
      <c r="R19" s="412">
        <v>18</v>
      </c>
      <c r="S19" s="412">
        <v>28</v>
      </c>
      <c r="T19" s="412">
        <v>17</v>
      </c>
      <c r="U19" s="412">
        <v>0</v>
      </c>
      <c r="V19" s="412">
        <v>0</v>
      </c>
      <c r="W19" s="412">
        <v>22</v>
      </c>
      <c r="X19" s="410">
        <v>9</v>
      </c>
      <c r="Y19" s="412">
        <v>43</v>
      </c>
      <c r="Z19" s="412">
        <v>29</v>
      </c>
      <c r="AA19" s="412">
        <v>20</v>
      </c>
      <c r="AB19" s="412">
        <v>29</v>
      </c>
      <c r="AC19" s="412">
        <v>15</v>
      </c>
    </row>
    <row r="20" spans="1:29" ht="12.75">
      <c r="A20" s="410" t="s">
        <v>123</v>
      </c>
      <c r="B20" s="410">
        <v>22</v>
      </c>
      <c r="C20" s="410">
        <v>19</v>
      </c>
      <c r="D20" s="410">
        <v>10</v>
      </c>
      <c r="E20" s="410" t="str">
        <f ca="1">"SA-"&amp;$G$14</f>
        <v>SA-05</v>
      </c>
      <c r="F20" s="410" t="s">
        <v>129</v>
      </c>
      <c r="G20" s="410">
        <v>3</v>
      </c>
      <c r="H20" s="411">
        <v>5</v>
      </c>
      <c r="I20" s="411">
        <v>4</v>
      </c>
      <c r="J20" s="410">
        <v>6</v>
      </c>
      <c r="K20" s="410">
        <v>7</v>
      </c>
      <c r="L20" s="410">
        <v>8</v>
      </c>
      <c r="M20" s="410">
        <v>10</v>
      </c>
      <c r="N20" s="410">
        <v>11</v>
      </c>
      <c r="O20" s="410">
        <v>14</v>
      </c>
      <c r="P20" s="410">
        <v>15</v>
      </c>
      <c r="Q20" s="410">
        <v>21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24</v>
      </c>
      <c r="X20" s="410">
        <v>9</v>
      </c>
      <c r="Y20" s="410">
        <v>43</v>
      </c>
      <c r="Z20" s="410">
        <v>22</v>
      </c>
      <c r="AA20" s="410">
        <v>20</v>
      </c>
      <c r="AB20" s="410">
        <v>22</v>
      </c>
      <c r="AC20" s="410">
        <v>14</v>
      </c>
    </row>
    <row r="21" spans="1:29" s="409" customFormat="1" ht="12.75">
      <c r="A21" s="413" t="s">
        <v>124</v>
      </c>
      <c r="B21" s="413">
        <v>19</v>
      </c>
      <c r="C21" s="413">
        <v>24</v>
      </c>
      <c r="D21" s="414">
        <v>4</v>
      </c>
      <c r="E21" s="413" t="str">
        <f ca="1">"CAUSAS-VST-"&amp;$G$14</f>
        <v>CAUSAS-VST-05</v>
      </c>
      <c r="F21" s="413" t="s">
        <v>125</v>
      </c>
      <c r="G21" s="413">
        <v>3</v>
      </c>
      <c r="H21" s="413">
        <v>4</v>
      </c>
      <c r="I21" s="413">
        <v>5</v>
      </c>
      <c r="J21" s="413">
        <v>6</v>
      </c>
      <c r="K21" s="413">
        <v>7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999</v>
      </c>
      <c r="X21" s="413">
        <v>999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2016-11-23T13:58:32Z</cp:lastPrinted>
  <dcterms:created xsi:type="dcterms:W3CDTF">1998-09-02T21:31:22Z</dcterms:created>
  <dcterms:modified xsi:type="dcterms:W3CDTF">2016-12-07T15:11:55Z</dcterms:modified>
  <cp:category/>
  <cp:version/>
  <cp:contentType/>
  <cp:contentStatus/>
</cp:coreProperties>
</file>