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65521" yWindow="3675" windowWidth="11970" windowHeight="3720" activeTab="0"/>
  </bookViews>
  <sheets>
    <sheet name="TOT-0416" sheetId="10" r:id="rId1"/>
    <sheet name="LI-04 (1)" sheetId="16" r:id="rId2"/>
    <sheet name="T-04 (1)" sheetId="17" r:id="rId3"/>
    <sheet name="SA-04 (1)" sheetId="18" r:id="rId4"/>
    <sheet name="DATO" sheetId="14" r:id="rId5"/>
  </sheets>
  <definedNames>
    <definedName name="DD">[0]!DD</definedName>
    <definedName name="DDD">[0]!DDD</definedName>
    <definedName name="DISTROCUYO">[0]!DISTROCUYO</definedName>
    <definedName name="INICIO">[0]!INICIO</definedName>
    <definedName name="INICIOTI">[0]!INICIOTI</definedName>
    <definedName name="LINEAS">[0]!LINEAS</definedName>
    <definedName name="LINEASTI">[0]!LINEASTI</definedName>
    <definedName name="NAME_L">[0]!NAME_L</definedName>
    <definedName name="NAME_L_TI">[0]!NAME_L_TI</definedName>
    <definedName name="TRAN">[0]!TRAN</definedName>
    <definedName name="TRANSNOA">[0]!TRANSNOA</definedName>
    <definedName name="TRANSPA">[0]!TRANSPA</definedName>
    <definedName name="x">[0]!x</definedName>
    <definedName name="XX">[0]!XX</definedName>
  </definedNames>
  <calcPr calcId="152511"/>
</workbook>
</file>

<file path=xl/sharedStrings.xml><?xml version="1.0" encoding="utf-8"?>
<sst xmlns="http://schemas.openxmlformats.org/spreadsheetml/2006/main" count="331" uniqueCount="190">
  <si>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</si>
  <si>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</si>
  <si>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</si>
  <si>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</si>
  <si>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</si>
  <si>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</si>
  <si>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</si>
  <si>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</si>
  <si>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</si>
  <si>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</si>
  <si>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</si>
  <si>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</si>
  <si>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</si>
  <si>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</si>
  <si>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</si>
  <si>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</si>
  <si>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</si>
  <si>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</si>
  <si>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</si>
  <si>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</si>
  <si>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</si>
  <si>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</si>
  <si>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</si>
  <si>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</si>
  <si>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</si>
  <si>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</si>
  <si>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</si>
  <si>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</si>
  <si>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</si>
  <si>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</si>
  <si>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</si>
  <si>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</si>
  <si>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</si>
  <si>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</si>
  <si>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</si>
  <si>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</si>
  <si>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</si>
  <si>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</si>
  <si>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</si>
  <si>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</si>
  <si>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</si>
  <si>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</si>
  <si>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</si>
  <si>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</si>
  <si>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</si>
  <si>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</si>
  <si>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</si>
  <si>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</si>
  <si>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</si>
  <si>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</si>
  <si>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</si>
  <si>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</si>
  <si>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</si>
  <si>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</si>
  <si>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</si>
  <si>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</si>
  <si>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</si>
  <si>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</si>
  <si>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</si>
  <si>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</si>
  <si>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</si>
  <si>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</si>
  <si>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</si>
  <si>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</si>
  <si>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</si>
  <si>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</si>
  <si>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</si>
  <si>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</si>
  <si>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</si>
  <si>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</si>
  <si>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</si>
  <si>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</si>
  <si>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2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</si>
  <si>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2"/>
      </rPr>
      <t>²</t>
    </r>
    <r>
      <rPr>
        <sz val="7"/>
        <rFont val="Times New Roman"/>
        <family val="1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</si>
  <si>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</si>
  <si>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</si>
  <si>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</si>
  <si>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</si>
  <si>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</si>
  <si>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</si>
  <si>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</si>
  <si>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</si>
  <si>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</si>
  <si>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</si>
  <si>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</si>
  <si>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</si>
  <si>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</si>
  <si>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</si>
  <si>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</si>
  <si>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</si>
  <si>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</si>
  <si>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</si>
  <si>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</si>
  <si>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</si>
  <si>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</si>
  <si>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</si>
  <si>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</si>
  <si>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</si>
  <si>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</si>
  <si>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</si>
  <si>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</si>
  <si>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</si>
  <si>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</si>
  <si>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</si>
  <si>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</si>
  <si>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</si>
  <si>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</si>
  <si>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</si>
  <si>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</si>
  <si>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</si>
  <si>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</si>
  <si>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</si>
  <si>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</si>
  <si>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</si>
  <si>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</si>
  <si>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</si>
  <si>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</si>
  <si>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</si>
  <si>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</si>
  <si>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</si>
  <si>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</si>
  <si>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</si>
  <si>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</si>
  <si>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</si>
  <si>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</si>
  <si>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</si>
  <si>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</si>
  <si>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</si>
  <si>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</si>
  <si>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</si>
  <si>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P</t>
  </si>
  <si>
    <t>SI</t>
  </si>
  <si>
    <t>TRAFO 2</t>
  </si>
  <si>
    <t xml:space="preserve"> - </t>
  </si>
  <si>
    <t>P - PROGRAMADA</t>
  </si>
  <si>
    <t>CAPIZ</t>
  </si>
  <si>
    <t>132/66/13,2</t>
  </si>
  <si>
    <t>Valores remuneratorios según el Convenio de Renovación. Nota ENRE Nº 119131</t>
  </si>
  <si>
    <t>SAN JUAN - CAÑADA HONDA</t>
  </si>
  <si>
    <t>CAPIZ - PEDRO VARGAS</t>
  </si>
  <si>
    <t>RP</t>
  </si>
  <si>
    <t>132/33/13,2</t>
  </si>
  <si>
    <t>CRUZ DE PIEDRA</t>
  </si>
  <si>
    <t>F</t>
  </si>
  <si>
    <t>P - PROGRAMADA  , F - FORZADA  ; RP - REDUCCIÓN PROGRAMADA</t>
  </si>
  <si>
    <t>1.1.- Equipamiento propio</t>
  </si>
  <si>
    <t xml:space="preserve">1.1.- </t>
  </si>
  <si>
    <t>Equipamiento propio</t>
  </si>
  <si>
    <t>Desde el 01 al 30 de abril de 2016</t>
  </si>
  <si>
    <t>CRUZ DE PIEDRA - CAÑADA HONDA</t>
  </si>
  <si>
    <t>ANCHORIS - CAPIZ</t>
  </si>
  <si>
    <t>ANCHORIS - CRUZ DE PIEDRA</t>
  </si>
  <si>
    <t xml:space="preserve">ANCHORIS        </t>
  </si>
  <si>
    <t xml:space="preserve">CRUZ DE PIEDRA  </t>
  </si>
  <si>
    <t>TR3</t>
  </si>
  <si>
    <t xml:space="preserve">T2 </t>
  </si>
  <si>
    <t>220/132/13,2</t>
  </si>
  <si>
    <t>ATR1</t>
  </si>
  <si>
    <t xml:space="preserve">CANADA HONDA    </t>
  </si>
  <si>
    <t>TP1</t>
  </si>
  <si>
    <t>MONTECASEROS MZA</t>
  </si>
  <si>
    <t>ATR3</t>
  </si>
  <si>
    <t>T1</t>
  </si>
  <si>
    <t>NO</t>
  </si>
  <si>
    <t>TR2</t>
  </si>
  <si>
    <t xml:space="preserve">SAN JUAN        </t>
  </si>
  <si>
    <t>TRN2</t>
  </si>
  <si>
    <t>ATR2</t>
  </si>
  <si>
    <t>SALIDA ALIM. SCOP</t>
  </si>
  <si>
    <t>SALIDA ALIM. POCITO 1</t>
  </si>
  <si>
    <t>SALIDA LINEA C.H. ULLUM</t>
  </si>
  <si>
    <t xml:space="preserve">CAPIZ           </t>
  </si>
  <si>
    <t>SALIDA ALIM. CHACON</t>
  </si>
  <si>
    <t xml:space="preserve"> SALIDA ALIM. CAPIZ</t>
  </si>
  <si>
    <t>SALIDA 1</t>
  </si>
  <si>
    <t>SALIDA LINEA GOD. CRUZ</t>
  </si>
  <si>
    <t>SALIDA LINEA BARRIALES</t>
  </si>
  <si>
    <t>SALIDA ALIM. SARMIENTO2</t>
  </si>
  <si>
    <t xml:space="preserve"> SALIDA LINEA PIEDRAS COLORADAS</t>
  </si>
  <si>
    <t>SALIDA ALIM. CD ANCH. 1</t>
  </si>
  <si>
    <t>SALIDA ALIM. POCITO 2</t>
  </si>
  <si>
    <t>SALIDA ALIM. CD ANCH. 2</t>
  </si>
  <si>
    <t>SALIDA ALIM. RAWSON 2</t>
  </si>
  <si>
    <t>SALIDA ALIM. SARMIENTO3</t>
  </si>
  <si>
    <t>SALIDA ALIM. CENTRO 3</t>
  </si>
  <si>
    <t>SALIDA COOPERAT. 1</t>
  </si>
  <si>
    <t>SALIDA COOPERAT. 2</t>
  </si>
  <si>
    <t>P - PROGRAMADA  ; F - FORZADA</t>
  </si>
  <si>
    <t>TOTAL DE PENALIZACIONES A APLICAR</t>
  </si>
  <si>
    <t>ANEXO V al Memorándum D.T.E.E. N°         639    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</si>
</sst>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\ #,##0.00;&quot;$&quot;\ \-#,##0.00"/>
    <numFmt numFmtId="8" formatCode="&quot;$&quot;\ #,##0.00;[Red]&quot;$&quot;\ \-#,##0.00"/>
    <numFmt numFmtId="164" formatCode="0_)"/>
    <numFmt numFmtId="165" formatCode="0.0_)"/>
    <numFmt numFmtId="166" formatCode="#,##0.0000"/>
    <numFmt numFmtId="167" formatCode="0.00_)"/>
    <numFmt numFmtId="168" formatCode="&quot;$&quot;\ #,##0.000;&quot;$&quot;\ \-#,##0.000"/>
    <numFmt numFmtId="169" formatCode="#,##0.0"/>
    <numFmt numFmtId="170" formatCode="0.000"/>
  </numFmts>
  <fonts count="63">
    <font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2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47"/>
      <name val="Times New Roman"/>
      <family val="1"/>
    </font>
    <font>
      <sz val="11"/>
      <name val="Times New Roman"/>
      <family val="1"/>
    </font>
    <font>
      <sz val="7"/>
      <name val="Wingdings"/>
      <family val="2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26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8"/>
      <name val="MS Sans Serif"/>
      <family val="2"/>
    </font>
    <font>
      <sz val="10"/>
      <color indexed="50"/>
      <name val="MS Sans Serif"/>
      <family val="2"/>
    </font>
    <font>
      <sz val="10"/>
      <color rgb="FF000000"/>
      <name val="MS Sans Serif"/>
      <family val="2"/>
    </font>
    <font>
      <sz val="9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/>
    </border>
    <border>
      <left/>
      <right/>
      <top style="double"/>
      <bottom/>
    </border>
    <border>
      <left style="double"/>
      <right/>
      <top style="double"/>
      <bottom style="thin"/>
    </border>
    <border>
      <left style="double"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 style="double"/>
    </border>
    <border>
      <left/>
      <right style="thick"/>
      <top style="double"/>
      <bottom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22">
    <xf numFmtId="0" fontId="0" fillId="0" borderId="0" xfId="0"/>
    <xf numFmtId="0" fontId="1" fillId="0" borderId="0" xfId="21">
      <alignment/>
      <protection/>
    </xf>
    <xf numFmtId="0" fontId="1" fillId="0" borderId="0" xfId="21" applyFill="1" applyBorder="1">
      <alignment/>
      <protection/>
    </xf>
    <xf numFmtId="0" fontId="6" fillId="0" borderId="0" xfId="21" applyFont="1" applyBorder="1" applyAlignment="1" applyProtection="1">
      <alignment horizontal="center"/>
      <protection/>
    </xf>
    <xf numFmtId="0" fontId="6" fillId="0" borderId="0" xfId="21" applyFont="1" applyBorder="1" applyAlignment="1">
      <alignment horizontal="center"/>
      <protection/>
    </xf>
    <xf numFmtId="2" fontId="6" fillId="0" borderId="0" xfId="21" applyNumberFormat="1" applyFont="1" applyBorder="1" applyAlignment="1" applyProtection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Continuous"/>
      <protection/>
    </xf>
    <xf numFmtId="0" fontId="6" fillId="0" borderId="0" xfId="21" applyFont="1" applyBorder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12" fillId="0" borderId="0" xfId="21" applyFont="1" applyFill="1" applyBorder="1" applyAlignment="1" applyProtection="1">
      <alignment horizontal="left"/>
      <protection/>
    </xf>
    <xf numFmtId="0" fontId="8" fillId="0" borderId="0" xfId="21" applyFont="1" applyBorder="1">
      <alignment/>
      <protection/>
    </xf>
    <xf numFmtId="0" fontId="13" fillId="0" borderId="0" xfId="21" applyFont="1">
      <alignment/>
      <protection/>
    </xf>
    <xf numFmtId="0" fontId="14" fillId="0" borderId="0" xfId="21" applyFont="1" applyBorder="1" applyAlignment="1">
      <alignment horizontal="centerContinuous"/>
      <protection/>
    </xf>
    <xf numFmtId="0" fontId="15" fillId="0" borderId="0" xfId="21" applyFont="1" applyAlignment="1">
      <alignment horizontal="centerContinuous"/>
      <protection/>
    </xf>
    <xf numFmtId="0" fontId="13" fillId="0" borderId="0" xfId="21" applyFont="1" applyAlignment="1">
      <alignment horizontal="centerContinuous"/>
      <protection/>
    </xf>
    <xf numFmtId="0" fontId="13" fillId="0" borderId="0" xfId="21" applyFont="1" applyBorder="1" applyAlignment="1">
      <alignment horizontal="centerContinuous"/>
      <protection/>
    </xf>
    <xf numFmtId="0" fontId="13" fillId="0" borderId="0" xfId="21" applyFont="1" applyBorder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8" fillId="0" borderId="0" xfId="21" applyFont="1" applyBorder="1">
      <alignment/>
      <protection/>
    </xf>
    <xf numFmtId="0" fontId="17" fillId="0" borderId="0" xfId="21" applyFont="1" applyBorder="1">
      <alignment/>
      <protection/>
    </xf>
    <xf numFmtId="0" fontId="19" fillId="0" borderId="1" xfId="21" applyFont="1" applyBorder="1">
      <alignment/>
      <protection/>
    </xf>
    <xf numFmtId="0" fontId="19" fillId="0" borderId="2" xfId="21" applyFont="1" applyBorder="1">
      <alignment/>
      <protection/>
    </xf>
    <xf numFmtId="0" fontId="17" fillId="0" borderId="2" xfId="21" applyFont="1" applyBorder="1">
      <alignment/>
      <protection/>
    </xf>
    <xf numFmtId="0" fontId="17" fillId="0" borderId="3" xfId="21" applyFont="1" applyBorder="1">
      <alignment/>
      <protection/>
    </xf>
    <xf numFmtId="0" fontId="20" fillId="0" borderId="4" xfId="21" applyFont="1" applyBorder="1" applyAlignment="1">
      <alignment horizontal="centerContinuous"/>
      <protection/>
    </xf>
    <xf numFmtId="0" fontId="1" fillId="0" borderId="0" xfId="21" applyNumberFormat="1" applyAlignment="1">
      <alignment horizontal="centerContinuous"/>
      <protection/>
    </xf>
    <xf numFmtId="0" fontId="13" fillId="0" borderId="0" xfId="21" applyNumberFormat="1" applyFont="1" applyAlignment="1">
      <alignment horizontal="centerContinuous"/>
      <protection/>
    </xf>
    <xf numFmtId="0" fontId="20" fillId="0" borderId="0" xfId="21" applyFont="1" applyBorder="1" applyAlignment="1">
      <alignment horizontal="centerContinuous"/>
      <protection/>
    </xf>
    <xf numFmtId="0" fontId="13" fillId="0" borderId="5" xfId="21" applyFont="1" applyBorder="1" applyAlignment="1">
      <alignment horizontal="centerContinuous"/>
      <protection/>
    </xf>
    <xf numFmtId="0" fontId="13" fillId="0" borderId="4" xfId="21" applyFont="1" applyBorder="1">
      <alignment/>
      <protection/>
    </xf>
    <xf numFmtId="0" fontId="21" fillId="0" borderId="0" xfId="21" applyNumberFormat="1" applyFont="1" applyBorder="1" applyAlignment="1">
      <alignment horizontal="right"/>
      <protection/>
    </xf>
    <xf numFmtId="0" fontId="20" fillId="0" borderId="0" xfId="21" applyFont="1" applyBorder="1">
      <alignment/>
      <protection/>
    </xf>
    <xf numFmtId="0" fontId="13" fillId="0" borderId="5" xfId="21" applyFont="1" applyBorder="1">
      <alignment/>
      <protection/>
    </xf>
    <xf numFmtId="0" fontId="21" fillId="0" borderId="0" xfId="21" applyNumberFormat="1" applyFont="1" applyBorder="1" applyAlignment="1">
      <alignment horizontal="centerContinuous"/>
      <protection/>
    </xf>
    <xf numFmtId="0" fontId="21" fillId="0" borderId="0" xfId="21" applyNumberFormat="1" applyFont="1" applyBorder="1" applyAlignment="1">
      <alignment horizontal="right"/>
      <protection/>
    </xf>
    <xf numFmtId="0" fontId="21" fillId="0" borderId="0" xfId="21" applyNumberFormat="1" applyFont="1" applyBorder="1" applyAlignment="1">
      <alignment/>
      <protection/>
    </xf>
    <xf numFmtId="7" fontId="21" fillId="0" borderId="0" xfId="21" applyNumberFormat="1" applyFont="1" applyBorder="1" applyAlignment="1">
      <alignment horizontal="right"/>
      <protection/>
    </xf>
    <xf numFmtId="0" fontId="6" fillId="0" borderId="4" xfId="21" applyFont="1" applyBorder="1">
      <alignment/>
      <protection/>
    </xf>
    <xf numFmtId="0" fontId="3" fillId="0" borderId="0" xfId="21" applyNumberFormat="1" applyFont="1" applyBorder="1" applyAlignment="1">
      <alignment horizontal="right"/>
      <protection/>
    </xf>
    <xf numFmtId="0" fontId="3" fillId="0" borderId="0" xfId="21" applyNumberFormat="1" applyFont="1" applyBorder="1" applyAlignment="1">
      <alignment/>
      <protection/>
    </xf>
    <xf numFmtId="0" fontId="22" fillId="0" borderId="0" xfId="21" applyFont="1" applyBorder="1">
      <alignment/>
      <protection/>
    </xf>
    <xf numFmtId="7" fontId="3" fillId="0" borderId="0" xfId="21" applyNumberFormat="1" applyFont="1" applyBorder="1" applyAlignment="1">
      <alignment horizontal="right"/>
      <protection/>
    </xf>
    <xf numFmtId="0" fontId="6" fillId="0" borderId="5" xfId="21" applyFont="1" applyBorder="1">
      <alignment/>
      <protection/>
    </xf>
    <xf numFmtId="0" fontId="6" fillId="0" borderId="0" xfId="21" applyFont="1" applyBorder="1" applyAlignment="1">
      <alignment horizontal="right"/>
      <protection/>
    </xf>
    <xf numFmtId="0" fontId="21" fillId="0" borderId="0" xfId="21" applyFont="1" applyBorder="1">
      <alignment/>
      <protection/>
    </xf>
    <xf numFmtId="0" fontId="21" fillId="0" borderId="6" xfId="21" applyFont="1" applyBorder="1" applyAlignment="1">
      <alignment horizontal="center"/>
      <protection/>
    </xf>
    <xf numFmtId="7" fontId="21" fillId="0" borderId="7" xfId="21" applyNumberFormat="1" applyFont="1" applyBorder="1" applyAlignment="1">
      <alignment horizontal="center"/>
      <protection/>
    </xf>
    <xf numFmtId="7" fontId="21" fillId="0" borderId="0" xfId="21" applyNumberFormat="1" applyFont="1" applyBorder="1" applyAlignment="1">
      <alignment horizontal="center"/>
      <protection/>
    </xf>
    <xf numFmtId="0" fontId="17" fillId="0" borderId="8" xfId="21" applyFont="1" applyBorder="1">
      <alignment/>
      <protection/>
    </xf>
    <xf numFmtId="0" fontId="17" fillId="0" borderId="9" xfId="21" applyNumberFormat="1" applyFont="1" applyBorder="1">
      <alignment/>
      <protection/>
    </xf>
    <xf numFmtId="0" fontId="17" fillId="0" borderId="9" xfId="21" applyFont="1" applyBorder="1">
      <alignment/>
      <protection/>
    </xf>
    <xf numFmtId="0" fontId="17" fillId="0" borderId="10" xfId="21" applyFont="1" applyBorder="1">
      <alignment/>
      <protection/>
    </xf>
    <xf numFmtId="0" fontId="17" fillId="0" borderId="0" xfId="21" applyFont="1" applyFill="1" applyBorder="1">
      <alignment/>
      <protection/>
    </xf>
    <xf numFmtId="4" fontId="17" fillId="0" borderId="0" xfId="21" applyNumberFormat="1" applyFont="1" applyFill="1" applyBorder="1">
      <alignment/>
      <protection/>
    </xf>
    <xf numFmtId="7" fontId="17" fillId="0" borderId="0" xfId="21" applyNumberFormat="1" applyFont="1" applyBorder="1">
      <alignment/>
      <protection/>
    </xf>
    <xf numFmtId="167" fontId="17" fillId="0" borderId="0" xfId="21" applyNumberFormat="1" applyFont="1" applyBorder="1" applyAlignment="1">
      <alignment horizontal="center"/>
      <protection/>
    </xf>
    <xf numFmtId="0" fontId="6" fillId="0" borderId="0" xfId="21" applyFont="1" applyFill="1" applyBorder="1">
      <alignment/>
      <protection/>
    </xf>
    <xf numFmtId="4" fontId="6" fillId="0" borderId="0" xfId="21" applyNumberFormat="1" applyFont="1" applyFill="1" applyBorder="1">
      <alignment/>
      <protection/>
    </xf>
    <xf numFmtId="4" fontId="6" fillId="0" borderId="0" xfId="21" applyNumberFormat="1" applyFont="1" applyBorder="1">
      <alignment/>
      <protection/>
    </xf>
    <xf numFmtId="4" fontId="3" fillId="0" borderId="0" xfId="21" applyNumberFormat="1" applyFont="1" applyBorder="1" applyAlignment="1">
      <alignment horizontal="center"/>
      <protection/>
    </xf>
    <xf numFmtId="0" fontId="9" fillId="0" borderId="0" xfId="21" applyFont="1" applyAlignment="1" applyProtection="1">
      <alignment horizontal="centerContinuous"/>
      <protection locked="0"/>
    </xf>
    <xf numFmtId="0" fontId="16" fillId="0" borderId="0" xfId="21" applyFont="1" applyAlignment="1" applyProtection="1">
      <alignment horizontal="centerContinuous"/>
      <protection locked="0"/>
    </xf>
    <xf numFmtId="0" fontId="4" fillId="0" borderId="0" xfId="21" applyFont="1" applyBorder="1" applyAlignment="1" applyProtection="1">
      <alignment horizontal="centerContinuous"/>
      <protection/>
    </xf>
    <xf numFmtId="0" fontId="6" fillId="0" borderId="1" xfId="21" applyFont="1" applyBorder="1">
      <alignment/>
      <protection/>
    </xf>
    <xf numFmtId="0" fontId="6" fillId="0" borderId="2" xfId="21" applyFont="1" applyBorder="1">
      <alignment/>
      <protection/>
    </xf>
    <xf numFmtId="0" fontId="6" fillId="0" borderId="3" xfId="21" applyFont="1" applyBorder="1">
      <alignment/>
      <protection/>
    </xf>
    <xf numFmtId="0" fontId="23" fillId="0" borderId="0" xfId="21" applyFont="1">
      <alignment/>
      <protection/>
    </xf>
    <xf numFmtId="0" fontId="23" fillId="0" borderId="4" xfId="21" applyFont="1" applyBorder="1">
      <alignment/>
      <protection/>
    </xf>
    <xf numFmtId="0" fontId="24" fillId="0" borderId="0" xfId="21" applyFont="1" applyBorder="1">
      <alignment/>
      <protection/>
    </xf>
    <xf numFmtId="0" fontId="23" fillId="0" borderId="0" xfId="21" applyFont="1" applyBorder="1">
      <alignment/>
      <protection/>
    </xf>
    <xf numFmtId="0" fontId="23" fillId="0" borderId="5" xfId="21" applyFont="1" applyBorder="1">
      <alignment/>
      <protection/>
    </xf>
    <xf numFmtId="0" fontId="3" fillId="0" borderId="0" xfId="21" applyFont="1" applyBorder="1">
      <alignment/>
      <protection/>
    </xf>
    <xf numFmtId="0" fontId="20" fillId="0" borderId="0" xfId="21" applyFont="1" applyFill="1" applyBorder="1" applyAlignment="1" applyProtection="1">
      <alignment horizontal="centerContinuous"/>
      <protection locked="0"/>
    </xf>
    <xf numFmtId="0" fontId="20" fillId="0" borderId="0" xfId="21" applyFont="1" applyAlignment="1">
      <alignment horizontal="centerContinuous"/>
      <protection/>
    </xf>
    <xf numFmtId="0" fontId="20" fillId="0" borderId="0" xfId="21" applyFont="1" applyBorder="1" applyAlignment="1" applyProtection="1">
      <alignment horizontal="centerContinuous"/>
      <protection/>
    </xf>
    <xf numFmtId="0" fontId="20" fillId="0" borderId="5" xfId="21" applyFont="1" applyBorder="1" applyAlignment="1">
      <alignment horizontal="centerContinuous"/>
      <protection/>
    </xf>
    <xf numFmtId="0" fontId="16" fillId="0" borderId="0" xfId="21" applyFont="1" applyBorder="1">
      <alignment/>
      <protection/>
    </xf>
    <xf numFmtId="0" fontId="3" fillId="0" borderId="0" xfId="21" applyFont="1" applyBorder="1" applyProtection="1">
      <alignment/>
      <protection/>
    </xf>
    <xf numFmtId="0" fontId="6" fillId="0" borderId="0" xfId="21" applyFont="1" applyBorder="1" applyProtection="1">
      <alignment/>
      <protection/>
    </xf>
    <xf numFmtId="0" fontId="1" fillId="0" borderId="6" xfId="21" applyFont="1" applyBorder="1" applyAlignment="1" applyProtection="1">
      <alignment horizontal="center"/>
      <protection/>
    </xf>
    <xf numFmtId="170" fontId="1" fillId="0" borderId="6" xfId="21" applyNumberFormat="1" applyFont="1" applyBorder="1" applyAlignment="1">
      <alignment horizontal="centerContinuous"/>
      <protection/>
    </xf>
    <xf numFmtId="0" fontId="3" fillId="0" borderId="7" xfId="21" applyFont="1" applyBorder="1" applyAlignment="1" applyProtection="1">
      <alignment horizontal="centerContinuous"/>
      <protection/>
    </xf>
    <xf numFmtId="166" fontId="6" fillId="0" borderId="7" xfId="21" applyNumberFormat="1" applyFont="1" applyBorder="1" applyAlignment="1">
      <alignment horizontal="centerContinuous"/>
      <protection/>
    </xf>
    <xf numFmtId="0" fontId="1" fillId="0" borderId="0" xfId="21" applyFont="1" applyAlignment="1">
      <alignment horizontal="right"/>
      <protection/>
    </xf>
    <xf numFmtId="0" fontId="1" fillId="0" borderId="0" xfId="21" applyFont="1" applyBorder="1" applyAlignment="1">
      <alignment horizontal="right"/>
      <protection/>
    </xf>
    <xf numFmtId="0" fontId="1" fillId="0" borderId="0" xfId="21" applyFont="1" applyBorder="1" applyAlignment="1" applyProtection="1">
      <alignment horizontal="left"/>
      <protection locked="0"/>
    </xf>
    <xf numFmtId="0" fontId="1" fillId="0" borderId="0" xfId="21" applyFont="1" applyAlignment="1" applyProtection="1">
      <alignment/>
      <protection/>
    </xf>
    <xf numFmtId="0" fontId="6" fillId="0" borderId="0" xfId="21" applyFont="1" applyBorder="1" applyAlignment="1">
      <alignment horizontal="left"/>
      <protection/>
    </xf>
    <xf numFmtId="0" fontId="6" fillId="0" borderId="0" xfId="21" applyFont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25" fillId="0" borderId="11" xfId="21" applyFont="1" applyBorder="1" applyAlignment="1" applyProtection="1">
      <alignment horizontal="center" vertical="center"/>
      <protection/>
    </xf>
    <xf numFmtId="0" fontId="25" fillId="0" borderId="11" xfId="21" applyFont="1" applyBorder="1" applyAlignment="1" applyProtection="1">
      <alignment horizontal="center" vertical="center" wrapText="1"/>
      <protection/>
    </xf>
    <xf numFmtId="0" fontId="26" fillId="2" borderId="11" xfId="21" applyFont="1" applyFill="1" applyBorder="1" applyAlignment="1" applyProtection="1">
      <alignment horizontal="center" vertical="center"/>
      <protection/>
    </xf>
    <xf numFmtId="0" fontId="28" fillId="3" borderId="11" xfId="21" applyFont="1" applyFill="1" applyBorder="1" applyAlignment="1">
      <alignment horizontal="center" vertical="center" wrapText="1"/>
      <protection/>
    </xf>
    <xf numFmtId="0" fontId="29" fillId="4" borderId="11" xfId="21" applyFont="1" applyFill="1" applyBorder="1" applyAlignment="1">
      <alignment horizontal="center" vertical="center" wrapText="1"/>
      <protection/>
    </xf>
    <xf numFmtId="0" fontId="30" fillId="2" borderId="6" xfId="21" applyFont="1" applyFill="1" applyBorder="1" applyAlignment="1" applyProtection="1">
      <alignment horizontal="centerContinuous" vertical="center" wrapText="1"/>
      <protection/>
    </xf>
    <xf numFmtId="0" fontId="7" fillId="2" borderId="12" xfId="21" applyFont="1" applyFill="1" applyBorder="1" applyAlignment="1">
      <alignment horizontal="centerContinuous"/>
      <protection/>
    </xf>
    <xf numFmtId="0" fontId="30" fillId="2" borderId="7" xfId="21" applyFont="1" applyFill="1" applyBorder="1" applyAlignment="1">
      <alignment horizontal="centerContinuous" vertical="center"/>
      <protection/>
    </xf>
    <xf numFmtId="0" fontId="28" fillId="5" borderId="6" xfId="21" applyFont="1" applyFill="1" applyBorder="1" applyAlignment="1" applyProtection="1">
      <alignment horizontal="centerContinuous" vertical="center" wrapText="1"/>
      <protection/>
    </xf>
    <xf numFmtId="0" fontId="28" fillId="5" borderId="12" xfId="21" applyFont="1" applyFill="1" applyBorder="1" applyAlignment="1">
      <alignment horizontal="centerContinuous" vertical="center"/>
      <protection/>
    </xf>
    <xf numFmtId="0" fontId="28" fillId="5" borderId="7" xfId="21" applyFont="1" applyFill="1" applyBorder="1" applyAlignment="1">
      <alignment horizontal="centerContinuous" vertical="center"/>
      <protection/>
    </xf>
    <xf numFmtId="0" fontId="31" fillId="6" borderId="11" xfId="21" applyFont="1" applyFill="1" applyBorder="1" applyAlignment="1">
      <alignment horizontal="center" vertical="center" wrapText="1"/>
      <protection/>
    </xf>
    <xf numFmtId="0" fontId="32" fillId="7" borderId="11" xfId="21" applyFont="1" applyFill="1" applyBorder="1" applyAlignment="1">
      <alignment horizontal="center" vertical="center" wrapText="1"/>
      <protection/>
    </xf>
    <xf numFmtId="0" fontId="25" fillId="0" borderId="11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3" xfId="21" applyFont="1" applyBorder="1" applyProtection="1">
      <alignment/>
      <protection locked="0"/>
    </xf>
    <xf numFmtId="0" fontId="6" fillId="0" borderId="13" xfId="21" applyFont="1" applyBorder="1" applyAlignment="1" applyProtection="1">
      <alignment horizontal="center"/>
      <protection locked="0"/>
    </xf>
    <xf numFmtId="0" fontId="33" fillId="2" borderId="13" xfId="21" applyFont="1" applyFill="1" applyBorder="1" applyProtection="1">
      <alignment/>
      <protection locked="0"/>
    </xf>
    <xf numFmtId="0" fontId="6" fillId="0" borderId="13" xfId="21" applyFont="1" applyBorder="1" applyAlignment="1">
      <alignment horizontal="center"/>
      <protection/>
    </xf>
    <xf numFmtId="0" fontId="34" fillId="3" borderId="13" xfId="21" applyFont="1" applyFill="1" applyBorder="1" applyProtection="1">
      <alignment/>
      <protection locked="0"/>
    </xf>
    <xf numFmtId="0" fontId="35" fillId="4" borderId="13" xfId="21" applyFont="1" applyFill="1" applyBorder="1" applyProtection="1">
      <alignment/>
      <protection locked="0"/>
    </xf>
    <xf numFmtId="0" fontId="36" fillId="2" borderId="13" xfId="21" applyFont="1" applyFill="1" applyBorder="1" applyAlignment="1" applyProtection="1">
      <alignment horizontal="center"/>
      <protection locked="0"/>
    </xf>
    <xf numFmtId="0" fontId="36" fillId="2" borderId="13" xfId="21" applyFont="1" applyFill="1" applyBorder="1" applyProtection="1">
      <alignment/>
      <protection locked="0"/>
    </xf>
    <xf numFmtId="0" fontId="34" fillId="5" borderId="13" xfId="21" applyFont="1" applyFill="1" applyBorder="1" applyProtection="1">
      <alignment/>
      <protection locked="0"/>
    </xf>
    <xf numFmtId="0" fontId="37" fillId="6" borderId="13" xfId="21" applyFont="1" applyFill="1" applyBorder="1" applyProtection="1">
      <alignment/>
      <protection locked="0"/>
    </xf>
    <xf numFmtId="0" fontId="38" fillId="7" borderId="13" xfId="21" applyFont="1" applyFill="1" applyBorder="1" applyProtection="1">
      <alignment/>
      <protection locked="0"/>
    </xf>
    <xf numFmtId="0" fontId="39" fillId="0" borderId="13" xfId="21" applyFont="1" applyBorder="1" applyAlignment="1">
      <alignment horizontal="center"/>
      <protection/>
    </xf>
    <xf numFmtId="0" fontId="6" fillId="0" borderId="14" xfId="21" applyFont="1" applyBorder="1" applyProtection="1">
      <alignment/>
      <protection locked="0"/>
    </xf>
    <xf numFmtId="0" fontId="6" fillId="0" borderId="15" xfId="21" applyFont="1" applyBorder="1" applyAlignment="1" applyProtection="1">
      <alignment horizontal="center"/>
      <protection locked="0"/>
    </xf>
    <xf numFmtId="0" fontId="33" fillId="2" borderId="14" xfId="21" applyFont="1" applyFill="1" applyBorder="1" applyProtection="1">
      <alignment/>
      <protection locked="0"/>
    </xf>
    <xf numFmtId="0" fontId="6" fillId="0" borderId="14" xfId="21" applyFont="1" applyBorder="1" applyAlignment="1" applyProtection="1">
      <alignment horizontal="center"/>
      <protection locked="0"/>
    </xf>
    <xf numFmtId="0" fontId="6" fillId="0" borderId="14" xfId="21" applyFont="1" applyBorder="1" applyAlignment="1">
      <alignment horizontal="center"/>
      <protection/>
    </xf>
    <xf numFmtId="0" fontId="34" fillId="3" borderId="14" xfId="21" applyFont="1" applyFill="1" applyBorder="1" applyProtection="1">
      <alignment/>
      <protection locked="0"/>
    </xf>
    <xf numFmtId="0" fontId="35" fillId="4" borderId="14" xfId="21" applyFont="1" applyFill="1" applyBorder="1" applyProtection="1">
      <alignment/>
      <protection locked="0"/>
    </xf>
    <xf numFmtId="0" fontId="36" fillId="2" borderId="14" xfId="21" applyFont="1" applyFill="1" applyBorder="1" applyAlignment="1" applyProtection="1">
      <alignment horizontal="center"/>
      <protection locked="0"/>
    </xf>
    <xf numFmtId="0" fontId="36" fillId="2" borderId="14" xfId="21" applyFont="1" applyFill="1" applyBorder="1" applyProtection="1">
      <alignment/>
      <protection locked="0"/>
    </xf>
    <xf numFmtId="0" fontId="34" fillId="5" borderId="14" xfId="21" applyFont="1" applyFill="1" applyBorder="1" applyProtection="1">
      <alignment/>
      <protection locked="0"/>
    </xf>
    <xf numFmtId="0" fontId="37" fillId="6" borderId="14" xfId="21" applyFont="1" applyFill="1" applyBorder="1" applyProtection="1">
      <alignment/>
      <protection locked="0"/>
    </xf>
    <xf numFmtId="0" fontId="38" fillId="7" borderId="14" xfId="21" applyFont="1" applyFill="1" applyBorder="1" applyProtection="1">
      <alignment/>
      <protection locked="0"/>
    </xf>
    <xf numFmtId="0" fontId="39" fillId="0" borderId="14" xfId="21" applyFont="1" applyBorder="1" applyAlignment="1">
      <alignment horizontal="center"/>
      <protection/>
    </xf>
    <xf numFmtId="2" fontId="6" fillId="0" borderId="15" xfId="21" applyNumberFormat="1" applyFont="1" applyBorder="1" applyAlignment="1" applyProtection="1">
      <alignment horizontal="center"/>
      <protection locked="0"/>
    </xf>
    <xf numFmtId="167" fontId="33" fillId="2" borderId="14" xfId="21" applyNumberFormat="1" applyFont="1" applyFill="1" applyBorder="1" applyAlignment="1" applyProtection="1">
      <alignment horizontal="center"/>
      <protection locked="0"/>
    </xf>
    <xf numFmtId="22" fontId="6" fillId="0" borderId="14" xfId="21" applyNumberFormat="1" applyFont="1" applyBorder="1" applyAlignment="1" applyProtection="1">
      <alignment horizontal="center"/>
      <protection locked="0"/>
    </xf>
    <xf numFmtId="2" fontId="6" fillId="0" borderId="14" xfId="21" applyNumberFormat="1" applyFont="1" applyBorder="1" applyAlignment="1" applyProtection="1">
      <alignment horizontal="center"/>
      <protection/>
    </xf>
    <xf numFmtId="1" fontId="6" fillId="0" borderId="14" xfId="21" applyNumberFormat="1" applyFont="1" applyBorder="1" applyAlignment="1" applyProtection="1">
      <alignment horizontal="center"/>
      <protection/>
    </xf>
    <xf numFmtId="167" fontId="6" fillId="0" borderId="14" xfId="21" applyNumberFormat="1" applyFont="1" applyBorder="1" applyAlignment="1" applyProtection="1">
      <alignment horizontal="center"/>
      <protection locked="0"/>
    </xf>
    <xf numFmtId="167" fontId="6" fillId="0" borderId="14" xfId="21" applyNumberFormat="1" applyFont="1" applyBorder="1" applyAlignment="1" applyProtection="1" quotePrefix="1">
      <alignment horizontal="center"/>
      <protection locked="0"/>
    </xf>
    <xf numFmtId="2" fontId="34" fillId="3" borderId="14" xfId="21" applyNumberFormat="1" applyFont="1" applyFill="1" applyBorder="1" applyAlignment="1" applyProtection="1">
      <alignment horizontal="center"/>
      <protection locked="0"/>
    </xf>
    <xf numFmtId="2" fontId="35" fillId="4" borderId="14" xfId="21" applyNumberFormat="1" applyFont="1" applyFill="1" applyBorder="1" applyAlignment="1" applyProtection="1">
      <alignment horizontal="center"/>
      <protection locked="0"/>
    </xf>
    <xf numFmtId="167" fontId="36" fillId="2" borderId="14" xfId="21" applyNumberFormat="1" applyFont="1" applyFill="1" applyBorder="1" applyAlignment="1" applyProtection="1" quotePrefix="1">
      <alignment horizontal="center"/>
      <protection locked="0"/>
    </xf>
    <xf numFmtId="4" fontId="36" fillId="2" borderId="14" xfId="21" applyNumberFormat="1" applyFont="1" applyFill="1" applyBorder="1" applyAlignment="1" applyProtection="1">
      <alignment horizontal="center"/>
      <protection locked="0"/>
    </xf>
    <xf numFmtId="167" fontId="34" fillId="5" borderId="14" xfId="21" applyNumberFormat="1" applyFont="1" applyFill="1" applyBorder="1" applyAlignment="1" applyProtection="1" quotePrefix="1">
      <alignment horizontal="center"/>
      <protection locked="0"/>
    </xf>
    <xf numFmtId="4" fontId="34" fillId="5" borderId="14" xfId="21" applyNumberFormat="1" applyFont="1" applyFill="1" applyBorder="1" applyAlignment="1" applyProtection="1">
      <alignment horizontal="center"/>
      <protection locked="0"/>
    </xf>
    <xf numFmtId="4" fontId="37" fillId="6" borderId="14" xfId="21" applyNumberFormat="1" applyFont="1" applyFill="1" applyBorder="1" applyAlignment="1" applyProtection="1">
      <alignment horizontal="center"/>
      <protection locked="0"/>
    </xf>
    <xf numFmtId="4" fontId="38" fillId="7" borderId="14" xfId="21" applyNumberFormat="1" applyFont="1" applyFill="1" applyBorder="1" applyAlignment="1" applyProtection="1">
      <alignment horizontal="center"/>
      <protection locked="0"/>
    </xf>
    <xf numFmtId="4" fontId="6" fillId="0" borderId="14" xfId="21" applyNumberFormat="1" applyFont="1" applyBorder="1" applyAlignment="1" applyProtection="1">
      <alignment horizontal="center"/>
      <protection locked="0"/>
    </xf>
    <xf numFmtId="4" fontId="39" fillId="0" borderId="14" xfId="21" applyNumberFormat="1" applyFont="1" applyBorder="1" applyAlignment="1">
      <alignment horizontal="right"/>
      <protection/>
    </xf>
    <xf numFmtId="2" fontId="6" fillId="0" borderId="5" xfId="21" applyNumberFormat="1" applyFont="1" applyBorder="1">
      <alignment/>
      <protection/>
    </xf>
    <xf numFmtId="0" fontId="6" fillId="0" borderId="4" xfId="21" applyFont="1" applyBorder="1" applyAlignment="1">
      <alignment horizontal="center"/>
      <protection/>
    </xf>
    <xf numFmtId="0" fontId="6" fillId="0" borderId="16" xfId="21" applyFont="1" applyBorder="1" applyAlignment="1" applyProtection="1">
      <alignment horizontal="center"/>
      <protection locked="0"/>
    </xf>
    <xf numFmtId="0" fontId="6" fillId="0" borderId="17" xfId="21" applyFont="1" applyBorder="1" applyAlignment="1" applyProtection="1">
      <alignment horizontal="center"/>
      <protection/>
    </xf>
    <xf numFmtId="2" fontId="6" fillId="0" borderId="17" xfId="21" applyNumberFormat="1" applyFont="1" applyBorder="1" applyAlignment="1" applyProtection="1">
      <alignment horizontal="center"/>
      <protection/>
    </xf>
    <xf numFmtId="167" fontId="6" fillId="0" borderId="16" xfId="21" applyNumberFormat="1" applyFont="1" applyBorder="1" applyAlignment="1" applyProtection="1">
      <alignment horizontal="center"/>
      <protection/>
    </xf>
    <xf numFmtId="167" fontId="33" fillId="2" borderId="16" xfId="21" applyNumberFormat="1" applyFont="1" applyFill="1" applyBorder="1" applyAlignment="1" applyProtection="1">
      <alignment horizontal="center"/>
      <protection/>
    </xf>
    <xf numFmtId="22" fontId="6" fillId="0" borderId="16" xfId="21" applyNumberFormat="1" applyFont="1" applyBorder="1" applyAlignment="1">
      <alignment horizontal="center"/>
      <protection/>
    </xf>
    <xf numFmtId="167" fontId="34" fillId="3" borderId="16" xfId="21" applyNumberFormat="1" applyFont="1" applyFill="1" applyBorder="1" applyAlignment="1" applyProtection="1" quotePrefix="1">
      <alignment horizontal="center"/>
      <protection/>
    </xf>
    <xf numFmtId="167" fontId="35" fillId="4" borderId="16" xfId="21" applyNumberFormat="1" applyFont="1" applyFill="1" applyBorder="1" applyAlignment="1" applyProtection="1" quotePrefix="1">
      <alignment horizontal="center"/>
      <protection/>
    </xf>
    <xf numFmtId="167" fontId="36" fillId="2" borderId="16" xfId="21" applyNumberFormat="1" applyFont="1" applyFill="1" applyBorder="1" applyAlignment="1" applyProtection="1" quotePrefix="1">
      <alignment horizontal="center"/>
      <protection/>
    </xf>
    <xf numFmtId="4" fontId="36" fillId="2" borderId="16" xfId="21" applyNumberFormat="1" applyFont="1" applyFill="1" applyBorder="1" applyAlignment="1">
      <alignment horizontal="center"/>
      <protection/>
    </xf>
    <xf numFmtId="4" fontId="34" fillId="5" borderId="16" xfId="21" applyNumberFormat="1" applyFont="1" applyFill="1" applyBorder="1" applyAlignment="1">
      <alignment horizontal="center"/>
      <protection/>
    </xf>
    <xf numFmtId="4" fontId="37" fillId="6" borderId="16" xfId="21" applyNumberFormat="1" applyFont="1" applyFill="1" applyBorder="1" applyAlignment="1">
      <alignment horizontal="center"/>
      <protection/>
    </xf>
    <xf numFmtId="4" fontId="38" fillId="7" borderId="16" xfId="21" applyNumberFormat="1" applyFont="1" applyFill="1" applyBorder="1" applyAlignment="1">
      <alignment horizontal="center"/>
      <protection/>
    </xf>
    <xf numFmtId="4" fontId="6" fillId="0" borderId="16" xfId="21" applyNumberFormat="1" applyFont="1" applyBorder="1" applyAlignment="1">
      <alignment horizontal="center"/>
      <protection/>
    </xf>
    <xf numFmtId="7" fontId="39" fillId="0" borderId="18" xfId="21" applyNumberFormat="1" applyFont="1" applyBorder="1" applyAlignment="1">
      <alignment horizontal="center"/>
      <protection/>
    </xf>
    <xf numFmtId="0" fontId="41" fillId="0" borderId="19" xfId="21" applyFont="1" applyBorder="1" applyAlignment="1">
      <alignment horizontal="center"/>
      <protection/>
    </xf>
    <xf numFmtId="0" fontId="42" fillId="0" borderId="0" xfId="21" applyFont="1" applyBorder="1" applyAlignment="1" applyProtection="1">
      <alignment horizontal="left"/>
      <protection/>
    </xf>
    <xf numFmtId="167" fontId="6" fillId="0" borderId="0" xfId="21" applyNumberFormat="1" applyFont="1" applyBorder="1" applyAlignment="1" applyProtection="1">
      <alignment horizontal="center"/>
      <protection/>
    </xf>
    <xf numFmtId="167" fontId="6" fillId="0" borderId="0" xfId="21" applyNumberFormat="1" applyFont="1" applyBorder="1" applyAlignment="1" applyProtection="1" quotePrefix="1">
      <alignment horizontal="center"/>
      <protection/>
    </xf>
    <xf numFmtId="2" fontId="34" fillId="3" borderId="11" xfId="21" applyNumberFormat="1" applyFont="1" applyFill="1" applyBorder="1" applyAlignment="1">
      <alignment horizontal="center"/>
      <protection/>
    </xf>
    <xf numFmtId="2" fontId="35" fillId="4" borderId="11" xfId="21" applyNumberFormat="1" applyFont="1" applyFill="1" applyBorder="1" applyAlignment="1">
      <alignment horizontal="center"/>
      <protection/>
    </xf>
    <xf numFmtId="167" fontId="36" fillId="2" borderId="11" xfId="21" applyNumberFormat="1" applyFont="1" applyFill="1" applyBorder="1" applyAlignment="1" applyProtection="1" quotePrefix="1">
      <alignment horizontal="center"/>
      <protection/>
    </xf>
    <xf numFmtId="167" fontId="34" fillId="5" borderId="11" xfId="21" applyNumberFormat="1" applyFont="1" applyFill="1" applyBorder="1" applyAlignment="1" applyProtection="1" quotePrefix="1">
      <alignment horizontal="center"/>
      <protection/>
    </xf>
    <xf numFmtId="167" fontId="37" fillId="6" borderId="11" xfId="21" applyNumberFormat="1" applyFont="1" applyFill="1" applyBorder="1" applyAlignment="1" applyProtection="1" quotePrefix="1">
      <alignment horizontal="center"/>
      <protection/>
    </xf>
    <xf numFmtId="167" fontId="38" fillId="7" borderId="11" xfId="21" applyNumberFormat="1" applyFont="1" applyFill="1" applyBorder="1" applyAlignment="1" applyProtection="1" quotePrefix="1">
      <alignment horizontal="center"/>
      <protection/>
    </xf>
    <xf numFmtId="4" fontId="5" fillId="0" borderId="0" xfId="21" applyNumberFormat="1" applyFont="1" applyBorder="1" applyAlignment="1">
      <alignment horizontal="center"/>
      <protection/>
    </xf>
    <xf numFmtId="8" fontId="2" fillId="0" borderId="11" xfId="21" applyNumberFormat="1" applyFont="1" applyBorder="1" applyAlignment="1" applyProtection="1">
      <alignment horizontal="right"/>
      <protection locked="0"/>
    </xf>
    <xf numFmtId="2" fontId="6" fillId="0" borderId="5" xfId="21" applyNumberFormat="1" applyFont="1" applyBorder="1" applyAlignment="1">
      <alignment horizontal="center"/>
      <protection/>
    </xf>
    <xf numFmtId="0" fontId="41" fillId="0" borderId="0" xfId="21" applyFont="1">
      <alignment/>
      <protection/>
    </xf>
    <xf numFmtId="0" fontId="41" fillId="0" borderId="4" xfId="21" applyFont="1" applyBorder="1">
      <alignment/>
      <protection/>
    </xf>
    <xf numFmtId="0" fontId="41" fillId="0" borderId="0" xfId="21" applyFont="1" applyBorder="1" applyAlignment="1">
      <alignment horizontal="center"/>
      <protection/>
    </xf>
    <xf numFmtId="0" fontId="42" fillId="0" borderId="0" xfId="21" applyFont="1" applyBorder="1" applyAlignment="1" applyProtection="1">
      <alignment horizontal="left" vertical="top"/>
      <protection/>
    </xf>
    <xf numFmtId="0" fontId="41" fillId="0" borderId="0" xfId="21" applyFont="1" applyBorder="1" applyAlignment="1" applyProtection="1">
      <alignment horizontal="center"/>
      <protection/>
    </xf>
    <xf numFmtId="2" fontId="41" fillId="0" borderId="0" xfId="21" applyNumberFormat="1" applyFont="1" applyBorder="1" applyAlignment="1" applyProtection="1">
      <alignment horizontal="center"/>
      <protection/>
    </xf>
    <xf numFmtId="167" fontId="41" fillId="0" borderId="0" xfId="21" applyNumberFormat="1" applyFont="1" applyBorder="1" applyAlignment="1" applyProtection="1">
      <alignment horizontal="center"/>
      <protection/>
    </xf>
    <xf numFmtId="167" fontId="41" fillId="0" borderId="0" xfId="21" applyNumberFormat="1" applyFont="1" applyBorder="1" applyAlignment="1" applyProtection="1" quotePrefix="1">
      <alignment horizontal="center"/>
      <protection/>
    </xf>
    <xf numFmtId="2" fontId="43" fillId="0" borderId="0" xfId="21" applyNumberFormat="1" applyFont="1" applyBorder="1" applyAlignment="1">
      <alignment horizontal="center"/>
      <protection/>
    </xf>
    <xf numFmtId="167" fontId="44" fillId="0" borderId="0" xfId="21" applyNumberFormat="1" applyFont="1" applyBorder="1" applyAlignment="1" applyProtection="1" quotePrefix="1">
      <alignment horizontal="center"/>
      <protection/>
    </xf>
    <xf numFmtId="4" fontId="44" fillId="0" borderId="0" xfId="21" applyNumberFormat="1" applyFont="1" applyBorder="1" applyAlignment="1">
      <alignment horizontal="center"/>
      <protection/>
    </xf>
    <xf numFmtId="8" fontId="45" fillId="0" borderId="0" xfId="21" applyNumberFormat="1" applyFont="1" applyBorder="1" applyAlignment="1" applyProtection="1">
      <alignment horizontal="right"/>
      <protection locked="0"/>
    </xf>
    <xf numFmtId="2" fontId="41" fillId="0" borderId="5" xfId="21" applyNumberFormat="1" applyFont="1" applyBorder="1" applyAlignment="1">
      <alignment horizontal="center"/>
      <protection/>
    </xf>
    <xf numFmtId="0" fontId="6" fillId="0" borderId="8" xfId="21" applyFont="1" applyBorder="1">
      <alignment/>
      <protection/>
    </xf>
    <xf numFmtId="0" fontId="6" fillId="0" borderId="9" xfId="21" applyFont="1" applyBorder="1">
      <alignment/>
      <protection/>
    </xf>
    <xf numFmtId="0" fontId="6" fillId="0" borderId="10" xfId="21" applyFont="1" applyBorder="1">
      <alignment/>
      <protection/>
    </xf>
    <xf numFmtId="0" fontId="1" fillId="0" borderId="0" xfId="21" applyBorder="1">
      <alignment/>
      <protection/>
    </xf>
    <xf numFmtId="0" fontId="8" fillId="0" borderId="0" xfId="21" applyFont="1" applyFill="1">
      <alignment/>
      <protection/>
    </xf>
    <xf numFmtId="0" fontId="8" fillId="0" borderId="0" xfId="21" applyFont="1" applyFill="1" applyAlignment="1">
      <alignment horizontal="centerContinuous"/>
      <protection/>
    </xf>
    <xf numFmtId="0" fontId="6" fillId="0" borderId="0" xfId="21" applyFont="1" applyFill="1" applyAlignment="1">
      <alignment horizontal="centerContinuous"/>
      <protection/>
    </xf>
    <xf numFmtId="0" fontId="4" fillId="0" borderId="0" xfId="21" applyFont="1" applyFill="1" applyBorder="1" applyAlignment="1" applyProtection="1">
      <alignment horizontal="centerContinuous"/>
      <protection/>
    </xf>
    <xf numFmtId="0" fontId="11" fillId="0" borderId="0" xfId="21" applyFont="1" applyFill="1" applyAlignment="1">
      <alignment horizontal="centerContinuous"/>
      <protection/>
    </xf>
    <xf numFmtId="0" fontId="11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6" fillId="0" borderId="1" xfId="21" applyFont="1" applyFill="1" applyBorder="1">
      <alignment/>
      <protection/>
    </xf>
    <xf numFmtId="0" fontId="6" fillId="0" borderId="2" xfId="21" applyFont="1" applyFill="1" applyBorder="1">
      <alignment/>
      <protection/>
    </xf>
    <xf numFmtId="0" fontId="6" fillId="0" borderId="3" xfId="21" applyFont="1" applyFill="1" applyBorder="1">
      <alignment/>
      <protection/>
    </xf>
    <xf numFmtId="0" fontId="23" fillId="0" borderId="4" xfId="21" applyFont="1" applyFill="1" applyBorder="1">
      <alignment/>
      <protection/>
    </xf>
    <xf numFmtId="0" fontId="23" fillId="0" borderId="0" xfId="21" applyFont="1" applyFill="1" applyBorder="1">
      <alignment/>
      <protection/>
    </xf>
    <xf numFmtId="0" fontId="24" fillId="0" borderId="0" xfId="21" applyFont="1" applyFill="1" applyBorder="1">
      <alignment/>
      <protection/>
    </xf>
    <xf numFmtId="0" fontId="23" fillId="0" borderId="0" xfId="21" applyFont="1" applyFill="1">
      <alignment/>
      <protection/>
    </xf>
    <xf numFmtId="0" fontId="23" fillId="0" borderId="5" xfId="21" applyFont="1" applyFill="1" applyBorder="1">
      <alignment/>
      <protection/>
    </xf>
    <xf numFmtId="0" fontId="6" fillId="0" borderId="4" xfId="21" applyFont="1" applyFill="1" applyBorder="1">
      <alignment/>
      <protection/>
    </xf>
    <xf numFmtId="0" fontId="6" fillId="0" borderId="5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24" fillId="0" borderId="0" xfId="21" applyFont="1" applyFill="1">
      <alignment/>
      <protection/>
    </xf>
    <xf numFmtId="0" fontId="23" fillId="0" borderId="0" xfId="21" applyFont="1" applyFill="1" applyBorder="1" applyProtection="1">
      <alignment/>
      <protection/>
    </xf>
    <xf numFmtId="0" fontId="6" fillId="0" borderId="0" xfId="21" applyFont="1" applyFill="1" applyBorder="1" applyAlignment="1" applyProtection="1">
      <alignment horizontal="left"/>
      <protection/>
    </xf>
    <xf numFmtId="164" fontId="6" fillId="0" borderId="0" xfId="21" applyNumberFormat="1" applyFont="1" applyFill="1" applyBorder="1" applyProtection="1">
      <alignment/>
      <protection/>
    </xf>
    <xf numFmtId="0" fontId="6" fillId="0" borderId="0" xfId="21" applyFont="1" applyFill="1" applyBorder="1" applyProtection="1">
      <alignment/>
      <protection/>
    </xf>
    <xf numFmtId="0" fontId="20" fillId="0" borderId="4" xfId="21" applyFont="1" applyFill="1" applyBorder="1" applyAlignment="1">
      <alignment horizontal="centerContinuous"/>
      <protection/>
    </xf>
    <xf numFmtId="0" fontId="20" fillId="0" borderId="0" xfId="21" applyFont="1" applyFill="1" applyBorder="1" applyAlignment="1">
      <alignment horizontal="centerContinuous"/>
      <protection/>
    </xf>
    <xf numFmtId="0" fontId="20" fillId="0" borderId="5" xfId="21" applyFont="1" applyFill="1" applyBorder="1" applyAlignment="1">
      <alignment horizontal="centerContinuous"/>
      <protection/>
    </xf>
    <xf numFmtId="0" fontId="6" fillId="0" borderId="0" xfId="21" applyFont="1" applyFill="1" applyBorder="1" applyAlignment="1">
      <alignment horizontal="center"/>
      <protection/>
    </xf>
    <xf numFmtId="0" fontId="22" fillId="0" borderId="0" xfId="21" applyFont="1" applyFill="1" applyBorder="1" applyAlignment="1">
      <alignment horizontal="left"/>
      <protection/>
    </xf>
    <xf numFmtId="0" fontId="1" fillId="0" borderId="6" xfId="21" applyFont="1" applyFill="1" applyBorder="1" applyAlignment="1" applyProtection="1">
      <alignment horizontal="left"/>
      <protection/>
    </xf>
    <xf numFmtId="0" fontId="1" fillId="0" borderId="19" xfId="21" applyFont="1" applyFill="1" applyBorder="1" applyAlignment="1" applyProtection="1">
      <alignment horizontal="center"/>
      <protection/>
    </xf>
    <xf numFmtId="0" fontId="1" fillId="0" borderId="19" xfId="21" applyFont="1" applyFill="1" applyBorder="1">
      <alignment/>
      <protection/>
    </xf>
    <xf numFmtId="0" fontId="1" fillId="0" borderId="11" xfId="21" applyFont="1" applyFill="1" applyBorder="1" applyAlignment="1">
      <alignment horizontal="center"/>
      <protection/>
    </xf>
    <xf numFmtId="0" fontId="1" fillId="0" borderId="6" xfId="21" applyFont="1" applyFill="1" applyBorder="1" applyAlignment="1" applyProtection="1" quotePrefix="1">
      <alignment horizontal="left"/>
      <protection/>
    </xf>
    <xf numFmtId="0" fontId="1" fillId="0" borderId="12" xfId="21" applyFont="1" applyFill="1" applyBorder="1" applyAlignment="1" applyProtection="1">
      <alignment horizontal="center"/>
      <protection/>
    </xf>
    <xf numFmtId="164" fontId="1" fillId="0" borderId="11" xfId="21" applyNumberFormat="1" applyFont="1" applyFill="1" applyBorder="1" applyAlignment="1" applyProtection="1">
      <alignment horizontal="center"/>
      <protection/>
    </xf>
    <xf numFmtId="0" fontId="6" fillId="0" borderId="0" xfId="21" applyFont="1" applyAlignment="1" applyProtection="1">
      <alignment/>
      <protection/>
    </xf>
    <xf numFmtId="22" fontId="6" fillId="0" borderId="0" xfId="21" applyNumberFormat="1" applyFont="1" applyFill="1" applyBorder="1">
      <alignment/>
      <protection/>
    </xf>
    <xf numFmtId="0" fontId="6" fillId="0" borderId="0" xfId="21" applyFont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25" fillId="0" borderId="11" xfId="21" applyFont="1" applyFill="1" applyBorder="1" applyAlignment="1" applyProtection="1">
      <alignment horizontal="center" vertical="center" wrapText="1"/>
      <protection/>
    </xf>
    <xf numFmtId="0" fontId="25" fillId="0" borderId="11" xfId="21" applyFont="1" applyFill="1" applyBorder="1" applyAlignment="1" applyProtection="1">
      <alignment horizontal="center" vertical="center"/>
      <protection/>
    </xf>
    <xf numFmtId="0" fontId="25" fillId="0" borderId="11" xfId="21" applyFont="1" applyFill="1" applyBorder="1" applyAlignment="1" applyProtection="1" quotePrefix="1">
      <alignment horizontal="center" vertical="center" wrapText="1"/>
      <protection/>
    </xf>
    <xf numFmtId="0" fontId="25" fillId="0" borderId="11" xfId="21" applyFont="1" applyFill="1" applyBorder="1" applyAlignment="1">
      <alignment horizontal="center" vertical="center" wrapText="1"/>
      <protection/>
    </xf>
    <xf numFmtId="0" fontId="26" fillId="2" borderId="11" xfId="21" applyFont="1" applyFill="1" applyBorder="1" applyAlignment="1" applyProtection="1">
      <alignment horizontal="center" vertical="center"/>
      <protection/>
    </xf>
    <xf numFmtId="0" fontId="32" fillId="7" borderId="11" xfId="21" applyFont="1" applyFill="1" applyBorder="1" applyAlignment="1" applyProtection="1">
      <alignment horizontal="center" vertical="center"/>
      <protection/>
    </xf>
    <xf numFmtId="0" fontId="28" fillId="5" borderId="11" xfId="21" applyFont="1" applyFill="1" applyBorder="1" applyAlignment="1">
      <alignment horizontal="center" vertical="center" wrapText="1"/>
      <protection/>
    </xf>
    <xf numFmtId="0" fontId="46" fillId="8" borderId="11" xfId="21" applyFont="1" applyFill="1" applyBorder="1" applyAlignment="1">
      <alignment horizontal="center" vertical="center" wrapText="1"/>
      <protection/>
    </xf>
    <xf numFmtId="0" fontId="46" fillId="9" borderId="6" xfId="21" applyFont="1" applyFill="1" applyBorder="1" applyAlignment="1" applyProtection="1">
      <alignment horizontal="centerContinuous" vertical="center" wrapText="1"/>
      <protection/>
    </xf>
    <xf numFmtId="0" fontId="46" fillId="9" borderId="7" xfId="21" applyFont="1" applyFill="1" applyBorder="1" applyAlignment="1">
      <alignment horizontal="centerContinuous" vertical="center"/>
      <protection/>
    </xf>
    <xf numFmtId="0" fontId="47" fillId="10" borderId="6" xfId="21" applyFont="1" applyFill="1" applyBorder="1" applyAlignment="1" applyProtection="1">
      <alignment horizontal="centerContinuous" vertical="center" wrapText="1"/>
      <protection/>
    </xf>
    <xf numFmtId="0" fontId="47" fillId="10" borderId="7" xfId="21" applyFont="1" applyFill="1" applyBorder="1" applyAlignment="1">
      <alignment horizontal="centerContinuous" vertical="center"/>
      <protection/>
    </xf>
    <xf numFmtId="0" fontId="31" fillId="11" borderId="11" xfId="21" applyFont="1" applyFill="1" applyBorder="1" applyAlignment="1">
      <alignment horizontal="center" vertical="center" wrapText="1"/>
      <protection/>
    </xf>
    <xf numFmtId="0" fontId="46" fillId="12" borderId="11" xfId="21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vertical="center"/>
      <protection/>
    </xf>
    <xf numFmtId="0" fontId="6" fillId="0" borderId="20" xfId="21" applyFont="1" applyFill="1" applyBorder="1" applyAlignment="1" applyProtection="1">
      <alignment horizontal="center"/>
      <protection locked="0"/>
    </xf>
    <xf numFmtId="0" fontId="6" fillId="0" borderId="13" xfId="21" applyFont="1" applyFill="1" applyBorder="1" applyAlignment="1" applyProtection="1">
      <alignment horizontal="center"/>
      <protection locked="0"/>
    </xf>
    <xf numFmtId="0" fontId="6" fillId="0" borderId="13" xfId="21" applyFont="1" applyFill="1" applyBorder="1" applyProtection="1">
      <alignment/>
      <protection locked="0"/>
    </xf>
    <xf numFmtId="0" fontId="48" fillId="2" borderId="13" xfId="21" applyFont="1" applyFill="1" applyBorder="1" applyProtection="1">
      <alignment/>
      <protection locked="0"/>
    </xf>
    <xf numFmtId="0" fontId="6" fillId="0" borderId="13" xfId="21" applyFont="1" applyFill="1" applyBorder="1" applyAlignment="1">
      <alignment horizontal="center"/>
      <protection/>
    </xf>
    <xf numFmtId="0" fontId="49" fillId="8" borderId="13" xfId="21" applyFont="1" applyFill="1" applyBorder="1" applyProtection="1">
      <alignment/>
      <protection locked="0"/>
    </xf>
    <xf numFmtId="0" fontId="49" fillId="9" borderId="21" xfId="21" applyFont="1" applyFill="1" applyBorder="1" applyAlignment="1" applyProtection="1">
      <alignment horizontal="center"/>
      <protection locked="0"/>
    </xf>
    <xf numFmtId="0" fontId="49" fillId="9" borderId="22" xfId="21" applyFont="1" applyFill="1" applyBorder="1" applyProtection="1">
      <alignment/>
      <protection locked="0"/>
    </xf>
    <xf numFmtId="0" fontId="50" fillId="10" borderId="21" xfId="21" applyFont="1" applyFill="1" applyBorder="1" applyAlignment="1" applyProtection="1">
      <alignment horizontal="center"/>
      <protection locked="0"/>
    </xf>
    <xf numFmtId="0" fontId="50" fillId="10" borderId="22" xfId="21" applyFont="1" applyFill="1" applyBorder="1" applyProtection="1">
      <alignment/>
      <protection locked="0"/>
    </xf>
    <xf numFmtId="0" fontId="37" fillId="11" borderId="13" xfId="21" applyFont="1" applyFill="1" applyBorder="1" applyProtection="1">
      <alignment/>
      <protection locked="0"/>
    </xf>
    <xf numFmtId="0" fontId="49" fillId="12" borderId="13" xfId="21" applyFont="1" applyFill="1" applyBorder="1" applyProtection="1">
      <alignment/>
      <protection locked="0"/>
    </xf>
    <xf numFmtId="0" fontId="39" fillId="0" borderId="13" xfId="21" applyFont="1" applyFill="1" applyBorder="1" applyAlignment="1">
      <alignment horizontal="right"/>
      <protection/>
    </xf>
    <xf numFmtId="0" fontId="6" fillId="0" borderId="23" xfId="21" applyFont="1" applyFill="1" applyBorder="1" applyAlignment="1" applyProtection="1">
      <alignment horizontal="center"/>
      <protection locked="0"/>
    </xf>
    <xf numFmtId="0" fontId="6" fillId="0" borderId="14" xfId="21" applyFont="1" applyFill="1" applyBorder="1" applyProtection="1">
      <alignment/>
      <protection locked="0"/>
    </xf>
    <xf numFmtId="0" fontId="48" fillId="2" borderId="14" xfId="21" applyFont="1" applyFill="1" applyBorder="1" applyProtection="1">
      <alignment/>
      <protection locked="0"/>
    </xf>
    <xf numFmtId="0" fontId="6" fillId="0" borderId="14" xfId="21" applyFont="1" applyFill="1" applyBorder="1" applyAlignment="1" applyProtection="1">
      <alignment horizontal="center"/>
      <protection locked="0"/>
    </xf>
    <xf numFmtId="0" fontId="6" fillId="0" borderId="14" xfId="21" applyFont="1" applyFill="1" applyBorder="1" applyAlignment="1">
      <alignment horizontal="center"/>
      <protection/>
    </xf>
    <xf numFmtId="0" fontId="49" fillId="8" borderId="14" xfId="21" applyFont="1" applyFill="1" applyBorder="1" applyProtection="1">
      <alignment/>
      <protection locked="0"/>
    </xf>
    <xf numFmtId="0" fontId="49" fillId="9" borderId="24" xfId="21" applyFont="1" applyFill="1" applyBorder="1" applyAlignment="1" applyProtection="1">
      <alignment horizontal="center"/>
      <protection locked="0"/>
    </xf>
    <xf numFmtId="0" fontId="49" fillId="9" borderId="25" xfId="21" applyFont="1" applyFill="1" applyBorder="1" applyProtection="1">
      <alignment/>
      <protection locked="0"/>
    </xf>
    <xf numFmtId="0" fontId="50" fillId="10" borderId="24" xfId="21" applyFont="1" applyFill="1" applyBorder="1" applyAlignment="1" applyProtection="1">
      <alignment horizontal="center"/>
      <protection locked="0"/>
    </xf>
    <xf numFmtId="0" fontId="50" fillId="10" borderId="25" xfId="21" applyFont="1" applyFill="1" applyBorder="1" applyProtection="1">
      <alignment/>
      <protection locked="0"/>
    </xf>
    <xf numFmtId="0" fontId="37" fillId="11" borderId="14" xfId="21" applyFont="1" applyFill="1" applyBorder="1" applyProtection="1">
      <alignment/>
      <protection locked="0"/>
    </xf>
    <xf numFmtId="0" fontId="49" fillId="12" borderId="14" xfId="21" applyFont="1" applyFill="1" applyBorder="1" applyProtection="1">
      <alignment/>
      <protection locked="0"/>
    </xf>
    <xf numFmtId="0" fontId="39" fillId="0" borderId="25" xfId="21" applyFont="1" applyFill="1" applyBorder="1" applyAlignment="1">
      <alignment horizontal="right"/>
      <protection/>
    </xf>
    <xf numFmtId="165" fontId="6" fillId="0" borderId="15" xfId="21" applyNumberFormat="1" applyFont="1" applyBorder="1" applyAlignment="1" applyProtection="1" quotePrefix="1">
      <alignment horizontal="center"/>
      <protection locked="0"/>
    </xf>
    <xf numFmtId="2" fontId="6" fillId="0" borderId="15" xfId="21" applyNumberFormat="1" applyFont="1" applyBorder="1" applyAlignment="1" applyProtection="1" quotePrefix="1">
      <alignment horizontal="center"/>
      <protection locked="0"/>
    </xf>
    <xf numFmtId="167" fontId="48" fillId="2" borderId="14" xfId="21" applyNumberFormat="1" applyFont="1" applyFill="1" applyBorder="1" applyAlignment="1" applyProtection="1">
      <alignment horizontal="center"/>
      <protection locked="0"/>
    </xf>
    <xf numFmtId="22" fontId="6" fillId="0" borderId="14" xfId="21" applyNumberFormat="1" applyFont="1" applyFill="1" applyBorder="1" applyAlignment="1" applyProtection="1">
      <alignment horizontal="center"/>
      <protection locked="0"/>
    </xf>
    <xf numFmtId="2" fontId="6" fillId="0" borderId="14" xfId="21" applyNumberFormat="1" applyFont="1" applyFill="1" applyBorder="1" applyAlignment="1" applyProtection="1">
      <alignment horizontal="center"/>
      <protection/>
    </xf>
    <xf numFmtId="3" fontId="6" fillId="0" borderId="14" xfId="21" applyNumberFormat="1" applyFont="1" applyFill="1" applyBorder="1" applyAlignment="1" applyProtection="1">
      <alignment horizontal="center"/>
      <protection/>
    </xf>
    <xf numFmtId="167" fontId="6" fillId="0" borderId="14" xfId="21" applyNumberFormat="1" applyFont="1" applyFill="1" applyBorder="1" applyAlignment="1" applyProtection="1">
      <alignment horizontal="center"/>
      <protection locked="0"/>
    </xf>
    <xf numFmtId="167" fontId="6" fillId="0" borderId="14" xfId="21" applyNumberFormat="1" applyFont="1" applyFill="1" applyBorder="1" applyAlignment="1" applyProtection="1" quotePrefix="1">
      <alignment horizontal="center"/>
      <protection locked="0"/>
    </xf>
    <xf numFmtId="2" fontId="34" fillId="5" borderId="14" xfId="21" applyNumberFormat="1" applyFont="1" applyFill="1" applyBorder="1" applyAlignment="1" applyProtection="1">
      <alignment horizontal="center"/>
      <protection locked="0"/>
    </xf>
    <xf numFmtId="2" fontId="49" fillId="8" borderId="14" xfId="21" applyNumberFormat="1" applyFont="1" applyFill="1" applyBorder="1" applyAlignment="1" applyProtection="1">
      <alignment horizontal="center"/>
      <protection locked="0"/>
    </xf>
    <xf numFmtId="167" fontId="49" fillId="9" borderId="24" xfId="21" applyNumberFormat="1" applyFont="1" applyFill="1" applyBorder="1" applyAlignment="1" applyProtection="1" quotePrefix="1">
      <alignment horizontal="center"/>
      <protection locked="0"/>
    </xf>
    <xf numFmtId="167" fontId="49" fillId="9" borderId="26" xfId="21" applyNumberFormat="1" applyFont="1" applyFill="1" applyBorder="1" applyAlignment="1" applyProtection="1" quotePrefix="1">
      <alignment horizontal="center"/>
      <protection locked="0"/>
    </xf>
    <xf numFmtId="167" fontId="50" fillId="10" borderId="24" xfId="21" applyNumberFormat="1" applyFont="1" applyFill="1" applyBorder="1" applyAlignment="1" applyProtection="1" quotePrefix="1">
      <alignment horizontal="center"/>
      <protection locked="0"/>
    </xf>
    <xf numFmtId="167" fontId="50" fillId="10" borderId="26" xfId="21" applyNumberFormat="1" applyFont="1" applyFill="1" applyBorder="1" applyAlignment="1" applyProtection="1" quotePrefix="1">
      <alignment horizontal="center"/>
      <protection locked="0"/>
    </xf>
    <xf numFmtId="167" fontId="37" fillId="11" borderId="14" xfId="21" applyNumberFormat="1" applyFont="1" applyFill="1" applyBorder="1" applyAlignment="1" applyProtection="1" quotePrefix="1">
      <alignment horizontal="center"/>
      <protection locked="0"/>
    </xf>
    <xf numFmtId="167" fontId="49" fillId="12" borderId="15" xfId="21" applyNumberFormat="1" applyFont="1" applyFill="1" applyBorder="1" applyAlignment="1" applyProtection="1" quotePrefix="1">
      <alignment horizontal="center"/>
      <protection locked="0"/>
    </xf>
    <xf numFmtId="167" fontId="39" fillId="0" borderId="25" xfId="21" applyNumberFormat="1" applyFont="1" applyFill="1" applyBorder="1" applyAlignment="1">
      <alignment horizontal="right"/>
      <protection/>
    </xf>
    <xf numFmtId="2" fontId="6" fillId="0" borderId="5" xfId="21" applyNumberFormat="1" applyFont="1" applyFill="1" applyBorder="1">
      <alignment/>
      <protection/>
    </xf>
    <xf numFmtId="0" fontId="6" fillId="0" borderId="16" xfId="21" applyFont="1" applyFill="1" applyBorder="1">
      <alignment/>
      <protection/>
    </xf>
    <xf numFmtId="0" fontId="48" fillId="2" borderId="16" xfId="21" applyFont="1" applyFill="1" applyBorder="1">
      <alignment/>
      <protection/>
    </xf>
    <xf numFmtId="0" fontId="38" fillId="7" borderId="16" xfId="21" applyFont="1" applyFill="1" applyBorder="1">
      <alignment/>
      <protection/>
    </xf>
    <xf numFmtId="0" fontId="34" fillId="5" borderId="16" xfId="21" applyFont="1" applyFill="1" applyBorder="1">
      <alignment/>
      <protection/>
    </xf>
    <xf numFmtId="0" fontId="49" fillId="8" borderId="16" xfId="21" applyFont="1" applyFill="1" applyBorder="1">
      <alignment/>
      <protection/>
    </xf>
    <xf numFmtId="0" fontId="49" fillId="9" borderId="27" xfId="21" applyFont="1" applyFill="1" applyBorder="1">
      <alignment/>
      <protection/>
    </xf>
    <xf numFmtId="0" fontId="49" fillId="9" borderId="28" xfId="21" applyFont="1" applyFill="1" applyBorder="1">
      <alignment/>
      <protection/>
    </xf>
    <xf numFmtId="0" fontId="50" fillId="10" borderId="27" xfId="21" applyFont="1" applyFill="1" applyBorder="1">
      <alignment/>
      <protection/>
    </xf>
    <xf numFmtId="0" fontId="50" fillId="10" borderId="28" xfId="21" applyFont="1" applyFill="1" applyBorder="1">
      <alignment/>
      <protection/>
    </xf>
    <xf numFmtId="0" fontId="37" fillId="11" borderId="16" xfId="21" applyFont="1" applyFill="1" applyBorder="1">
      <alignment/>
      <protection/>
    </xf>
    <xf numFmtId="0" fontId="49" fillId="12" borderId="16" xfId="21" applyFont="1" applyFill="1" applyBorder="1">
      <alignment/>
      <protection/>
    </xf>
    <xf numFmtId="0" fontId="39" fillId="0" borderId="18" xfId="21" applyFont="1" applyFill="1" applyBorder="1" applyAlignment="1">
      <alignment horizontal="right"/>
      <protection/>
    </xf>
    <xf numFmtId="7" fontId="34" fillId="5" borderId="11" xfId="21" applyNumberFormat="1" applyFont="1" applyFill="1" applyBorder="1" applyAlignment="1">
      <alignment horizontal="center"/>
      <protection/>
    </xf>
    <xf numFmtId="7" fontId="49" fillId="8" borderId="11" xfId="21" applyNumberFormat="1" applyFont="1" applyFill="1" applyBorder="1" applyAlignment="1">
      <alignment horizontal="center"/>
      <protection/>
    </xf>
    <xf numFmtId="7" fontId="49" fillId="9" borderId="11" xfId="21" applyNumberFormat="1" applyFont="1" applyFill="1" applyBorder="1" applyAlignment="1">
      <alignment horizontal="center"/>
      <protection/>
    </xf>
    <xf numFmtId="7" fontId="49" fillId="9" borderId="29" xfId="21" applyNumberFormat="1" applyFont="1" applyFill="1" applyBorder="1" applyAlignment="1">
      <alignment horizontal="center"/>
      <protection/>
    </xf>
    <xf numFmtId="7" fontId="50" fillId="10" borderId="11" xfId="21" applyNumberFormat="1" applyFont="1" applyFill="1" applyBorder="1" applyAlignment="1">
      <alignment horizontal="center"/>
      <protection/>
    </xf>
    <xf numFmtId="7" fontId="37" fillId="11" borderId="11" xfId="21" applyNumberFormat="1" applyFont="1" applyFill="1" applyBorder="1" applyAlignment="1">
      <alignment horizontal="center"/>
      <protection/>
    </xf>
    <xf numFmtId="7" fontId="49" fillId="12" borderId="11" xfId="21" applyNumberFormat="1" applyFont="1" applyFill="1" applyBorder="1" applyAlignment="1">
      <alignment horizontal="center"/>
      <protection/>
    </xf>
    <xf numFmtId="0" fontId="6" fillId="0" borderId="30" xfId="21" applyFont="1" applyFill="1" applyBorder="1">
      <alignment/>
      <protection/>
    </xf>
    <xf numFmtId="7" fontId="2" fillId="0" borderId="11" xfId="21" applyNumberFormat="1" applyFont="1" applyFill="1" applyBorder="1" applyAlignment="1" applyProtection="1">
      <alignment horizontal="right"/>
      <protection locked="0"/>
    </xf>
    <xf numFmtId="0" fontId="41" fillId="0" borderId="4" xfId="21" applyFont="1" applyFill="1" applyBorder="1">
      <alignment/>
      <protection/>
    </xf>
    <xf numFmtId="0" fontId="41" fillId="0" borderId="0" xfId="21" applyFont="1" applyFill="1" applyBorder="1">
      <alignment/>
      <protection/>
    </xf>
    <xf numFmtId="7" fontId="41" fillId="0" borderId="0" xfId="21" applyNumberFormat="1" applyFont="1" applyFill="1" applyBorder="1" applyAlignment="1">
      <alignment horizontal="center"/>
      <protection/>
    </xf>
    <xf numFmtId="7" fontId="41" fillId="0" borderId="0" xfId="21" applyNumberFormat="1" applyFont="1" applyFill="1" applyBorder="1" applyAlignment="1" applyProtection="1">
      <alignment horizontal="right"/>
      <protection locked="0"/>
    </xf>
    <xf numFmtId="0" fontId="41" fillId="0" borderId="5" xfId="21" applyFont="1" applyFill="1" applyBorder="1">
      <alignment/>
      <protection/>
    </xf>
    <xf numFmtId="0" fontId="6" fillId="0" borderId="8" xfId="21" applyFont="1" applyFill="1" applyBorder="1">
      <alignment/>
      <protection/>
    </xf>
    <xf numFmtId="0" fontId="6" fillId="0" borderId="9" xfId="21" applyFont="1" applyFill="1" applyBorder="1">
      <alignment/>
      <protection/>
    </xf>
    <xf numFmtId="0" fontId="6" fillId="0" borderId="1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8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/>
      <protection/>
    </xf>
    <xf numFmtId="0" fontId="51" fillId="0" borderId="0" xfId="21" applyFont="1" applyBorder="1">
      <alignment/>
      <protection/>
    </xf>
    <xf numFmtId="0" fontId="20" fillId="0" borderId="0" xfId="21" applyFont="1" applyFill="1" applyBorder="1" applyAlignment="1" applyProtection="1" quotePrefix="1">
      <alignment horizontal="centerContinuous"/>
      <protection locked="0"/>
    </xf>
    <xf numFmtId="0" fontId="1" fillId="0" borderId="6" xfId="21" applyFont="1" applyBorder="1" applyAlignment="1" applyProtection="1">
      <alignment horizontal="left"/>
      <protection/>
    </xf>
    <xf numFmtId="168" fontId="1" fillId="0" borderId="29" xfId="21" applyNumberFormat="1" applyFont="1" applyBorder="1" applyAlignment="1" applyProtection="1">
      <alignment horizontal="center"/>
      <protection/>
    </xf>
    <xf numFmtId="0" fontId="1" fillId="0" borderId="11" xfId="21" applyFont="1" applyBorder="1" applyAlignment="1">
      <alignment horizontal="center"/>
      <protection/>
    </xf>
    <xf numFmtId="22" fontId="6" fillId="0" borderId="0" xfId="21" applyNumberFormat="1" applyFont="1" applyBorder="1">
      <alignment/>
      <protection/>
    </xf>
    <xf numFmtId="0" fontId="1" fillId="0" borderId="6" xfId="21" applyFont="1" applyBorder="1">
      <alignment/>
      <protection/>
    </xf>
    <xf numFmtId="168" fontId="52" fillId="0" borderId="29" xfId="21" applyNumberFormat="1" applyFont="1" applyBorder="1" applyAlignment="1">
      <alignment horizontal="center"/>
      <protection/>
    </xf>
    <xf numFmtId="0" fontId="1" fillId="0" borderId="16" xfId="21" applyFont="1" applyBorder="1" applyAlignment="1">
      <alignment horizontal="center"/>
      <protection/>
    </xf>
    <xf numFmtId="168" fontId="6" fillId="0" borderId="0" xfId="21" applyNumberFormat="1" applyFont="1" applyBorder="1">
      <alignment/>
      <protection/>
    </xf>
    <xf numFmtId="0" fontId="6" fillId="0" borderId="0" xfId="21" applyFont="1" applyBorder="1" applyAlignment="1" quotePrefix="1">
      <alignment horizontal="center"/>
      <protection/>
    </xf>
    <xf numFmtId="0" fontId="1" fillId="0" borderId="6" xfId="21" applyFont="1" applyBorder="1" applyAlignment="1">
      <alignment horizontal="left"/>
      <protection/>
    </xf>
    <xf numFmtId="1" fontId="1" fillId="0" borderId="16" xfId="21" applyNumberFormat="1" applyFont="1" applyBorder="1" applyAlignment="1">
      <alignment horizontal="center"/>
      <protection/>
    </xf>
    <xf numFmtId="0" fontId="25" fillId="0" borderId="0" xfId="21" applyFont="1">
      <alignment/>
      <protection/>
    </xf>
    <xf numFmtId="0" fontId="25" fillId="0" borderId="4" xfId="21" applyFont="1" applyBorder="1">
      <alignment/>
      <protection/>
    </xf>
    <xf numFmtId="0" fontId="25" fillId="0" borderId="7" xfId="21" applyFont="1" applyFill="1" applyBorder="1" applyAlignment="1" applyProtection="1">
      <alignment horizontal="center" vertical="center"/>
      <protection/>
    </xf>
    <xf numFmtId="0" fontId="25" fillId="0" borderId="12" xfId="21" applyFont="1" applyFill="1" applyBorder="1" applyAlignment="1">
      <alignment horizontal="center" vertical="center" wrapText="1"/>
      <protection/>
    </xf>
    <xf numFmtId="0" fontId="46" fillId="12" borderId="11" xfId="21" applyFont="1" applyFill="1" applyBorder="1" applyAlignment="1" applyProtection="1">
      <alignment horizontal="center" vertical="center"/>
      <protection/>
    </xf>
    <xf numFmtId="0" fontId="53" fillId="11" borderId="11" xfId="21" applyFont="1" applyFill="1" applyBorder="1" applyAlignment="1">
      <alignment horizontal="center" vertical="center" wrapText="1"/>
      <protection/>
    </xf>
    <xf numFmtId="0" fontId="46" fillId="10" borderId="6" xfId="21" applyFont="1" applyFill="1" applyBorder="1" applyAlignment="1" applyProtection="1">
      <alignment horizontal="centerContinuous" vertical="center" wrapText="1"/>
      <protection/>
    </xf>
    <xf numFmtId="0" fontId="46" fillId="10" borderId="7" xfId="21" applyFont="1" applyFill="1" applyBorder="1" applyAlignment="1">
      <alignment horizontal="centerContinuous" vertical="center"/>
      <protection/>
    </xf>
    <xf numFmtId="0" fontId="28" fillId="13" borderId="11" xfId="21" applyFont="1" applyFill="1" applyBorder="1" applyAlignment="1">
      <alignment horizontal="center" vertical="center" wrapText="1"/>
      <protection/>
    </xf>
    <xf numFmtId="0" fontId="25" fillId="0" borderId="5" xfId="21" applyFont="1" applyFill="1" applyBorder="1">
      <alignment/>
      <protection/>
    </xf>
    <xf numFmtId="164" fontId="6" fillId="0" borderId="14" xfId="21" applyNumberFormat="1" applyFont="1" applyFill="1" applyBorder="1" applyAlignment="1" applyProtection="1">
      <alignment horizontal="center"/>
      <protection locked="0"/>
    </xf>
    <xf numFmtId="0" fontId="33" fillId="2" borderId="13" xfId="21" applyFont="1" applyFill="1" applyBorder="1" applyAlignment="1" applyProtection="1">
      <alignment horizontal="center"/>
      <protection locked="0"/>
    </xf>
    <xf numFmtId="0" fontId="6" fillId="0" borderId="25" xfId="21" applyFont="1" applyFill="1" applyBorder="1" applyAlignment="1" applyProtection="1">
      <alignment horizontal="center"/>
      <protection locked="0"/>
    </xf>
    <xf numFmtId="0" fontId="54" fillId="12" borderId="13" xfId="21" applyFont="1" applyFill="1" applyBorder="1" applyAlignment="1" applyProtection="1">
      <alignment horizontal="center"/>
      <protection locked="0"/>
    </xf>
    <xf numFmtId="0" fontId="55" fillId="11" borderId="13" xfId="21" applyFont="1" applyFill="1" applyBorder="1" applyAlignment="1" applyProtection="1">
      <alignment horizontal="center"/>
      <protection locked="0"/>
    </xf>
    <xf numFmtId="167" fontId="49" fillId="10" borderId="21" xfId="21" applyNumberFormat="1" applyFont="1" applyFill="1" applyBorder="1" applyAlignment="1" applyProtection="1" quotePrefix="1">
      <alignment horizontal="center"/>
      <protection locked="0"/>
    </xf>
    <xf numFmtId="167" fontId="49" fillId="10" borderId="31" xfId="21" applyNumberFormat="1" applyFont="1" applyFill="1" applyBorder="1" applyAlignment="1" applyProtection="1" quotePrefix="1">
      <alignment horizontal="center"/>
      <protection locked="0"/>
    </xf>
    <xf numFmtId="167" fontId="34" fillId="13" borderId="13" xfId="21" applyNumberFormat="1" applyFont="1" applyFill="1" applyBorder="1" applyAlignment="1" applyProtection="1" quotePrefix="1">
      <alignment horizontal="center"/>
      <protection locked="0"/>
    </xf>
    <xf numFmtId="0" fontId="6" fillId="0" borderId="23" xfId="21" applyFont="1" applyFill="1" applyBorder="1" applyAlignment="1" applyProtection="1">
      <alignment horizontal="left"/>
      <protection locked="0"/>
    </xf>
    <xf numFmtId="0" fontId="39" fillId="0" borderId="14" xfId="21" applyFont="1" applyFill="1" applyBorder="1" applyAlignment="1">
      <alignment horizontal="center"/>
      <protection/>
    </xf>
    <xf numFmtId="0" fontId="56" fillId="0" borderId="23" xfId="21" applyFont="1" applyFill="1" applyBorder="1" applyAlignment="1" applyProtection="1">
      <alignment horizontal="center"/>
      <protection locked="0"/>
    </xf>
    <xf numFmtId="169" fontId="5" fillId="0" borderId="14" xfId="21" applyNumberFormat="1" applyFont="1" applyFill="1" applyBorder="1" applyAlignment="1" applyProtection="1">
      <alignment horizontal="center"/>
      <protection locked="0"/>
    </xf>
    <xf numFmtId="168" fontId="33" fillId="2" borderId="14" xfId="21" applyNumberFormat="1" applyFont="1" applyFill="1" applyBorder="1" applyAlignment="1" applyProtection="1">
      <alignment horizontal="center"/>
      <protection locked="0"/>
    </xf>
    <xf numFmtId="22" fontId="6" fillId="0" borderId="15" xfId="21" applyNumberFormat="1" applyFont="1" applyFill="1" applyBorder="1" applyAlignment="1" applyProtection="1">
      <alignment horizontal="center"/>
      <protection locked="0"/>
    </xf>
    <xf numFmtId="22" fontId="6" fillId="0" borderId="26" xfId="21" applyNumberFormat="1" applyFont="1" applyFill="1" applyBorder="1" applyAlignment="1" applyProtection="1">
      <alignment horizontal="center"/>
      <protection locked="0"/>
    </xf>
    <xf numFmtId="164" fontId="6" fillId="0" borderId="14" xfId="21" applyNumberFormat="1" applyFont="1" applyFill="1" applyBorder="1" applyAlignment="1" applyProtection="1" quotePrefix="1">
      <alignment horizontal="center"/>
      <protection/>
    </xf>
    <xf numFmtId="164" fontId="54" fillId="12" borderId="14" xfId="21" applyNumberFormat="1" applyFont="1" applyFill="1" applyBorder="1" applyAlignment="1" applyProtection="1">
      <alignment horizontal="center"/>
      <protection locked="0"/>
    </xf>
    <xf numFmtId="2" fontId="55" fillId="11" borderId="14" xfId="21" applyNumberFormat="1" applyFont="1" applyFill="1" applyBorder="1" applyAlignment="1" applyProtection="1">
      <alignment horizontal="center"/>
      <protection locked="0"/>
    </xf>
    <xf numFmtId="167" fontId="49" fillId="10" borderId="24" xfId="21" applyNumberFormat="1" applyFont="1" applyFill="1" applyBorder="1" applyAlignment="1" applyProtection="1" quotePrefix="1">
      <alignment horizontal="center"/>
      <protection locked="0"/>
    </xf>
    <xf numFmtId="167" fontId="49" fillId="10" borderId="26" xfId="21" applyNumberFormat="1" applyFont="1" applyFill="1" applyBorder="1" applyAlignment="1" applyProtection="1" quotePrefix="1">
      <alignment horizontal="center"/>
      <protection locked="0"/>
    </xf>
    <xf numFmtId="167" fontId="34" fillId="13" borderId="14" xfId="21" applyNumberFormat="1" applyFont="1" applyFill="1" applyBorder="1" applyAlignment="1" applyProtection="1" quotePrefix="1">
      <alignment horizontal="center"/>
      <protection locked="0"/>
    </xf>
    <xf numFmtId="167" fontId="6" fillId="0" borderId="23" xfId="21" applyNumberFormat="1" applyFont="1" applyFill="1" applyBorder="1" applyAlignment="1" applyProtection="1">
      <alignment horizontal="center"/>
      <protection locked="0"/>
    </xf>
    <xf numFmtId="167" fontId="39" fillId="0" borderId="14" xfId="21" applyNumberFormat="1" applyFont="1" applyFill="1" applyBorder="1" applyAlignment="1">
      <alignment horizontal="center"/>
      <protection/>
    </xf>
    <xf numFmtId="169" fontId="5" fillId="0" borderId="14" xfId="21" applyNumberFormat="1" applyFont="1" applyFill="1" applyBorder="1" applyAlignment="1" applyProtection="1" quotePrefix="1">
      <alignment horizontal="center"/>
      <protection locked="0"/>
    </xf>
    <xf numFmtId="167" fontId="39" fillId="0" borderId="14" xfId="21" applyNumberFormat="1" applyFont="1" applyFill="1" applyBorder="1" applyAlignment="1">
      <alignment horizontal="right"/>
      <protection/>
    </xf>
    <xf numFmtId="0" fontId="33" fillId="2" borderId="16" xfId="21" applyFont="1" applyFill="1" applyBorder="1">
      <alignment/>
      <protection/>
    </xf>
    <xf numFmtId="0" fontId="54" fillId="12" borderId="16" xfId="21" applyFont="1" applyFill="1" applyBorder="1">
      <alignment/>
      <protection/>
    </xf>
    <xf numFmtId="0" fontId="55" fillId="11" borderId="16" xfId="21" applyFont="1" applyFill="1" applyBorder="1">
      <alignment/>
      <protection/>
    </xf>
    <xf numFmtId="0" fontId="49" fillId="10" borderId="27" xfId="21" applyFont="1" applyFill="1" applyBorder="1">
      <alignment/>
      <protection/>
    </xf>
    <xf numFmtId="0" fontId="49" fillId="10" borderId="28" xfId="21" applyFont="1" applyFill="1" applyBorder="1">
      <alignment/>
      <protection/>
    </xf>
    <xf numFmtId="0" fontId="34" fillId="13" borderId="16" xfId="21" applyFont="1" applyFill="1" applyBorder="1">
      <alignment/>
      <protection/>
    </xf>
    <xf numFmtId="0" fontId="39" fillId="0" borderId="18" xfId="21" applyFont="1" applyFill="1" applyBorder="1">
      <alignment/>
      <protection/>
    </xf>
    <xf numFmtId="2" fontId="55" fillId="11" borderId="11" xfId="21" applyNumberFormat="1" applyFont="1" applyFill="1" applyBorder="1" applyAlignment="1">
      <alignment horizontal="center"/>
      <protection/>
    </xf>
    <xf numFmtId="2" fontId="49" fillId="10" borderId="11" xfId="21" applyNumberFormat="1" applyFont="1" applyFill="1" applyBorder="1" applyAlignment="1">
      <alignment horizontal="center"/>
      <protection/>
    </xf>
    <xf numFmtId="2" fontId="34" fillId="13" borderId="11" xfId="21" applyNumberFormat="1" applyFont="1" applyFill="1" applyBorder="1" applyAlignment="1">
      <alignment horizontal="center"/>
      <protection/>
    </xf>
    <xf numFmtId="7" fontId="6" fillId="0" borderId="0" xfId="21" applyNumberFormat="1" applyFont="1" applyFill="1" applyBorder="1" applyAlignment="1">
      <alignment horizontal="center"/>
      <protection/>
    </xf>
    <xf numFmtId="7" fontId="2" fillId="0" borderId="11" xfId="21" applyNumberFormat="1" applyFont="1" applyFill="1" applyBorder="1" applyAlignment="1" applyProtection="1">
      <alignment horizontal="right"/>
      <protection locked="0"/>
    </xf>
    <xf numFmtId="7" fontId="45" fillId="0" borderId="0" xfId="21" applyNumberFormat="1" applyFont="1" applyFill="1" applyBorder="1" applyAlignment="1" applyProtection="1">
      <alignment horizontal="center"/>
      <protection locked="0"/>
    </xf>
    <xf numFmtId="0" fontId="1" fillId="0" borderId="0" xfId="21" applyFont="1">
      <alignment/>
      <protection/>
    </xf>
    <xf numFmtId="0" fontId="57" fillId="0" borderId="0" xfId="21" applyFont="1" applyAlignment="1">
      <alignment horizontal="right" vertical="top"/>
      <protection/>
    </xf>
    <xf numFmtId="0" fontId="57" fillId="0" borderId="0" xfId="21" applyFont="1" applyFill="1" applyAlignment="1">
      <alignment horizontal="right" vertical="top"/>
      <protection/>
    </xf>
    <xf numFmtId="0" fontId="21" fillId="0" borderId="0" xfId="21" applyFont="1" applyBorder="1" applyAlignment="1">
      <alignment horizontal="center"/>
      <protection/>
    </xf>
    <xf numFmtId="0" fontId="58" fillId="0" borderId="0" xfId="21" applyNumberFormat="1" applyFont="1" applyBorder="1" applyAlignment="1">
      <alignment horizontal="left"/>
      <protection/>
    </xf>
    <xf numFmtId="0" fontId="6" fillId="0" borderId="23" xfId="21" applyFont="1" applyFill="1" applyBorder="1" applyProtection="1">
      <alignment/>
      <protection locked="0"/>
    </xf>
    <xf numFmtId="0" fontId="25" fillId="0" borderId="11" xfId="0" applyFont="1" applyBorder="1" applyAlignment="1">
      <alignment horizontal="center" vertical="center"/>
    </xf>
    <xf numFmtId="0" fontId="1" fillId="2" borderId="32" xfId="0" applyFont="1" applyFill="1" applyBorder="1"/>
    <xf numFmtId="0" fontId="1" fillId="0" borderId="0" xfId="0" applyFont="1"/>
    <xf numFmtId="0" fontId="1" fillId="0" borderId="32" xfId="0" applyFont="1" applyBorder="1"/>
    <xf numFmtId="0" fontId="1" fillId="0" borderId="32" xfId="0" applyFont="1" applyBorder="1" quotePrefix="1"/>
    <xf numFmtId="0" fontId="59" fillId="2" borderId="32" xfId="0" applyFont="1" applyFill="1" applyBorder="1" applyAlignment="1">
      <alignment horizontal="center"/>
    </xf>
    <xf numFmtId="0" fontId="1" fillId="14" borderId="0" xfId="0" applyFont="1" applyFill="1"/>
    <xf numFmtId="0" fontId="1" fillId="14" borderId="0" xfId="0" applyNumberFormat="1" applyFont="1" applyFill="1"/>
    <xf numFmtId="0" fontId="59" fillId="0" borderId="32" xfId="0" applyFont="1" applyFill="1" applyBorder="1" applyAlignment="1">
      <alignment horizontal="center"/>
    </xf>
    <xf numFmtId="0" fontId="1" fillId="14" borderId="0" xfId="20" applyFont="1" applyFill="1" applyAlignment="1">
      <alignment/>
      <protection/>
    </xf>
    <xf numFmtId="0" fontId="1" fillId="0" borderId="0" xfId="0" applyFont="1" applyFill="1"/>
    <xf numFmtId="0" fontId="7" fillId="0" borderId="32" xfId="0" applyFont="1" applyBorder="1"/>
    <xf numFmtId="0" fontId="7" fillId="0" borderId="32" xfId="0" applyFont="1" applyFill="1" applyBorder="1"/>
    <xf numFmtId="0" fontId="7" fillId="0" borderId="33" xfId="0" applyFont="1" applyBorder="1"/>
    <xf numFmtId="0" fontId="60" fillId="0" borderId="32" xfId="0" applyFont="1" applyFill="1" applyBorder="1"/>
    <xf numFmtId="0" fontId="60" fillId="0" borderId="33" xfId="0" applyFont="1" applyFill="1" applyBorder="1"/>
    <xf numFmtId="168" fontId="1" fillId="0" borderId="29" xfId="21" applyNumberFormat="1" applyFont="1" applyBorder="1" applyAlignment="1">
      <alignment horizontal="center"/>
      <protection/>
    </xf>
    <xf numFmtId="0" fontId="54" fillId="0" borderId="0" xfId="21" applyFont="1" applyBorder="1">
      <alignment/>
      <protection/>
    </xf>
    <xf numFmtId="0" fontId="54" fillId="0" borderId="0" xfId="21" applyFont="1" applyFill="1" applyBorder="1">
      <alignment/>
      <protection/>
    </xf>
    <xf numFmtId="0" fontId="62" fillId="0" borderId="0" xfId="21" applyFont="1" applyBorder="1" applyAlignment="1">
      <alignment horizontal="left"/>
      <protection/>
    </xf>
    <xf numFmtId="0" fontId="21" fillId="0" borderId="0" xfId="21" applyNumberFormat="1" applyFont="1" applyBorder="1" applyAlignment="1">
      <alignment/>
      <protection/>
    </xf>
    <xf numFmtId="0" fontId="21" fillId="0" borderId="0" xfId="21" applyNumberFormat="1" applyFont="1" applyBorder="1" applyAlignment="1">
      <alignment horizontal="left"/>
      <protection/>
    </xf>
    <xf numFmtId="0" fontId="4" fillId="0" borderId="0" xfId="21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omahue" xfId="20"/>
    <cellStyle name="Normal_Cuyo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6149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0</xdr:col>
      <xdr:colOff>1076325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025" y="0"/>
          <a:ext cx="49530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42</xdr:row>
          <xdr:rowOff>0</xdr:rowOff>
        </xdr:from>
        <xdr:to>
          <xdr:col>2</xdr:col>
          <xdr:colOff>0</xdr:colOff>
          <xdr:row>43</xdr:row>
          <xdr:rowOff>9525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0</xdr:col>
      <xdr:colOff>1047750</xdr:colOff>
      <xdr:row>2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" y="0"/>
          <a:ext cx="48577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47</xdr:row>
          <xdr:rowOff>0</xdr:rowOff>
        </xdr:from>
        <xdr:to>
          <xdr:col>2</xdr:col>
          <xdr:colOff>0</xdr:colOff>
          <xdr:row>48</xdr:row>
          <xdr:rowOff>9525</xdr:rowOff>
        </xdr:to>
        <xdr:sp macro="" textlink="">
          <xdr:nvSpPr>
            <xdr:cNvPr id="12289" name="Button 1" hidden="1">
              <a:extLst xmlns:a="http://schemas.openxmlformats.org/drawingml/2006/main"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" y="0"/>
          <a:ext cx="4762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85725</xdr:colOff>
          <xdr:row>42</xdr:row>
          <xdr:rowOff>0</xdr:rowOff>
        </xdr:from>
        <xdr:to>
          <xdr:col>2</xdr:col>
          <xdr:colOff>0</xdr:colOff>
          <xdr:row>43</xdr:row>
          <xdr:rowOff>9525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3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/C:\Documents%20and%20Settings\aperez\Configuraci&#243;n%20local\Temp\7zO34.tmp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S44"/>
  <sheetViews>
    <sheetView tabSelected="1" zoomScale="80" zoomScaleNormal="80" workbookViewId="0" topLeftCell="A1">
      <selection activeCell="B3" sqref="B3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23.421875" style="10" customWidth="1"/>
    <col min="6" max="7" width="17.7109375" style="10" customWidth="1"/>
    <col min="8" max="8" width="16.140625" style="10" customWidth="1"/>
    <col min="9" max="9" width="20.140625" style="10" customWidth="1"/>
    <col min="10" max="10" width="10.42187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4"/>
    </row>
    <row r="2" spans="2:10" s="6" customFormat="1" ht="26.25">
      <c r="B2" s="7" t="s">
        <v>189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421" t="s">
        <v>3</v>
      </c>
      <c r="B4" s="42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421" t="s">
        <v>4</v>
      </c>
      <c r="B5" s="421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188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148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s="17" customFormat="1" ht="8.25" customHeight="1">
      <c r="B19" s="36"/>
      <c r="C19" s="41"/>
      <c r="D19" s="42"/>
      <c r="E19" s="22"/>
      <c r="F19" s="38"/>
      <c r="G19" s="38"/>
      <c r="H19" s="38"/>
      <c r="J19" s="39"/>
      <c r="K19" s="22"/>
      <c r="L19" s="22"/>
      <c r="M19" s="22"/>
      <c r="N19" s="22"/>
      <c r="O19" s="22"/>
      <c r="P19" s="22"/>
      <c r="Q19" s="22"/>
      <c r="R19" s="22"/>
      <c r="S19" s="22"/>
    </row>
    <row r="20" spans="2:19" s="17" customFormat="1" ht="19.5">
      <c r="B20" s="36"/>
      <c r="C20" s="41"/>
      <c r="D20" s="419" t="s">
        <v>146</v>
      </c>
      <c r="E20" s="51" t="s">
        <v>147</v>
      </c>
      <c r="F20" s="38"/>
      <c r="G20" s="38"/>
      <c r="H20" s="38"/>
      <c r="I20" s="43">
        <f>'LI-04 (1)'!AA43</f>
        <v>14050.06</v>
      </c>
      <c r="J20" s="39"/>
      <c r="K20" s="22"/>
      <c r="L20" s="22"/>
      <c r="M20" s="22"/>
      <c r="N20" s="22"/>
      <c r="O20" s="22"/>
      <c r="P20" s="22"/>
      <c r="Q20" s="22"/>
      <c r="R20" s="22"/>
      <c r="S20" s="22"/>
    </row>
    <row r="21" spans="2:19" s="17" customFormat="1" ht="13.5" customHeight="1">
      <c r="B21" s="36"/>
      <c r="C21" s="41"/>
      <c r="D21" s="419"/>
      <c r="E21" s="22"/>
      <c r="F21" s="38"/>
      <c r="G21" s="38"/>
      <c r="H21" s="38"/>
      <c r="I21" s="43"/>
      <c r="J21" s="39"/>
      <c r="K21" s="22"/>
      <c r="L21" s="22"/>
      <c r="M21" s="22"/>
      <c r="N21" s="22"/>
      <c r="O21" s="22"/>
      <c r="P21" s="22"/>
      <c r="Q21" s="22"/>
      <c r="R21" s="22"/>
      <c r="S21" s="22"/>
    </row>
    <row r="22" spans="2:19" ht="13.5">
      <c r="B22" s="44"/>
      <c r="C22" s="45"/>
      <c r="D22" s="46"/>
      <c r="E22" s="12"/>
      <c r="F22" s="47"/>
      <c r="G22" s="47"/>
      <c r="H22" s="47"/>
      <c r="I22" s="48"/>
      <c r="J22" s="49"/>
      <c r="K22" s="12"/>
      <c r="L22" s="12"/>
      <c r="M22" s="12"/>
      <c r="N22" s="12"/>
      <c r="O22" s="12"/>
      <c r="P22" s="12"/>
      <c r="Q22" s="12"/>
      <c r="R22" s="12"/>
      <c r="S22" s="12"/>
    </row>
    <row r="23" spans="2:19" s="17" customFormat="1" ht="19.5">
      <c r="B23" s="36"/>
      <c r="C23" s="41" t="s">
        <v>7</v>
      </c>
      <c r="D23" s="42" t="s">
        <v>8</v>
      </c>
      <c r="E23" s="22"/>
      <c r="F23" s="38"/>
      <c r="G23" s="38"/>
      <c r="H23" s="38"/>
      <c r="I23" s="43"/>
      <c r="J23" s="39"/>
      <c r="K23" s="22"/>
      <c r="L23" s="22"/>
      <c r="M23" s="22"/>
      <c r="N23" s="22"/>
      <c r="O23" s="22"/>
      <c r="P23" s="22"/>
      <c r="Q23" s="22"/>
      <c r="R23" s="22"/>
      <c r="S23" s="22"/>
    </row>
    <row r="24" spans="2:19" ht="7.5" customHeight="1">
      <c r="B24" s="44"/>
      <c r="C24" s="45"/>
      <c r="D24" s="45"/>
      <c r="E24" s="12"/>
      <c r="F24" s="47"/>
      <c r="G24" s="47"/>
      <c r="H24" s="47"/>
      <c r="I24" s="50"/>
      <c r="J24" s="49"/>
      <c r="K24" s="12"/>
      <c r="L24" s="12"/>
      <c r="M24" s="12"/>
      <c r="N24" s="12"/>
      <c r="O24" s="12"/>
      <c r="P24" s="12"/>
      <c r="Q24" s="12"/>
      <c r="R24" s="12"/>
      <c r="S24" s="12"/>
    </row>
    <row r="25" spans="2:19" s="17" customFormat="1" ht="19.5">
      <c r="B25" s="36"/>
      <c r="C25" s="41"/>
      <c r="D25" s="420" t="s">
        <v>9</v>
      </c>
      <c r="E25" s="51" t="s">
        <v>10</v>
      </c>
      <c r="F25" s="38"/>
      <c r="G25" s="38"/>
      <c r="H25" s="38"/>
      <c r="I25" s="43">
        <f>'T-04 (1)'!AC48</f>
        <v>2317.75</v>
      </c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ht="10.5" customHeight="1">
      <c r="B26" s="44"/>
      <c r="C26" s="45"/>
      <c r="D26" s="45"/>
      <c r="E26" s="12"/>
      <c r="F26" s="47"/>
      <c r="G26" s="47"/>
      <c r="H26" s="47"/>
      <c r="I26" s="50"/>
      <c r="J26" s="49"/>
      <c r="K26" s="12"/>
      <c r="L26" s="12"/>
      <c r="M26" s="12"/>
      <c r="N26" s="12"/>
      <c r="O26" s="12"/>
      <c r="P26" s="12"/>
      <c r="Q26" s="12"/>
      <c r="R26" s="12"/>
      <c r="S26" s="12"/>
    </row>
    <row r="27" spans="2:19" s="17" customFormat="1" ht="19.5">
      <c r="B27" s="36"/>
      <c r="C27" s="41"/>
      <c r="D27" s="420" t="s">
        <v>11</v>
      </c>
      <c r="E27" s="51" t="s">
        <v>12</v>
      </c>
      <c r="F27" s="38"/>
      <c r="G27" s="38"/>
      <c r="H27" s="38"/>
      <c r="I27" s="43">
        <f>'SA-04 (1)'!V43</f>
        <v>8074.79</v>
      </c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19.5">
      <c r="B28" s="36"/>
      <c r="C28" s="41"/>
      <c r="D28" s="420"/>
      <c r="E28" s="51"/>
      <c r="F28" s="38"/>
      <c r="G28" s="38"/>
      <c r="H28" s="38"/>
      <c r="I28" s="43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20.25" thickBot="1">
      <c r="B29" s="36"/>
      <c r="C29" s="37"/>
      <c r="D29" s="37"/>
      <c r="E29" s="22"/>
      <c r="F29" s="38"/>
      <c r="G29" s="38"/>
      <c r="H29" s="38"/>
      <c r="I29" s="22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20.25" thickBot="1" thickTop="1">
      <c r="B30" s="36"/>
      <c r="C30" s="41"/>
      <c r="D30" s="41"/>
      <c r="F30" s="52" t="s">
        <v>13</v>
      </c>
      <c r="G30" s="53">
        <f>SUM(I20:I28)</f>
        <v>24442.6</v>
      </c>
      <c r="H30" s="54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17" customFormat="1" ht="19.5" thickTop="1">
      <c r="B31" s="36"/>
      <c r="C31" s="41"/>
      <c r="D31" s="41"/>
      <c r="F31" s="396"/>
      <c r="G31" s="54"/>
      <c r="H31" s="54"/>
      <c r="J31" s="39"/>
      <c r="K31" s="22"/>
      <c r="L31" s="22"/>
      <c r="M31" s="22"/>
      <c r="N31" s="22"/>
      <c r="O31" s="22"/>
      <c r="P31" s="22"/>
      <c r="Q31" s="22"/>
      <c r="R31" s="22"/>
      <c r="S31" s="22"/>
    </row>
    <row r="32" spans="2:19" s="17" customFormat="1" ht="18.75">
      <c r="B32" s="36"/>
      <c r="C32" s="397" t="s">
        <v>137</v>
      </c>
      <c r="D32" s="41"/>
      <c r="F32" s="396"/>
      <c r="G32" s="54"/>
      <c r="H32" s="54"/>
      <c r="J32" s="39"/>
      <c r="K32" s="22"/>
      <c r="L32" s="22"/>
      <c r="M32" s="22"/>
      <c r="N32" s="22"/>
      <c r="O32" s="22"/>
      <c r="P32" s="22"/>
      <c r="Q32" s="22"/>
      <c r="R32" s="22"/>
      <c r="S32" s="22"/>
    </row>
    <row r="33" spans="2:19" s="24" customFormat="1" ht="16.5" thickBot="1">
      <c r="B33" s="55"/>
      <c r="C33" s="56"/>
      <c r="D33" s="56"/>
      <c r="E33" s="57"/>
      <c r="F33" s="57"/>
      <c r="G33" s="57"/>
      <c r="H33" s="57"/>
      <c r="I33" s="57"/>
      <c r="J33" s="58"/>
      <c r="K33" s="26"/>
      <c r="L33" s="26"/>
      <c r="M33" s="59"/>
      <c r="N33" s="60"/>
      <c r="O33" s="60"/>
      <c r="P33" s="61"/>
      <c r="Q33" s="62"/>
      <c r="R33" s="26"/>
      <c r="S33" s="26"/>
    </row>
    <row r="34" spans="4:19" ht="13.5" thickTop="1">
      <c r="D34" s="12"/>
      <c r="F34" s="12"/>
      <c r="G34" s="12"/>
      <c r="H34" s="12"/>
      <c r="I34" s="12"/>
      <c r="J34" s="12"/>
      <c r="K34" s="12"/>
      <c r="L34" s="12"/>
      <c r="M34" s="63"/>
      <c r="N34" s="64"/>
      <c r="O34" s="64"/>
      <c r="P34" s="12"/>
      <c r="Q34" s="4"/>
      <c r="R34" s="12"/>
      <c r="S34" s="12"/>
    </row>
    <row r="35" spans="4:19" ht="12.75">
      <c r="D35" s="12"/>
      <c r="F35" s="12"/>
      <c r="G35" s="12"/>
      <c r="H35" s="12"/>
      <c r="I35" s="12"/>
      <c r="J35" s="12"/>
      <c r="K35" s="12"/>
      <c r="L35" s="12"/>
      <c r="M35" s="12"/>
      <c r="N35" s="65"/>
      <c r="O35" s="65"/>
      <c r="P35" s="66"/>
      <c r="Q35" s="4"/>
      <c r="R35" s="12"/>
      <c r="S35" s="12"/>
    </row>
    <row r="36" spans="4:19" ht="12.75"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65"/>
      <c r="O36" s="65"/>
      <c r="P36" s="66"/>
      <c r="Q36" s="4"/>
      <c r="R36" s="12"/>
      <c r="S36" s="12"/>
    </row>
    <row r="37" spans="4:19" ht="12.75">
      <c r="D37" s="12"/>
      <c r="E37" s="12"/>
      <c r="L37" s="12"/>
      <c r="M37" s="12"/>
      <c r="N37" s="12"/>
      <c r="O37" s="12"/>
      <c r="P37" s="12"/>
      <c r="Q37" s="12"/>
      <c r="R37" s="12"/>
      <c r="S37" s="12"/>
    </row>
    <row r="38" spans="4:19" ht="12.75">
      <c r="D38" s="12"/>
      <c r="E38" s="12"/>
      <c r="P38" s="12"/>
      <c r="Q38" s="12"/>
      <c r="R38" s="12"/>
      <c r="S38" s="12"/>
    </row>
    <row r="39" spans="4:19" ht="12.75">
      <c r="D39" s="12"/>
      <c r="E39" s="12"/>
      <c r="P39" s="12"/>
      <c r="Q39" s="12"/>
      <c r="R39" s="12"/>
      <c r="S39" s="12"/>
    </row>
    <row r="40" spans="4:19" ht="12.75">
      <c r="D40" s="12"/>
      <c r="E40" s="12"/>
      <c r="P40" s="12"/>
      <c r="Q40" s="12"/>
      <c r="R40" s="12"/>
      <c r="S40" s="12"/>
    </row>
    <row r="41" spans="4:19" ht="12.75">
      <c r="D41" s="12"/>
      <c r="E41" s="12"/>
      <c r="P41" s="12"/>
      <c r="Q41" s="12"/>
      <c r="R41" s="12"/>
      <c r="S41" s="12"/>
    </row>
    <row r="42" spans="4:19" ht="12.75">
      <c r="D42" s="12"/>
      <c r="E42" s="12"/>
      <c r="P42" s="12"/>
      <c r="Q42" s="12"/>
      <c r="R42" s="12"/>
      <c r="S42" s="12"/>
    </row>
    <row r="43" spans="16:19" ht="12.75">
      <c r="P43" s="12"/>
      <c r="Q43" s="12"/>
      <c r="R43" s="12"/>
      <c r="S43" s="12"/>
    </row>
    <row r="44" spans="16:19" ht="12.75">
      <c r="P44" s="12"/>
      <c r="Q44" s="12"/>
      <c r="R44" s="12"/>
      <c r="S44" s="12"/>
    </row>
  </sheetData>
  <mergeCells count="2">
    <mergeCell ref="A4:B4"/>
    <mergeCell ref="A5:B5"/>
  </mergeCells>
  <printOptions/>
  <pageMargins left="0.25" right="0.25" top="0.75" bottom="0.75" header="0.3" footer="0.3"/>
  <pageSetup fitToHeight="1" fitToWidth="1" horizontalDpi="600" verticalDpi="600" orientation="landscape" paperSize="9" scale="96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>
    <pageSetUpPr fitToPage="1"/>
  </sheetPr>
  <dimension ref="A1:AB91"/>
  <sheetViews>
    <sheetView zoomScale="80" zoomScaleNormal="80" workbookViewId="0" topLeftCell="A13">
      <selection activeCell="A12" sqref="A12"/>
    </sheetView>
  </sheetViews>
  <sheetFormatPr defaultColWidth="11.421875" defaultRowHeight="12.75"/>
  <cols>
    <col min="1" max="1" width="18.14062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0.28125" style="1" hidden="1" customWidth="1"/>
    <col min="10" max="10" width="16.140625" style="1" customWidth="1"/>
    <col min="11" max="11" width="16.28125" style="1" customWidth="1"/>
    <col min="12" max="14" width="9.7109375" style="1" customWidth="1"/>
    <col min="15" max="15" width="8.7109375" style="1" customWidth="1"/>
    <col min="16" max="17" width="11.57421875" style="1" hidden="1" customWidth="1"/>
    <col min="18" max="23" width="5.7109375" style="1" hidden="1" customWidth="1"/>
    <col min="24" max="25" width="11.5742187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4"/>
    </row>
    <row r="2" spans="2:28" s="6" customFormat="1" ht="26.25">
      <c r="B2" s="67" t="str">
        <f>+'TOT-0416'!B2</f>
        <v>ANEXO V al Memorándum D.T.E.E. N°         639    /2016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69" t="s">
        <v>3</v>
      </c>
      <c r="B4" s="69"/>
    </row>
    <row r="5" spans="1:2" s="13" customFormat="1" ht="11.25">
      <c r="A5" s="69" t="s">
        <v>4</v>
      </c>
      <c r="B5" s="69"/>
    </row>
    <row r="6" s="10" customFormat="1" ht="17.1" customHeight="1" thickBot="1"/>
    <row r="7" spans="2:28" s="10" customFormat="1" ht="17.1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2:28" s="73" customFormat="1" ht="20.25">
      <c r="B8" s="74"/>
      <c r="F8" s="75" t="s">
        <v>14</v>
      </c>
      <c r="G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</row>
    <row r="9" spans="2:28" s="10" customFormat="1" ht="17.1" customHeight="1">
      <c r="B9" s="44"/>
      <c r="F9" s="78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3" customFormat="1" ht="20.25">
      <c r="B10" s="74"/>
      <c r="F10" s="75" t="s">
        <v>15</v>
      </c>
      <c r="G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2:28" s="73" customFormat="1" ht="8.25" customHeight="1">
      <c r="B11" s="74"/>
      <c r="F11" s="75"/>
      <c r="G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</row>
    <row r="12" spans="2:28" s="10" customFormat="1" ht="17.1" customHeight="1">
      <c r="B12" s="44"/>
      <c r="C12" s="78"/>
      <c r="D12" s="78"/>
      <c r="E12" s="78"/>
      <c r="F12" s="75" t="s">
        <v>145</v>
      </c>
      <c r="G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49"/>
    </row>
    <row r="13" spans="2:28" s="17" customFormat="1" ht="19.5">
      <c r="B13" s="31" t="str">
        <f>+'TOT-0416'!B14</f>
        <v>Desde el 01 al 30 de abril de 2016</v>
      </c>
      <c r="C13" s="79"/>
      <c r="D13" s="79"/>
      <c r="E13" s="79"/>
      <c r="F13" s="34"/>
      <c r="G13" s="34"/>
      <c r="H13" s="80"/>
      <c r="I13" s="81"/>
      <c r="J13" s="80"/>
      <c r="K13" s="81"/>
      <c r="L13" s="81"/>
      <c r="M13" s="81"/>
      <c r="N13" s="81"/>
      <c r="O13" s="81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82"/>
    </row>
    <row r="14" spans="2:28" s="10" customFormat="1" ht="17.1" customHeight="1" thickBot="1">
      <c r="B14" s="44"/>
      <c r="C14" s="12"/>
      <c r="D14" s="12"/>
      <c r="E14" s="12"/>
      <c r="F14" s="12"/>
      <c r="G14" s="83"/>
      <c r="H14" s="84"/>
      <c r="I14" s="85"/>
      <c r="J14" s="85"/>
      <c r="K14" s="85"/>
      <c r="L14" s="85"/>
      <c r="M14" s="85"/>
      <c r="N14" s="85"/>
      <c r="O14" s="8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7.1" customHeight="1" thickBot="1" thickTop="1">
      <c r="B15" s="44"/>
      <c r="C15" s="12"/>
      <c r="D15" s="12"/>
      <c r="E15" s="12"/>
      <c r="F15" s="86" t="s">
        <v>16</v>
      </c>
      <c r="G15" s="87">
        <v>572.392</v>
      </c>
      <c r="H15" s="88"/>
      <c r="I15" s="85"/>
      <c r="J15" s="85"/>
      <c r="K15" s="85"/>
      <c r="L15" s="85"/>
      <c r="M15" s="85"/>
      <c r="N15" s="85"/>
      <c r="O15" s="8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7.1" customHeight="1" thickBot="1" thickTop="1">
      <c r="B16" s="44"/>
      <c r="C16" s="12"/>
      <c r="D16" s="12"/>
      <c r="E16" s="12"/>
      <c r="F16" s="86" t="s">
        <v>17</v>
      </c>
      <c r="G16" s="87">
        <v>546.955</v>
      </c>
      <c r="H16" s="89"/>
      <c r="I16" s="12"/>
      <c r="J16" s="90"/>
      <c r="K16" s="91" t="s">
        <v>18</v>
      </c>
      <c r="L16" s="92">
        <f>30*'TOT-0416'!B13</f>
        <v>30</v>
      </c>
      <c r="M16" s="93" t="str">
        <f>IF(L16=30," ",IF(L16=60,"Coeficiente duplicado por tasa de falla &gt;4 Sal. x año/100 km.","REVISAR COEFICIENTE"))</f>
        <v xml:space="preserve"> 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7.1" customHeight="1" thickBot="1" thickTop="1">
      <c r="B17" s="44"/>
      <c r="C17" s="12"/>
      <c r="D17" s="12"/>
      <c r="E17" s="12"/>
      <c r="F17" s="86" t="s">
        <v>19</v>
      </c>
      <c r="G17" s="87" t="s">
        <v>133</v>
      </c>
      <c r="H17" s="89"/>
      <c r="I17" s="12"/>
      <c r="J17" s="12"/>
      <c r="K17" s="12"/>
      <c r="L17" s="50"/>
      <c r="M17" s="94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49"/>
    </row>
    <row r="18" spans="2:28" s="10" customFormat="1" ht="17.1" customHeight="1" thickBot="1" thickTop="1">
      <c r="B18" s="44"/>
      <c r="C18" s="12"/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6">
        <v>10</v>
      </c>
      <c r="K18" s="416">
        <v>11</v>
      </c>
      <c r="L18" s="416">
        <v>12</v>
      </c>
      <c r="M18" s="416">
        <v>13</v>
      </c>
      <c r="N18" s="416">
        <v>14</v>
      </c>
      <c r="O18" s="416">
        <v>15</v>
      </c>
      <c r="P18" s="416">
        <v>16</v>
      </c>
      <c r="Q18" s="416">
        <v>17</v>
      </c>
      <c r="R18" s="416">
        <v>18</v>
      </c>
      <c r="S18" s="416">
        <v>19</v>
      </c>
      <c r="T18" s="416">
        <v>20</v>
      </c>
      <c r="U18" s="416">
        <v>21</v>
      </c>
      <c r="V18" s="416">
        <v>22</v>
      </c>
      <c r="W18" s="416">
        <v>23</v>
      </c>
      <c r="X18" s="416">
        <v>24</v>
      </c>
      <c r="Y18" s="416">
        <v>25</v>
      </c>
      <c r="Z18" s="416">
        <v>26</v>
      </c>
      <c r="AA18" s="416">
        <v>27</v>
      </c>
      <c r="AB18" s="49"/>
    </row>
    <row r="19" spans="2:28" s="95" customFormat="1" ht="35.1" customHeight="1" thickBot="1" thickTop="1">
      <c r="B19" s="96"/>
      <c r="C19" s="399" t="s">
        <v>20</v>
      </c>
      <c r="D19" s="399" t="s">
        <v>74</v>
      </c>
      <c r="E19" s="399" t="s">
        <v>75</v>
      </c>
      <c r="F19" s="97" t="s">
        <v>2</v>
      </c>
      <c r="G19" s="98" t="s">
        <v>21</v>
      </c>
      <c r="H19" s="98" t="s">
        <v>22</v>
      </c>
      <c r="I19" s="99" t="s">
        <v>23</v>
      </c>
      <c r="J19" s="97" t="s">
        <v>24</v>
      </c>
      <c r="K19" s="97" t="s">
        <v>25</v>
      </c>
      <c r="L19" s="98" t="s">
        <v>26</v>
      </c>
      <c r="M19" s="98" t="s">
        <v>27</v>
      </c>
      <c r="N19" s="98" t="s">
        <v>72</v>
      </c>
      <c r="O19" s="98" t="s">
        <v>28</v>
      </c>
      <c r="P19" s="100" t="s">
        <v>29</v>
      </c>
      <c r="Q19" s="101" t="s">
        <v>30</v>
      </c>
      <c r="R19" s="102" t="s">
        <v>31</v>
      </c>
      <c r="S19" s="103"/>
      <c r="T19" s="104"/>
      <c r="U19" s="105" t="s">
        <v>32</v>
      </c>
      <c r="V19" s="106"/>
      <c r="W19" s="107"/>
      <c r="X19" s="108" t="s">
        <v>33</v>
      </c>
      <c r="Y19" s="109" t="s">
        <v>34</v>
      </c>
      <c r="Z19" s="110" t="s">
        <v>35</v>
      </c>
      <c r="AA19" s="110" t="s">
        <v>36</v>
      </c>
      <c r="AB19" s="111"/>
    </row>
    <row r="20" spans="2:28" s="10" customFormat="1" ht="17.1" customHeight="1" thickTop="1">
      <c r="B20" s="44"/>
      <c r="C20" s="112"/>
      <c r="D20" s="112"/>
      <c r="E20" s="112"/>
      <c r="F20" s="113"/>
      <c r="G20" s="112"/>
      <c r="H20" s="112"/>
      <c r="I20" s="114"/>
      <c r="J20" s="112"/>
      <c r="K20" s="113"/>
      <c r="L20" s="115"/>
      <c r="M20" s="115"/>
      <c r="N20" s="112"/>
      <c r="O20" s="112"/>
      <c r="P20" s="116"/>
      <c r="Q20" s="117"/>
      <c r="R20" s="118"/>
      <c r="S20" s="119"/>
      <c r="T20" s="119"/>
      <c r="U20" s="120"/>
      <c r="V20" s="120"/>
      <c r="W20" s="120"/>
      <c r="X20" s="121"/>
      <c r="Y20" s="122"/>
      <c r="Z20" s="112"/>
      <c r="AA20" s="123"/>
      <c r="AB20" s="49"/>
    </row>
    <row r="21" spans="2:28" s="10" customFormat="1" ht="17.1" customHeight="1">
      <c r="B21" s="44"/>
      <c r="C21" s="124"/>
      <c r="D21" s="124"/>
      <c r="E21" s="124"/>
      <c r="F21" s="125"/>
      <c r="G21" s="125"/>
      <c r="H21" s="124"/>
      <c r="I21" s="126"/>
      <c r="J21" s="124"/>
      <c r="K21" s="127"/>
      <c r="L21" s="128"/>
      <c r="M21" s="128"/>
      <c r="N21" s="124"/>
      <c r="O21" s="124"/>
      <c r="P21" s="129"/>
      <c r="Q21" s="130"/>
      <c r="R21" s="131"/>
      <c r="S21" s="132"/>
      <c r="T21" s="132"/>
      <c r="U21" s="133"/>
      <c r="V21" s="133"/>
      <c r="W21" s="133"/>
      <c r="X21" s="134"/>
      <c r="Y21" s="135"/>
      <c r="Z21" s="124"/>
      <c r="AA21" s="136"/>
      <c r="AB21" s="49"/>
    </row>
    <row r="22" spans="2:28" s="10" customFormat="1" ht="17.1" customHeight="1">
      <c r="B22" s="44"/>
      <c r="C22" s="127">
        <v>1</v>
      </c>
      <c r="D22" s="127">
        <v>300789</v>
      </c>
      <c r="E22" s="127">
        <v>714</v>
      </c>
      <c r="F22" s="125" t="s">
        <v>139</v>
      </c>
      <c r="G22" s="125">
        <v>132</v>
      </c>
      <c r="H22" s="137">
        <v>122.12999725341797</v>
      </c>
      <c r="I22" s="138">
        <f aca="true" t="shared" si="0" ref="I22:I41">IF(G22=220,$G$15*IF(H22&gt;25,H22,25),IF(G22=132,$G$16*IF(H22&gt;25,+H22,25),$G$17*IF(H22&gt;25,H22,25)))/100</f>
        <v>667.9961264774323</v>
      </c>
      <c r="J22" s="139">
        <v>42461.35833333333</v>
      </c>
      <c r="K22" s="139">
        <v>42461.731944444444</v>
      </c>
      <c r="L22" s="140">
        <f aca="true" t="shared" si="1" ref="L22:L41">IF(F22="","",(K22-J22)*24)</f>
        <v>8.966666666732635</v>
      </c>
      <c r="M22" s="141">
        <f>IF(F22="","",ROUND((K22-J22)*24*60,0))</f>
        <v>538</v>
      </c>
      <c r="N22" s="142" t="s">
        <v>130</v>
      </c>
      <c r="O22" s="143" t="str">
        <f aca="true" t="shared" si="2" ref="O22:O27">IF(F22="","","--")</f>
        <v>--</v>
      </c>
      <c r="P22" s="144">
        <f aca="true" t="shared" si="3" ref="P22:P29">IF(N22="P",ROUND(M22/60,2)*I22*$L$16*0.01,"--")</f>
        <v>1797.5775763507706</v>
      </c>
      <c r="Q22" s="145" t="str">
        <f aca="true" t="shared" si="4" ref="Q22:Q40">IF(N22="RP",ROUND(M22/60,2)*I22*$L$16*0.01*O22/100,"--")</f>
        <v>--</v>
      </c>
      <c r="R22" s="146" t="str">
        <f aca="true" t="shared" si="5" ref="R22:R37">IF(N22="F",I22*$L$16,"--")</f>
        <v>--</v>
      </c>
      <c r="S22" s="146" t="str">
        <f aca="true" t="shared" si="6" ref="S22:S41">IF(AND(M22&gt;10,N22="F"),$L$16*I22*IF(M22&gt;180,3,ROUND((M22)/60,2)),"--")</f>
        <v>--</v>
      </c>
      <c r="T22" s="147" t="str">
        <f aca="true" t="shared" si="7" ref="T22:T41">IF(AND(N22="F",M22&gt;180),(ROUND(M22/60,2)-3)*I22*$L$16*0.1,"--")</f>
        <v>--</v>
      </c>
      <c r="U22" s="148" t="str">
        <f aca="true" t="shared" si="8" ref="U22:U41">IF(N22="R",I22*$L$16*O22/100,"--")</f>
        <v>--</v>
      </c>
      <c r="V22" s="148" t="str">
        <f aca="true" t="shared" si="9" ref="V22:V41">IF(AND(M22&gt;10,N22="R"),$L$16*I22*O22/100*IF(M22&gt;180,3,ROUND((M22)/60,2)),"--")</f>
        <v>--</v>
      </c>
      <c r="W22" s="149" t="str">
        <f aca="true" t="shared" si="10" ref="W22:W41">IF(AND(N22="R",M22&gt;180),(ROUND(M22/60,2)-3)*I22*$L$16*0.1*O22/100,"--")</f>
        <v>--</v>
      </c>
      <c r="X22" s="150" t="str">
        <f aca="true" t="shared" si="11" ref="X22:X41">IF(N22="RF",ROUND(M22/60,2)*I22*$L$16*0.1,"--")</f>
        <v>--</v>
      </c>
      <c r="Y22" s="151" t="str">
        <f aca="true" t="shared" si="12" ref="Y22:Y41">IF(N22="RR",ROUND(M22/60,2)*I22*$L$16*0.1*O22/100,"--")</f>
        <v>--</v>
      </c>
      <c r="Z22" s="152" t="str">
        <f aca="true" t="shared" si="13" ref="Z22:Z41">IF(F22="","","SI")</f>
        <v>SI</v>
      </c>
      <c r="AA22" s="153">
        <f>IF(F22="","",SUM(P22:Y22)*IF(Z22="SI",1,2))</f>
        <v>1797.5775763507706</v>
      </c>
      <c r="AB22" s="154"/>
    </row>
    <row r="23" spans="2:28" s="10" customFormat="1" ht="17.1" customHeight="1">
      <c r="B23" s="44"/>
      <c r="C23" s="127">
        <v>2</v>
      </c>
      <c r="D23" s="127">
        <v>300791</v>
      </c>
      <c r="E23" s="127">
        <v>4662</v>
      </c>
      <c r="F23" s="125" t="s">
        <v>138</v>
      </c>
      <c r="G23" s="125">
        <v>132</v>
      </c>
      <c r="H23" s="137">
        <v>54.4</v>
      </c>
      <c r="I23" s="138">
        <f t="shared" si="0"/>
        <v>297.54352</v>
      </c>
      <c r="J23" s="139">
        <v>42462.34027777778</v>
      </c>
      <c r="K23" s="139">
        <v>42462.504166666666</v>
      </c>
      <c r="L23" s="140">
        <f t="shared" si="1"/>
        <v>3.93333333323244</v>
      </c>
      <c r="M23" s="141">
        <f aca="true" t="shared" si="14" ref="M23:M29">IF(F23="","",ROUND((K23-J23)*24*60,0))</f>
        <v>236</v>
      </c>
      <c r="N23" s="142" t="s">
        <v>130</v>
      </c>
      <c r="O23" s="143" t="str">
        <f t="shared" si="2"/>
        <v>--</v>
      </c>
      <c r="P23" s="144">
        <f t="shared" si="3"/>
        <v>350.80381008000006</v>
      </c>
      <c r="Q23" s="145" t="str">
        <f t="shared" si="4"/>
        <v>--</v>
      </c>
      <c r="R23" s="146" t="str">
        <f t="shared" si="5"/>
        <v>--</v>
      </c>
      <c r="S23" s="146" t="str">
        <f t="shared" si="6"/>
        <v>--</v>
      </c>
      <c r="T23" s="147" t="str">
        <f t="shared" si="7"/>
        <v>--</v>
      </c>
      <c r="U23" s="148" t="str">
        <f t="shared" si="8"/>
        <v>--</v>
      </c>
      <c r="V23" s="148" t="str">
        <f t="shared" si="9"/>
        <v>--</v>
      </c>
      <c r="W23" s="149" t="str">
        <f t="shared" si="10"/>
        <v>--</v>
      </c>
      <c r="X23" s="150" t="str">
        <f t="shared" si="11"/>
        <v>--</v>
      </c>
      <c r="Y23" s="151" t="str">
        <f t="shared" si="12"/>
        <v>--</v>
      </c>
      <c r="Z23" s="152" t="str">
        <f t="shared" si="13"/>
        <v>SI</v>
      </c>
      <c r="AA23" s="153">
        <f aca="true" t="shared" si="15" ref="AA23:AA41">IF(F23="","",SUM(P23:Y23)*IF(Z23="SI",1,2))</f>
        <v>350.80381008000006</v>
      </c>
      <c r="AB23" s="154"/>
    </row>
    <row r="24" spans="2:28" s="10" customFormat="1" ht="17.1" customHeight="1">
      <c r="B24" s="44"/>
      <c r="C24" s="127">
        <v>3</v>
      </c>
      <c r="D24" s="127">
        <v>300792</v>
      </c>
      <c r="E24" s="127">
        <v>4661</v>
      </c>
      <c r="F24" s="125" t="s">
        <v>149</v>
      </c>
      <c r="G24" s="125">
        <v>132</v>
      </c>
      <c r="H24" s="137">
        <v>130.1999969482422</v>
      </c>
      <c r="I24" s="138">
        <f t="shared" si="0"/>
        <v>712.135393308258</v>
      </c>
      <c r="J24" s="139">
        <v>42462.52638888889</v>
      </c>
      <c r="K24" s="139">
        <v>42462.782638888886</v>
      </c>
      <c r="L24" s="140">
        <f t="shared" si="1"/>
        <v>6.149999999965075</v>
      </c>
      <c r="M24" s="141">
        <f t="shared" si="14"/>
        <v>369</v>
      </c>
      <c r="N24" s="142" t="s">
        <v>130</v>
      </c>
      <c r="O24" s="143" t="str">
        <f t="shared" si="2"/>
        <v>--</v>
      </c>
      <c r="P24" s="144">
        <f t="shared" si="3"/>
        <v>1313.8898006537358</v>
      </c>
      <c r="Q24" s="145" t="str">
        <f t="shared" si="4"/>
        <v>--</v>
      </c>
      <c r="R24" s="146" t="str">
        <f t="shared" si="5"/>
        <v>--</v>
      </c>
      <c r="S24" s="146" t="str">
        <f t="shared" si="6"/>
        <v>--</v>
      </c>
      <c r="T24" s="147" t="str">
        <f t="shared" si="7"/>
        <v>--</v>
      </c>
      <c r="U24" s="148" t="str">
        <f t="shared" si="8"/>
        <v>--</v>
      </c>
      <c r="V24" s="148" t="str">
        <f t="shared" si="9"/>
        <v>--</v>
      </c>
      <c r="W24" s="149" t="str">
        <f t="shared" si="10"/>
        <v>--</v>
      </c>
      <c r="X24" s="150" t="str">
        <f t="shared" si="11"/>
        <v>--</v>
      </c>
      <c r="Y24" s="151" t="str">
        <f t="shared" si="12"/>
        <v>--</v>
      </c>
      <c r="Z24" s="152" t="str">
        <f t="shared" si="13"/>
        <v>SI</v>
      </c>
      <c r="AA24" s="153">
        <f t="shared" si="15"/>
        <v>1313.8898006537358</v>
      </c>
      <c r="AB24" s="154"/>
    </row>
    <row r="25" spans="2:28" s="10" customFormat="1" ht="17.1" customHeight="1">
      <c r="B25" s="44"/>
      <c r="C25" s="127">
        <v>4</v>
      </c>
      <c r="D25" s="127">
        <v>301042</v>
      </c>
      <c r="E25" s="127">
        <v>714</v>
      </c>
      <c r="F25" s="125" t="s">
        <v>139</v>
      </c>
      <c r="G25" s="125">
        <v>132</v>
      </c>
      <c r="H25" s="137">
        <v>122.12999725341797</v>
      </c>
      <c r="I25" s="138">
        <f t="shared" si="0"/>
        <v>667.9961264774323</v>
      </c>
      <c r="J25" s="139">
        <v>42464.42569444444</v>
      </c>
      <c r="K25" s="139">
        <v>42464.720138888886</v>
      </c>
      <c r="L25" s="140">
        <f t="shared" si="1"/>
        <v>7.066666666651145</v>
      </c>
      <c r="M25" s="141">
        <f t="shared" si="14"/>
        <v>424</v>
      </c>
      <c r="N25" s="142" t="s">
        <v>130</v>
      </c>
      <c r="O25" s="143" t="str">
        <f t="shared" si="2"/>
        <v>--</v>
      </c>
      <c r="P25" s="144">
        <f t="shared" si="3"/>
        <v>1416.819784258634</v>
      </c>
      <c r="Q25" s="145" t="str">
        <f t="shared" si="4"/>
        <v>--</v>
      </c>
      <c r="R25" s="146" t="str">
        <f t="shared" si="5"/>
        <v>--</v>
      </c>
      <c r="S25" s="146" t="str">
        <f t="shared" si="6"/>
        <v>--</v>
      </c>
      <c r="T25" s="147" t="str">
        <f t="shared" si="7"/>
        <v>--</v>
      </c>
      <c r="U25" s="148" t="str">
        <f t="shared" si="8"/>
        <v>--</v>
      </c>
      <c r="V25" s="148" t="str">
        <f t="shared" si="9"/>
        <v>--</v>
      </c>
      <c r="W25" s="149" t="str">
        <f t="shared" si="10"/>
        <v>--</v>
      </c>
      <c r="X25" s="150" t="str">
        <f t="shared" si="11"/>
        <v>--</v>
      </c>
      <c r="Y25" s="151" t="str">
        <f t="shared" si="12"/>
        <v>--</v>
      </c>
      <c r="Z25" s="152" t="str">
        <f t="shared" si="13"/>
        <v>SI</v>
      </c>
      <c r="AA25" s="153">
        <f t="shared" si="15"/>
        <v>1416.819784258634</v>
      </c>
      <c r="AB25" s="154"/>
    </row>
    <row r="26" spans="2:28" s="10" customFormat="1" ht="17.1" customHeight="1">
      <c r="B26" s="44"/>
      <c r="C26" s="127">
        <v>5</v>
      </c>
      <c r="D26" s="127">
        <v>301043</v>
      </c>
      <c r="E26" s="127">
        <v>4662</v>
      </c>
      <c r="F26" s="125" t="s">
        <v>138</v>
      </c>
      <c r="G26" s="125">
        <v>132</v>
      </c>
      <c r="H26" s="137">
        <v>54.4</v>
      </c>
      <c r="I26" s="138">
        <f t="shared" si="0"/>
        <v>297.54352</v>
      </c>
      <c r="J26" s="139">
        <v>42469.34097222222</v>
      </c>
      <c r="K26" s="139">
        <v>42469.77916666667</v>
      </c>
      <c r="L26" s="140">
        <f t="shared" si="1"/>
        <v>10.516666666720994</v>
      </c>
      <c r="M26" s="141">
        <f t="shared" si="14"/>
        <v>631</v>
      </c>
      <c r="N26" s="142" t="s">
        <v>130</v>
      </c>
      <c r="O26" s="143" t="str">
        <f t="shared" si="2"/>
        <v>--</v>
      </c>
      <c r="P26" s="144">
        <f t="shared" si="3"/>
        <v>939.04734912</v>
      </c>
      <c r="Q26" s="145" t="str">
        <f t="shared" si="4"/>
        <v>--</v>
      </c>
      <c r="R26" s="146" t="str">
        <f t="shared" si="5"/>
        <v>--</v>
      </c>
      <c r="S26" s="146" t="str">
        <f t="shared" si="6"/>
        <v>--</v>
      </c>
      <c r="T26" s="147" t="str">
        <f t="shared" si="7"/>
        <v>--</v>
      </c>
      <c r="U26" s="148" t="str">
        <f t="shared" si="8"/>
        <v>--</v>
      </c>
      <c r="V26" s="148" t="str">
        <f t="shared" si="9"/>
        <v>--</v>
      </c>
      <c r="W26" s="149" t="str">
        <f t="shared" si="10"/>
        <v>--</v>
      </c>
      <c r="X26" s="150" t="str">
        <f t="shared" si="11"/>
        <v>--</v>
      </c>
      <c r="Y26" s="151" t="str">
        <f t="shared" si="12"/>
        <v>--</v>
      </c>
      <c r="Z26" s="152" t="str">
        <f t="shared" si="13"/>
        <v>SI</v>
      </c>
      <c r="AA26" s="153">
        <f t="shared" si="15"/>
        <v>939.04734912</v>
      </c>
      <c r="AB26" s="154"/>
    </row>
    <row r="27" spans="2:28" s="10" customFormat="1" ht="17.1" customHeight="1">
      <c r="B27" s="44"/>
      <c r="C27" s="127">
        <v>6</v>
      </c>
      <c r="D27" s="127">
        <v>301333</v>
      </c>
      <c r="E27" s="127">
        <v>4661</v>
      </c>
      <c r="F27" s="125" t="s">
        <v>149</v>
      </c>
      <c r="G27" s="125">
        <v>132</v>
      </c>
      <c r="H27" s="137">
        <v>130.1999969482422</v>
      </c>
      <c r="I27" s="138">
        <f t="shared" si="0"/>
        <v>712.135393308258</v>
      </c>
      <c r="J27" s="139">
        <v>42472.39097222222</v>
      </c>
      <c r="K27" s="139">
        <v>42472.498611111114</v>
      </c>
      <c r="L27" s="140">
        <f t="shared" si="1"/>
        <v>2.5833333333721384</v>
      </c>
      <c r="M27" s="141">
        <f t="shared" si="14"/>
        <v>155</v>
      </c>
      <c r="N27" s="139" t="s">
        <v>130</v>
      </c>
      <c r="O27" s="143" t="str">
        <f t="shared" si="2"/>
        <v>--</v>
      </c>
      <c r="P27" s="144">
        <f t="shared" si="3"/>
        <v>551.1927944205917</v>
      </c>
      <c r="Q27" s="145" t="str">
        <f t="shared" si="4"/>
        <v>--</v>
      </c>
      <c r="R27" s="146" t="str">
        <f t="shared" si="5"/>
        <v>--</v>
      </c>
      <c r="S27" s="146" t="str">
        <f t="shared" si="6"/>
        <v>--</v>
      </c>
      <c r="T27" s="147" t="str">
        <f t="shared" si="7"/>
        <v>--</v>
      </c>
      <c r="U27" s="148" t="str">
        <f t="shared" si="8"/>
        <v>--</v>
      </c>
      <c r="V27" s="148" t="str">
        <f t="shared" si="9"/>
        <v>--</v>
      </c>
      <c r="W27" s="149" t="str">
        <f t="shared" si="10"/>
        <v>--</v>
      </c>
      <c r="X27" s="150" t="str">
        <f t="shared" si="11"/>
        <v>--</v>
      </c>
      <c r="Y27" s="151" t="str">
        <f t="shared" si="12"/>
        <v>--</v>
      </c>
      <c r="Z27" s="152" t="str">
        <f t="shared" si="13"/>
        <v>SI</v>
      </c>
      <c r="AA27" s="153">
        <f t="shared" si="15"/>
        <v>551.1927944205917</v>
      </c>
      <c r="AB27" s="154"/>
    </row>
    <row r="28" spans="2:28" s="10" customFormat="1" ht="17.1" customHeight="1">
      <c r="B28" s="44"/>
      <c r="C28" s="127">
        <v>7</v>
      </c>
      <c r="D28" s="127">
        <v>301336</v>
      </c>
      <c r="E28" s="127">
        <v>699</v>
      </c>
      <c r="F28" s="125" t="s">
        <v>150</v>
      </c>
      <c r="G28" s="125">
        <v>132</v>
      </c>
      <c r="H28" s="137">
        <v>42</v>
      </c>
      <c r="I28" s="138">
        <f t="shared" si="0"/>
        <v>229.7211</v>
      </c>
      <c r="J28" s="139">
        <v>42473.34861111111</v>
      </c>
      <c r="K28" s="139">
        <v>42473.77916666667</v>
      </c>
      <c r="L28" s="140">
        <f t="shared" si="1"/>
        <v>10.33333333331393</v>
      </c>
      <c r="M28" s="141">
        <f t="shared" si="14"/>
        <v>620</v>
      </c>
      <c r="N28" s="139" t="s">
        <v>130</v>
      </c>
      <c r="O28" s="143" t="str">
        <f aca="true" t="shared" si="16" ref="O28:O41">IF(F28="","","--")</f>
        <v>--</v>
      </c>
      <c r="P28" s="144">
        <f t="shared" si="3"/>
        <v>711.9056889</v>
      </c>
      <c r="Q28" s="145" t="str">
        <f t="shared" si="4"/>
        <v>--</v>
      </c>
      <c r="R28" s="146" t="str">
        <f t="shared" si="5"/>
        <v>--</v>
      </c>
      <c r="S28" s="146" t="str">
        <f t="shared" si="6"/>
        <v>--</v>
      </c>
      <c r="T28" s="147" t="str">
        <f t="shared" si="7"/>
        <v>--</v>
      </c>
      <c r="U28" s="148" t="str">
        <f t="shared" si="8"/>
        <v>--</v>
      </c>
      <c r="V28" s="148" t="str">
        <f t="shared" si="9"/>
        <v>--</v>
      </c>
      <c r="W28" s="149" t="str">
        <f t="shared" si="10"/>
        <v>--</v>
      </c>
      <c r="X28" s="150" t="str">
        <f t="shared" si="11"/>
        <v>--</v>
      </c>
      <c r="Y28" s="151" t="str">
        <f t="shared" si="12"/>
        <v>--</v>
      </c>
      <c r="Z28" s="152" t="str">
        <f t="shared" si="13"/>
        <v>SI</v>
      </c>
      <c r="AA28" s="153">
        <f t="shared" si="15"/>
        <v>711.9056889</v>
      </c>
      <c r="AB28" s="154"/>
    </row>
    <row r="29" spans="2:28" s="10" customFormat="1" ht="17.1" customHeight="1">
      <c r="B29" s="44"/>
      <c r="C29" s="127">
        <v>8</v>
      </c>
      <c r="D29" s="127">
        <v>301339</v>
      </c>
      <c r="E29" s="127">
        <v>4662</v>
      </c>
      <c r="F29" s="125" t="s">
        <v>138</v>
      </c>
      <c r="G29" s="125">
        <v>132</v>
      </c>
      <c r="H29" s="137">
        <v>54.4</v>
      </c>
      <c r="I29" s="138">
        <f t="shared" si="0"/>
        <v>297.54352</v>
      </c>
      <c r="J29" s="139">
        <v>42474.353472222225</v>
      </c>
      <c r="K29" s="139">
        <v>42474.75902777778</v>
      </c>
      <c r="L29" s="140">
        <f t="shared" si="1"/>
        <v>9.733333333279006</v>
      </c>
      <c r="M29" s="141">
        <f t="shared" si="14"/>
        <v>584</v>
      </c>
      <c r="N29" s="139" t="s">
        <v>130</v>
      </c>
      <c r="O29" s="143" t="str">
        <f t="shared" si="16"/>
        <v>--</v>
      </c>
      <c r="P29" s="144">
        <f t="shared" si="3"/>
        <v>868.52953488</v>
      </c>
      <c r="Q29" s="145" t="str">
        <f t="shared" si="4"/>
        <v>--</v>
      </c>
      <c r="R29" s="146" t="str">
        <f t="shared" si="5"/>
        <v>--</v>
      </c>
      <c r="S29" s="146" t="str">
        <f t="shared" si="6"/>
        <v>--</v>
      </c>
      <c r="T29" s="147" t="str">
        <f t="shared" si="7"/>
        <v>--</v>
      </c>
      <c r="U29" s="148" t="str">
        <f t="shared" si="8"/>
        <v>--</v>
      </c>
      <c r="V29" s="148" t="str">
        <f t="shared" si="9"/>
        <v>--</v>
      </c>
      <c r="W29" s="149" t="str">
        <f t="shared" si="10"/>
        <v>--</v>
      </c>
      <c r="X29" s="150" t="str">
        <f t="shared" si="11"/>
        <v>--</v>
      </c>
      <c r="Y29" s="151" t="str">
        <f t="shared" si="12"/>
        <v>--</v>
      </c>
      <c r="Z29" s="152" t="str">
        <f t="shared" si="13"/>
        <v>SI</v>
      </c>
      <c r="AA29" s="153">
        <f t="shared" si="15"/>
        <v>868.52953488</v>
      </c>
      <c r="AB29" s="154"/>
    </row>
    <row r="30" spans="2:28" s="10" customFormat="1" ht="17.1" customHeight="1">
      <c r="B30" s="44"/>
      <c r="C30" s="127">
        <v>9</v>
      </c>
      <c r="D30" s="127">
        <v>301340</v>
      </c>
      <c r="E30" s="127">
        <v>699</v>
      </c>
      <c r="F30" s="125" t="s">
        <v>150</v>
      </c>
      <c r="G30" s="125">
        <v>132</v>
      </c>
      <c r="H30" s="137">
        <v>42</v>
      </c>
      <c r="I30" s="138">
        <f t="shared" si="0"/>
        <v>229.7211</v>
      </c>
      <c r="J30" s="139">
        <v>42474.379166666666</v>
      </c>
      <c r="K30" s="139">
        <v>42474.75902777778</v>
      </c>
      <c r="L30" s="140">
        <f t="shared" si="1"/>
        <v>9.11666666669771</v>
      </c>
      <c r="M30" s="141">
        <f aca="true" t="shared" si="17" ref="M30:M41">IF(F30="","",ROUND((K30-J30)*24*60,0))</f>
        <v>547</v>
      </c>
      <c r="N30" s="139" t="s">
        <v>130</v>
      </c>
      <c r="O30" s="143" t="str">
        <f t="shared" si="16"/>
        <v>--</v>
      </c>
      <c r="P30" s="144">
        <f aca="true" t="shared" si="18" ref="P30:P41">IF(N30="P",ROUND(M30/60,2)*I30*$L$16*0.01,"--")</f>
        <v>628.5169295999999</v>
      </c>
      <c r="Q30" s="145" t="str">
        <f t="shared" si="4"/>
        <v>--</v>
      </c>
      <c r="R30" s="146" t="str">
        <f t="shared" si="5"/>
        <v>--</v>
      </c>
      <c r="S30" s="146" t="str">
        <f t="shared" si="6"/>
        <v>--</v>
      </c>
      <c r="T30" s="147" t="str">
        <f t="shared" si="7"/>
        <v>--</v>
      </c>
      <c r="U30" s="148" t="str">
        <f t="shared" si="8"/>
        <v>--</v>
      </c>
      <c r="V30" s="148" t="str">
        <f t="shared" si="9"/>
        <v>--</v>
      </c>
      <c r="W30" s="149" t="str">
        <f t="shared" si="10"/>
        <v>--</v>
      </c>
      <c r="X30" s="150" t="str">
        <f t="shared" si="11"/>
        <v>--</v>
      </c>
      <c r="Y30" s="151" t="str">
        <f t="shared" si="12"/>
        <v>--</v>
      </c>
      <c r="Z30" s="152" t="str">
        <f t="shared" si="13"/>
        <v>SI</v>
      </c>
      <c r="AA30" s="153">
        <f t="shared" si="15"/>
        <v>628.5169295999999</v>
      </c>
      <c r="AB30" s="154"/>
    </row>
    <row r="31" spans="2:28" s="10" customFormat="1" ht="17.1" customHeight="1">
      <c r="B31" s="44"/>
      <c r="C31" s="127">
        <v>10</v>
      </c>
      <c r="D31" s="127">
        <v>301342</v>
      </c>
      <c r="E31" s="127">
        <v>4662</v>
      </c>
      <c r="F31" s="125" t="s">
        <v>138</v>
      </c>
      <c r="G31" s="125">
        <v>132</v>
      </c>
      <c r="H31" s="137">
        <v>54.4</v>
      </c>
      <c r="I31" s="138">
        <f t="shared" si="0"/>
        <v>297.54352</v>
      </c>
      <c r="J31" s="139">
        <v>42477.32638888889</v>
      </c>
      <c r="K31" s="139">
        <v>42477.711805555555</v>
      </c>
      <c r="L31" s="140">
        <f t="shared" si="1"/>
        <v>9.249999999941792</v>
      </c>
      <c r="M31" s="141">
        <f t="shared" si="17"/>
        <v>555</v>
      </c>
      <c r="N31" s="139" t="s">
        <v>130</v>
      </c>
      <c r="O31" s="143" t="str">
        <f t="shared" si="16"/>
        <v>--</v>
      </c>
      <c r="P31" s="144">
        <f t="shared" si="18"/>
        <v>825.683268</v>
      </c>
      <c r="Q31" s="145" t="str">
        <f t="shared" si="4"/>
        <v>--</v>
      </c>
      <c r="R31" s="146" t="str">
        <f t="shared" si="5"/>
        <v>--</v>
      </c>
      <c r="S31" s="146" t="str">
        <f t="shared" si="6"/>
        <v>--</v>
      </c>
      <c r="T31" s="147" t="str">
        <f t="shared" si="7"/>
        <v>--</v>
      </c>
      <c r="U31" s="148" t="str">
        <f t="shared" si="8"/>
        <v>--</v>
      </c>
      <c r="V31" s="148" t="str">
        <f t="shared" si="9"/>
        <v>--</v>
      </c>
      <c r="W31" s="149" t="str">
        <f t="shared" si="10"/>
        <v>--</v>
      </c>
      <c r="X31" s="150" t="str">
        <f t="shared" si="11"/>
        <v>--</v>
      </c>
      <c r="Y31" s="151" t="str">
        <f t="shared" si="12"/>
        <v>--</v>
      </c>
      <c r="Z31" s="152" t="str">
        <f t="shared" si="13"/>
        <v>SI</v>
      </c>
      <c r="AA31" s="153">
        <f t="shared" si="15"/>
        <v>825.683268</v>
      </c>
      <c r="AB31" s="154"/>
    </row>
    <row r="32" spans="2:28" s="10" customFormat="1" ht="17.1" customHeight="1">
      <c r="B32" s="44"/>
      <c r="C32" s="127">
        <v>11</v>
      </c>
      <c r="D32" s="127">
        <v>301346</v>
      </c>
      <c r="E32" s="127">
        <v>4661</v>
      </c>
      <c r="F32" s="125" t="s">
        <v>149</v>
      </c>
      <c r="G32" s="125">
        <v>132</v>
      </c>
      <c r="H32" s="137">
        <v>130.1999969482422</v>
      </c>
      <c r="I32" s="138">
        <f t="shared" si="0"/>
        <v>712.135393308258</v>
      </c>
      <c r="J32" s="139">
        <v>42477.34722222222</v>
      </c>
      <c r="K32" s="139">
        <v>42477.717361111114</v>
      </c>
      <c r="L32" s="140">
        <f t="shared" si="1"/>
        <v>8.883333333476912</v>
      </c>
      <c r="M32" s="141">
        <f t="shared" si="17"/>
        <v>533</v>
      </c>
      <c r="N32" s="139" t="s">
        <v>130</v>
      </c>
      <c r="O32" s="143" t="str">
        <f t="shared" si="16"/>
        <v>--</v>
      </c>
      <c r="P32" s="144">
        <f t="shared" si="18"/>
        <v>1897.1286877731998</v>
      </c>
      <c r="Q32" s="145" t="str">
        <f t="shared" si="4"/>
        <v>--</v>
      </c>
      <c r="R32" s="146" t="str">
        <f t="shared" si="5"/>
        <v>--</v>
      </c>
      <c r="S32" s="146" t="str">
        <f t="shared" si="6"/>
        <v>--</v>
      </c>
      <c r="T32" s="147" t="str">
        <f t="shared" si="7"/>
        <v>--</v>
      </c>
      <c r="U32" s="148" t="str">
        <f t="shared" si="8"/>
        <v>--</v>
      </c>
      <c r="V32" s="148" t="str">
        <f t="shared" si="9"/>
        <v>--</v>
      </c>
      <c r="W32" s="149" t="str">
        <f t="shared" si="10"/>
        <v>--</v>
      </c>
      <c r="X32" s="150" t="str">
        <f t="shared" si="11"/>
        <v>--</v>
      </c>
      <c r="Y32" s="151" t="str">
        <f t="shared" si="12"/>
        <v>--</v>
      </c>
      <c r="Z32" s="152" t="str">
        <f t="shared" si="13"/>
        <v>SI</v>
      </c>
      <c r="AA32" s="153">
        <f t="shared" si="15"/>
        <v>1897.1286877731998</v>
      </c>
      <c r="AB32" s="154"/>
    </row>
    <row r="33" spans="2:28" s="10" customFormat="1" ht="17.1" customHeight="1">
      <c r="B33" s="44"/>
      <c r="C33" s="127">
        <v>12</v>
      </c>
      <c r="D33" s="127">
        <v>301629</v>
      </c>
      <c r="E33" s="127">
        <v>714</v>
      </c>
      <c r="F33" s="125" t="s">
        <v>139</v>
      </c>
      <c r="G33" s="125">
        <v>132</v>
      </c>
      <c r="H33" s="137">
        <v>122.12999725341797</v>
      </c>
      <c r="I33" s="138">
        <f t="shared" si="0"/>
        <v>667.9961264774323</v>
      </c>
      <c r="J33" s="139">
        <v>42479.39513888889</v>
      </c>
      <c r="K33" s="139">
        <v>42479.71388888889</v>
      </c>
      <c r="L33" s="140">
        <f t="shared" si="1"/>
        <v>7.649999999965075</v>
      </c>
      <c r="M33" s="141">
        <f t="shared" si="17"/>
        <v>459</v>
      </c>
      <c r="N33" s="139" t="s">
        <v>130</v>
      </c>
      <c r="O33" s="143" t="str">
        <f t="shared" si="16"/>
        <v>--</v>
      </c>
      <c r="P33" s="144">
        <f t="shared" si="18"/>
        <v>1533.0511102657074</v>
      </c>
      <c r="Q33" s="145" t="str">
        <f t="shared" si="4"/>
        <v>--</v>
      </c>
      <c r="R33" s="146" t="str">
        <f t="shared" si="5"/>
        <v>--</v>
      </c>
      <c r="S33" s="146" t="str">
        <f t="shared" si="6"/>
        <v>--</v>
      </c>
      <c r="T33" s="147" t="str">
        <f t="shared" si="7"/>
        <v>--</v>
      </c>
      <c r="U33" s="148" t="str">
        <f t="shared" si="8"/>
        <v>--</v>
      </c>
      <c r="V33" s="148" t="str">
        <f t="shared" si="9"/>
        <v>--</v>
      </c>
      <c r="W33" s="149" t="str">
        <f t="shared" si="10"/>
        <v>--</v>
      </c>
      <c r="X33" s="150" t="str">
        <f t="shared" si="11"/>
        <v>--</v>
      </c>
      <c r="Y33" s="151" t="str">
        <f t="shared" si="12"/>
        <v>--</v>
      </c>
      <c r="Z33" s="152" t="str">
        <f t="shared" si="13"/>
        <v>SI</v>
      </c>
      <c r="AA33" s="153">
        <f t="shared" si="15"/>
        <v>1533.0511102657074</v>
      </c>
      <c r="AB33" s="154"/>
    </row>
    <row r="34" spans="2:28" s="10" customFormat="1" ht="17.1" customHeight="1">
      <c r="B34" s="44"/>
      <c r="C34" s="127">
        <v>13</v>
      </c>
      <c r="D34" s="127">
        <v>301639</v>
      </c>
      <c r="E34" s="127">
        <v>701</v>
      </c>
      <c r="F34" s="125" t="s">
        <v>151</v>
      </c>
      <c r="G34" s="125">
        <v>132</v>
      </c>
      <c r="H34" s="137">
        <v>33.5</v>
      </c>
      <c r="I34" s="138">
        <f t="shared" si="0"/>
        <v>183.229925</v>
      </c>
      <c r="J34" s="139">
        <v>42483.364583333336</v>
      </c>
      <c r="K34" s="139">
        <v>42483.76458333333</v>
      </c>
      <c r="L34" s="140">
        <f t="shared" si="1"/>
        <v>9.599999999860302</v>
      </c>
      <c r="M34" s="141">
        <f t="shared" si="17"/>
        <v>576</v>
      </c>
      <c r="N34" s="139" t="s">
        <v>130</v>
      </c>
      <c r="O34" s="143" t="str">
        <f t="shared" si="16"/>
        <v>--</v>
      </c>
      <c r="P34" s="144">
        <f t="shared" si="18"/>
        <v>527.702184</v>
      </c>
      <c r="Q34" s="145" t="str">
        <f t="shared" si="4"/>
        <v>--</v>
      </c>
      <c r="R34" s="146" t="str">
        <f t="shared" si="5"/>
        <v>--</v>
      </c>
      <c r="S34" s="146" t="str">
        <f t="shared" si="6"/>
        <v>--</v>
      </c>
      <c r="T34" s="147" t="str">
        <f t="shared" si="7"/>
        <v>--</v>
      </c>
      <c r="U34" s="148" t="str">
        <f t="shared" si="8"/>
        <v>--</v>
      </c>
      <c r="V34" s="148" t="str">
        <f t="shared" si="9"/>
        <v>--</v>
      </c>
      <c r="W34" s="149" t="str">
        <f t="shared" si="10"/>
        <v>--</v>
      </c>
      <c r="X34" s="150" t="str">
        <f t="shared" si="11"/>
        <v>--</v>
      </c>
      <c r="Y34" s="151" t="str">
        <f t="shared" si="12"/>
        <v>--</v>
      </c>
      <c r="Z34" s="152" t="str">
        <f t="shared" si="13"/>
        <v>SI</v>
      </c>
      <c r="AA34" s="153">
        <f t="shared" si="15"/>
        <v>527.702184</v>
      </c>
      <c r="AB34" s="154"/>
    </row>
    <row r="35" spans="2:28" s="10" customFormat="1" ht="17.1" customHeight="1">
      <c r="B35" s="155"/>
      <c r="C35" s="127">
        <v>14</v>
      </c>
      <c r="D35" s="127">
        <v>301641</v>
      </c>
      <c r="E35" s="127">
        <v>701</v>
      </c>
      <c r="F35" s="125" t="s">
        <v>151</v>
      </c>
      <c r="G35" s="125">
        <v>132</v>
      </c>
      <c r="H35" s="137">
        <v>33.5</v>
      </c>
      <c r="I35" s="138">
        <f t="shared" si="0"/>
        <v>183.229925</v>
      </c>
      <c r="J35" s="139">
        <v>42484.39027777778</v>
      </c>
      <c r="K35" s="139">
        <v>42484.59027777778</v>
      </c>
      <c r="L35" s="140">
        <f t="shared" si="1"/>
        <v>4.800000000104774</v>
      </c>
      <c r="M35" s="141">
        <f t="shared" si="17"/>
        <v>288</v>
      </c>
      <c r="N35" s="139" t="s">
        <v>130</v>
      </c>
      <c r="O35" s="143" t="str">
        <f t="shared" si="16"/>
        <v>--</v>
      </c>
      <c r="P35" s="144">
        <f t="shared" si="18"/>
        <v>263.851092</v>
      </c>
      <c r="Q35" s="145" t="str">
        <f t="shared" si="4"/>
        <v>--</v>
      </c>
      <c r="R35" s="146" t="str">
        <f t="shared" si="5"/>
        <v>--</v>
      </c>
      <c r="S35" s="146" t="str">
        <f t="shared" si="6"/>
        <v>--</v>
      </c>
      <c r="T35" s="147" t="str">
        <f t="shared" si="7"/>
        <v>--</v>
      </c>
      <c r="U35" s="148" t="str">
        <f t="shared" si="8"/>
        <v>--</v>
      </c>
      <c r="V35" s="148" t="str">
        <f t="shared" si="9"/>
        <v>--</v>
      </c>
      <c r="W35" s="149" t="str">
        <f t="shared" si="10"/>
        <v>--</v>
      </c>
      <c r="X35" s="150" t="str">
        <f t="shared" si="11"/>
        <v>--</v>
      </c>
      <c r="Y35" s="151" t="str">
        <f t="shared" si="12"/>
        <v>--</v>
      </c>
      <c r="Z35" s="152" t="str">
        <f t="shared" si="13"/>
        <v>SI</v>
      </c>
      <c r="AA35" s="153">
        <f t="shared" si="15"/>
        <v>263.851092</v>
      </c>
      <c r="AB35" s="154"/>
    </row>
    <row r="36" spans="2:28" s="10" customFormat="1" ht="17.1" customHeight="1">
      <c r="B36" s="155"/>
      <c r="C36" s="127">
        <v>15</v>
      </c>
      <c r="D36" s="127">
        <v>301903</v>
      </c>
      <c r="E36" s="127">
        <v>701</v>
      </c>
      <c r="F36" s="125" t="s">
        <v>151</v>
      </c>
      <c r="G36" s="125">
        <v>132</v>
      </c>
      <c r="H36" s="137">
        <v>33.5</v>
      </c>
      <c r="I36" s="138">
        <f t="shared" si="0"/>
        <v>183.229925</v>
      </c>
      <c r="J36" s="139">
        <v>42490.37152777778</v>
      </c>
      <c r="K36" s="139">
        <v>42490.69305555556</v>
      </c>
      <c r="L36" s="140">
        <f t="shared" si="1"/>
        <v>7.716666666674428</v>
      </c>
      <c r="M36" s="141">
        <f t="shared" si="17"/>
        <v>463</v>
      </c>
      <c r="N36" s="139" t="s">
        <v>130</v>
      </c>
      <c r="O36" s="143" t="str">
        <f t="shared" si="16"/>
        <v>--</v>
      </c>
      <c r="P36" s="144">
        <f t="shared" si="18"/>
        <v>424.3605063</v>
      </c>
      <c r="Q36" s="145" t="str">
        <f t="shared" si="4"/>
        <v>--</v>
      </c>
      <c r="R36" s="146" t="str">
        <f t="shared" si="5"/>
        <v>--</v>
      </c>
      <c r="S36" s="146" t="str">
        <f t="shared" si="6"/>
        <v>--</v>
      </c>
      <c r="T36" s="147" t="str">
        <f t="shared" si="7"/>
        <v>--</v>
      </c>
      <c r="U36" s="148" t="str">
        <f t="shared" si="8"/>
        <v>--</v>
      </c>
      <c r="V36" s="148" t="str">
        <f t="shared" si="9"/>
        <v>--</v>
      </c>
      <c r="W36" s="149" t="str">
        <f t="shared" si="10"/>
        <v>--</v>
      </c>
      <c r="X36" s="150" t="str">
        <f t="shared" si="11"/>
        <v>--</v>
      </c>
      <c r="Y36" s="151" t="str">
        <f t="shared" si="12"/>
        <v>--</v>
      </c>
      <c r="Z36" s="152" t="str">
        <f t="shared" si="13"/>
        <v>SI</v>
      </c>
      <c r="AA36" s="153">
        <f t="shared" si="15"/>
        <v>424.3605063</v>
      </c>
      <c r="AB36" s="154"/>
    </row>
    <row r="37" spans="2:28" s="10" customFormat="1" ht="17.1" customHeight="1">
      <c r="B37" s="155"/>
      <c r="C37" s="127"/>
      <c r="D37" s="127"/>
      <c r="E37" s="127"/>
      <c r="F37" s="125"/>
      <c r="G37" s="125"/>
      <c r="H37" s="137"/>
      <c r="I37" s="138" t="e">
        <f t="shared" si="0"/>
        <v>#VALUE!</v>
      </c>
      <c r="J37" s="139"/>
      <c r="K37" s="139"/>
      <c r="L37" s="140" t="str">
        <f t="shared" si="1"/>
        <v/>
      </c>
      <c r="M37" s="141" t="str">
        <f t="shared" si="17"/>
        <v/>
      </c>
      <c r="N37" s="139"/>
      <c r="O37" s="143" t="str">
        <f t="shared" si="16"/>
        <v/>
      </c>
      <c r="P37" s="144" t="str">
        <f t="shared" si="18"/>
        <v>--</v>
      </c>
      <c r="Q37" s="145" t="str">
        <f t="shared" si="4"/>
        <v>--</v>
      </c>
      <c r="R37" s="146" t="str">
        <f t="shared" si="5"/>
        <v>--</v>
      </c>
      <c r="S37" s="146" t="str">
        <f t="shared" si="6"/>
        <v>--</v>
      </c>
      <c r="T37" s="147" t="str">
        <f t="shared" si="7"/>
        <v>--</v>
      </c>
      <c r="U37" s="148" t="str">
        <f t="shared" si="8"/>
        <v>--</v>
      </c>
      <c r="V37" s="148" t="str">
        <f t="shared" si="9"/>
        <v>--</v>
      </c>
      <c r="W37" s="149" t="str">
        <f t="shared" si="10"/>
        <v>--</v>
      </c>
      <c r="X37" s="150" t="str">
        <f t="shared" si="11"/>
        <v>--</v>
      </c>
      <c r="Y37" s="151" t="str">
        <f t="shared" si="12"/>
        <v>--</v>
      </c>
      <c r="Z37" s="152" t="str">
        <f t="shared" si="13"/>
        <v/>
      </c>
      <c r="AA37" s="153" t="str">
        <f t="shared" si="15"/>
        <v/>
      </c>
      <c r="AB37" s="154"/>
    </row>
    <row r="38" spans="2:28" s="10" customFormat="1" ht="17.1" customHeight="1">
      <c r="B38" s="155"/>
      <c r="C38" s="127"/>
      <c r="D38" s="127"/>
      <c r="E38" s="127"/>
      <c r="F38" s="125"/>
      <c r="G38" s="125"/>
      <c r="H38" s="137"/>
      <c r="I38" s="138" t="e">
        <f t="shared" si="0"/>
        <v>#VALUE!</v>
      </c>
      <c r="J38" s="139"/>
      <c r="K38" s="139"/>
      <c r="L38" s="140" t="str">
        <f t="shared" si="1"/>
        <v/>
      </c>
      <c r="M38" s="141" t="str">
        <f t="shared" si="17"/>
        <v/>
      </c>
      <c r="N38" s="139"/>
      <c r="O38" s="143" t="str">
        <f t="shared" si="16"/>
        <v/>
      </c>
      <c r="P38" s="144" t="str">
        <f t="shared" si="18"/>
        <v>--</v>
      </c>
      <c r="Q38" s="145" t="str">
        <f t="shared" si="4"/>
        <v>--</v>
      </c>
      <c r="R38" s="146" t="str">
        <f aca="true" t="shared" si="19" ref="R38:R40">IF(N38="F",I38*$L$16,"--")</f>
        <v>--</v>
      </c>
      <c r="S38" s="146" t="str">
        <f t="shared" si="6"/>
        <v>--</v>
      </c>
      <c r="T38" s="147" t="str">
        <f t="shared" si="7"/>
        <v>--</v>
      </c>
      <c r="U38" s="148" t="str">
        <f t="shared" si="8"/>
        <v>--</v>
      </c>
      <c r="V38" s="148" t="str">
        <f t="shared" si="9"/>
        <v>--</v>
      </c>
      <c r="W38" s="149" t="str">
        <f t="shared" si="10"/>
        <v>--</v>
      </c>
      <c r="X38" s="150" t="str">
        <f t="shared" si="11"/>
        <v>--</v>
      </c>
      <c r="Y38" s="151" t="str">
        <f t="shared" si="12"/>
        <v>--</v>
      </c>
      <c r="Z38" s="152" t="str">
        <f t="shared" si="13"/>
        <v/>
      </c>
      <c r="AA38" s="153" t="str">
        <f t="shared" si="15"/>
        <v/>
      </c>
      <c r="AB38" s="154"/>
    </row>
    <row r="39" spans="2:28" s="10" customFormat="1" ht="17.1" customHeight="1">
      <c r="B39" s="155"/>
      <c r="C39" s="127"/>
      <c r="D39" s="127"/>
      <c r="E39" s="127"/>
      <c r="F39" s="125"/>
      <c r="G39" s="125"/>
      <c r="H39" s="137"/>
      <c r="I39" s="138" t="e">
        <f t="shared" si="0"/>
        <v>#VALUE!</v>
      </c>
      <c r="J39" s="139"/>
      <c r="K39" s="139"/>
      <c r="L39" s="140" t="str">
        <f t="shared" si="1"/>
        <v/>
      </c>
      <c r="M39" s="141" t="str">
        <f t="shared" si="17"/>
        <v/>
      </c>
      <c r="N39" s="139"/>
      <c r="O39" s="143" t="str">
        <f t="shared" si="16"/>
        <v/>
      </c>
      <c r="P39" s="144" t="str">
        <f t="shared" si="18"/>
        <v>--</v>
      </c>
      <c r="Q39" s="145" t="str">
        <f t="shared" si="4"/>
        <v>--</v>
      </c>
      <c r="R39" s="146" t="str">
        <f>IF(N39="F",I39*$L$16,"--")</f>
        <v>--</v>
      </c>
      <c r="S39" s="146" t="str">
        <f t="shared" si="6"/>
        <v>--</v>
      </c>
      <c r="T39" s="147" t="str">
        <f t="shared" si="7"/>
        <v>--</v>
      </c>
      <c r="U39" s="148" t="str">
        <f t="shared" si="8"/>
        <v>--</v>
      </c>
      <c r="V39" s="148" t="str">
        <f t="shared" si="9"/>
        <v>--</v>
      </c>
      <c r="W39" s="149" t="str">
        <f t="shared" si="10"/>
        <v>--</v>
      </c>
      <c r="X39" s="150" t="str">
        <f t="shared" si="11"/>
        <v>--</v>
      </c>
      <c r="Y39" s="151" t="str">
        <f t="shared" si="12"/>
        <v>--</v>
      </c>
      <c r="Z39" s="152" t="str">
        <f t="shared" si="13"/>
        <v/>
      </c>
      <c r="AA39" s="153" t="str">
        <f t="shared" si="15"/>
        <v/>
      </c>
      <c r="AB39" s="154"/>
    </row>
    <row r="40" spans="2:28" s="10" customFormat="1" ht="17.1" customHeight="1">
      <c r="B40" s="155"/>
      <c r="C40" s="127"/>
      <c r="D40" s="127"/>
      <c r="E40" s="127"/>
      <c r="F40" s="125"/>
      <c r="G40" s="125"/>
      <c r="H40" s="137"/>
      <c r="I40" s="138" t="e">
        <f t="shared" si="0"/>
        <v>#VALUE!</v>
      </c>
      <c r="J40" s="139"/>
      <c r="K40" s="139"/>
      <c r="L40" s="140" t="str">
        <f t="shared" si="1"/>
        <v/>
      </c>
      <c r="M40" s="141" t="str">
        <f t="shared" si="17"/>
        <v/>
      </c>
      <c r="N40" s="139"/>
      <c r="O40" s="143" t="str">
        <f t="shared" si="16"/>
        <v/>
      </c>
      <c r="P40" s="144" t="str">
        <f t="shared" si="18"/>
        <v>--</v>
      </c>
      <c r="Q40" s="145" t="str">
        <f t="shared" si="4"/>
        <v>--</v>
      </c>
      <c r="R40" s="146" t="str">
        <f t="shared" si="19"/>
        <v>--</v>
      </c>
      <c r="S40" s="146" t="str">
        <f t="shared" si="6"/>
        <v>--</v>
      </c>
      <c r="T40" s="147" t="str">
        <f t="shared" si="7"/>
        <v>--</v>
      </c>
      <c r="U40" s="148" t="str">
        <f t="shared" si="8"/>
        <v>--</v>
      </c>
      <c r="V40" s="148" t="str">
        <f t="shared" si="9"/>
        <v>--</v>
      </c>
      <c r="W40" s="149" t="str">
        <f t="shared" si="10"/>
        <v>--</v>
      </c>
      <c r="X40" s="150" t="str">
        <f t="shared" si="11"/>
        <v>--</v>
      </c>
      <c r="Y40" s="151" t="str">
        <f t="shared" si="12"/>
        <v>--</v>
      </c>
      <c r="Z40" s="152" t="str">
        <f t="shared" si="13"/>
        <v/>
      </c>
      <c r="AA40" s="153" t="str">
        <f t="shared" si="15"/>
        <v/>
      </c>
      <c r="AB40" s="154"/>
    </row>
    <row r="41" spans="2:28" s="10" customFormat="1" ht="17.1" customHeight="1">
      <c r="B41" s="155"/>
      <c r="C41" s="127"/>
      <c r="D41" s="127"/>
      <c r="E41" s="127"/>
      <c r="F41" s="125"/>
      <c r="G41" s="125"/>
      <c r="H41" s="137"/>
      <c r="I41" s="138" t="e">
        <f t="shared" si="0"/>
        <v>#VALUE!</v>
      </c>
      <c r="J41" s="139"/>
      <c r="K41" s="139"/>
      <c r="L41" s="140" t="str">
        <f t="shared" si="1"/>
        <v/>
      </c>
      <c r="M41" s="141" t="str">
        <f t="shared" si="17"/>
        <v/>
      </c>
      <c r="N41" s="139"/>
      <c r="O41" s="143" t="str">
        <f t="shared" si="16"/>
        <v/>
      </c>
      <c r="P41" s="144" t="str">
        <f t="shared" si="18"/>
        <v>--</v>
      </c>
      <c r="Q41" s="145" t="str">
        <f aca="true" t="shared" si="20" ref="Q41">IF(N41="RP",ROUND(M41/60,2)*I41*$L$16*0.01*O41/100,"--")</f>
        <v>--</v>
      </c>
      <c r="R41" s="146" t="str">
        <f>IF(N41="F",I41*$L$16,"--")</f>
        <v>--</v>
      </c>
      <c r="S41" s="146" t="str">
        <f t="shared" si="6"/>
        <v>--</v>
      </c>
      <c r="T41" s="147" t="str">
        <f t="shared" si="7"/>
        <v>--</v>
      </c>
      <c r="U41" s="148" t="str">
        <f t="shared" si="8"/>
        <v>--</v>
      </c>
      <c r="V41" s="148" t="str">
        <f t="shared" si="9"/>
        <v>--</v>
      </c>
      <c r="W41" s="149" t="str">
        <f t="shared" si="10"/>
        <v>--</v>
      </c>
      <c r="X41" s="150" t="str">
        <f t="shared" si="11"/>
        <v>--</v>
      </c>
      <c r="Y41" s="151" t="str">
        <f t="shared" si="12"/>
        <v>--</v>
      </c>
      <c r="Z41" s="152" t="str">
        <f t="shared" si="13"/>
        <v/>
      </c>
      <c r="AA41" s="153" t="str">
        <f t="shared" si="15"/>
        <v/>
      </c>
      <c r="AB41" s="154"/>
    </row>
    <row r="42" spans="2:28" s="10" customFormat="1" ht="17.1" customHeight="1" thickBot="1">
      <c r="B42" s="44"/>
      <c r="C42" s="156"/>
      <c r="D42" s="156"/>
      <c r="E42" s="156"/>
      <c r="F42" s="157"/>
      <c r="G42" s="158"/>
      <c r="H42" s="159"/>
      <c r="I42" s="160"/>
      <c r="J42" s="159"/>
      <c r="K42" s="159"/>
      <c r="L42" s="159"/>
      <c r="M42" s="159"/>
      <c r="N42" s="159"/>
      <c r="O42" s="161"/>
      <c r="P42" s="162"/>
      <c r="Q42" s="163"/>
      <c r="R42" s="164"/>
      <c r="S42" s="165"/>
      <c r="T42" s="165"/>
      <c r="U42" s="166"/>
      <c r="V42" s="166"/>
      <c r="W42" s="166"/>
      <c r="X42" s="167"/>
      <c r="Y42" s="168"/>
      <c r="Z42" s="169"/>
      <c r="AA42" s="170"/>
      <c r="AB42" s="154"/>
    </row>
    <row r="43" spans="2:28" s="10" customFormat="1" ht="17.1" customHeight="1" thickBot="1" thickTop="1">
      <c r="B43" s="44"/>
      <c r="C43" s="171" t="s">
        <v>73</v>
      </c>
      <c r="D43" s="418" t="s">
        <v>134</v>
      </c>
      <c r="E43" s="186"/>
      <c r="F43" s="172"/>
      <c r="G43" s="3"/>
      <c r="H43" s="5"/>
      <c r="I43" s="173"/>
      <c r="J43" s="173"/>
      <c r="K43" s="173"/>
      <c r="L43" s="173"/>
      <c r="M43" s="173"/>
      <c r="N43" s="173"/>
      <c r="O43" s="174"/>
      <c r="P43" s="175">
        <f aca="true" t="shared" si="21" ref="P43:Y43">SUM(P20:P42)</f>
        <v>14050.06011660264</v>
      </c>
      <c r="Q43" s="176">
        <f t="shared" si="21"/>
        <v>0</v>
      </c>
      <c r="R43" s="177">
        <f t="shared" si="21"/>
        <v>0</v>
      </c>
      <c r="S43" s="177">
        <f t="shared" si="21"/>
        <v>0</v>
      </c>
      <c r="T43" s="177">
        <f t="shared" si="21"/>
        <v>0</v>
      </c>
      <c r="U43" s="178">
        <f t="shared" si="21"/>
        <v>0</v>
      </c>
      <c r="V43" s="178">
        <f t="shared" si="21"/>
        <v>0</v>
      </c>
      <c r="W43" s="178">
        <f t="shared" si="21"/>
        <v>0</v>
      </c>
      <c r="X43" s="179">
        <f t="shared" si="21"/>
        <v>0</v>
      </c>
      <c r="Y43" s="180">
        <f t="shared" si="21"/>
        <v>0</v>
      </c>
      <c r="Z43" s="181"/>
      <c r="AA43" s="182">
        <f>ROUND(SUM(AA20:AA42),2)</f>
        <v>14050.06</v>
      </c>
      <c r="AB43" s="183"/>
    </row>
    <row r="44" spans="2:28" s="184" customFormat="1" ht="9.75" thickTop="1">
      <c r="B44" s="185"/>
      <c r="C44" s="186"/>
      <c r="D44" s="186"/>
      <c r="E44" s="186"/>
      <c r="F44" s="187"/>
      <c r="G44" s="188"/>
      <c r="H44" s="189"/>
      <c r="I44" s="190"/>
      <c r="J44" s="190"/>
      <c r="K44" s="190"/>
      <c r="L44" s="190"/>
      <c r="M44" s="190"/>
      <c r="N44" s="190"/>
      <c r="O44" s="191"/>
      <c r="P44" s="192"/>
      <c r="Q44" s="192"/>
      <c r="R44" s="193"/>
      <c r="S44" s="193"/>
      <c r="T44" s="194"/>
      <c r="U44" s="194"/>
      <c r="V44" s="194"/>
      <c r="W44" s="194"/>
      <c r="X44" s="194"/>
      <c r="Y44" s="194"/>
      <c r="Z44" s="194"/>
      <c r="AA44" s="195"/>
      <c r="AB44" s="196"/>
    </row>
    <row r="45" spans="2:28" s="10" customFormat="1" ht="17.1" customHeight="1" thickBot="1">
      <c r="B45" s="197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9"/>
    </row>
    <row r="46" spans="2:28" ht="13.5" thickTop="1">
      <c r="B46" s="200"/>
      <c r="AB46" s="200"/>
    </row>
    <row r="91" ht="12.75">
      <c r="B91" s="200"/>
    </row>
  </sheetData>
  <printOptions/>
  <pageMargins left="0.25" right="0.25" top="0.75" bottom="0.75" header="0.3" footer="0.3"/>
  <pageSetup fitToHeight="1" fitToWidth="1" horizontalDpi="600" verticalDpi="600" orientation="landscape" paperSize="9" scale="64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Referencias_Lineas">
                <anchor moveWithCells="1" sizeWithCells="1">
                  <from>
                    <xdr:col>0</xdr:col>
                    <xdr:colOff>57150</xdr:colOff>
                    <xdr:row>42</xdr:row>
                    <xdr:rowOff>0</xdr:rowOff>
                  </from>
                  <to>
                    <xdr:col>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pageSetUpPr fitToPage="1"/>
  </sheetPr>
  <dimension ref="A1:AD51"/>
  <sheetViews>
    <sheetView zoomScale="80" zoomScaleNormal="80" workbookViewId="0" topLeftCell="A1">
      <selection activeCell="L17" sqref="L17"/>
    </sheetView>
  </sheetViews>
  <sheetFormatPr defaultColWidth="11.421875" defaultRowHeight="12.75"/>
  <cols>
    <col min="1" max="1" width="18.2812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3.421875" style="1" customWidth="1"/>
    <col min="10" max="10" width="7.8515625" style="1" hidden="1" customWidth="1"/>
    <col min="11" max="12" width="16.28125" style="1" customWidth="1"/>
    <col min="13" max="15" width="9.7109375" style="1" customWidth="1"/>
    <col min="16" max="17" width="7.7109375" style="1" customWidth="1"/>
    <col min="18" max="18" width="6.7109375" style="1" bestFit="1" customWidth="1"/>
    <col min="19" max="19" width="11.28125" style="1" hidden="1" customWidth="1"/>
    <col min="20" max="21" width="11.57421875" style="1" hidden="1" customWidth="1"/>
    <col min="22" max="22" width="8.7109375" style="1" hidden="1" customWidth="1"/>
    <col min="23" max="23" width="7.7109375" style="1" hidden="1" customWidth="1"/>
    <col min="24" max="25" width="6.57421875" style="1" hidden="1" customWidth="1"/>
    <col min="26" max="27" width="11.5742187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395"/>
    </row>
    <row r="2" spans="2:30" s="6" customFormat="1" ht="26.25">
      <c r="B2" s="67" t="str">
        <f>+'TOT-0416'!B2</f>
        <v>ANEXO V al Memorándum D.T.E.E. N°         639    /2016</v>
      </c>
      <c r="C2" s="202"/>
      <c r="D2" s="202"/>
      <c r="E2" s="202"/>
      <c r="F2" s="202"/>
      <c r="G2" s="9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2:30" s="10" customFormat="1" ht="12" customHeight="1">
      <c r="B3" s="68"/>
      <c r="C3" s="203"/>
      <c r="D3" s="203"/>
      <c r="E3" s="203"/>
      <c r="F3" s="203"/>
      <c r="G3" s="11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</row>
    <row r="4" spans="1:30" s="13" customFormat="1" ht="11.25">
      <c r="A4" s="204" t="s">
        <v>3</v>
      </c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</row>
    <row r="5" spans="1:30" s="13" customFormat="1" ht="11.25">
      <c r="A5" s="204" t="s">
        <v>4</v>
      </c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</row>
    <row r="6" spans="2:30" s="10" customFormat="1" ht="17.1" customHeight="1" thickBot="1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2:30" s="10" customFormat="1" ht="17.1" customHeight="1" thickTop="1"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10"/>
    </row>
    <row r="8" spans="2:30" s="73" customFormat="1" ht="20.25">
      <c r="B8" s="211"/>
      <c r="C8" s="212"/>
      <c r="D8" s="212"/>
      <c r="E8" s="212"/>
      <c r="F8" s="213" t="s">
        <v>14</v>
      </c>
      <c r="H8" s="212"/>
      <c r="I8" s="214"/>
      <c r="J8" s="214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5"/>
    </row>
    <row r="9" spans="2:30" s="10" customFormat="1" ht="17.1" customHeight="1">
      <c r="B9" s="216"/>
      <c r="C9" s="63"/>
      <c r="D9" s="63"/>
      <c r="E9" s="63"/>
      <c r="F9" s="63"/>
      <c r="G9" s="63"/>
      <c r="H9" s="63"/>
      <c r="I9" s="207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217"/>
    </row>
    <row r="10" spans="2:30" s="73" customFormat="1" ht="20.25">
      <c r="B10" s="211"/>
      <c r="C10" s="212"/>
      <c r="D10" s="212"/>
      <c r="E10" s="212"/>
      <c r="F10" s="213" t="s">
        <v>37</v>
      </c>
      <c r="G10" s="212"/>
      <c r="H10" s="212"/>
      <c r="I10" s="214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5"/>
    </row>
    <row r="11" spans="2:30" s="10" customFormat="1" ht="17.1" customHeight="1">
      <c r="B11" s="216"/>
      <c r="C11" s="63"/>
      <c r="D11" s="63"/>
      <c r="E11" s="63"/>
      <c r="F11" s="218"/>
      <c r="G11" s="63"/>
      <c r="H11" s="63"/>
      <c r="I11" s="207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217"/>
    </row>
    <row r="12" spans="2:30" s="73" customFormat="1" ht="20.25">
      <c r="B12" s="211"/>
      <c r="C12" s="212"/>
      <c r="D12" s="212"/>
      <c r="E12" s="212"/>
      <c r="F12" s="219" t="s">
        <v>38</v>
      </c>
      <c r="G12" s="213"/>
      <c r="H12" s="214"/>
      <c r="I12" s="214"/>
      <c r="J12" s="220"/>
      <c r="K12" s="212"/>
      <c r="L12" s="214"/>
      <c r="M12" s="214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5"/>
    </row>
    <row r="13" spans="2:30" s="10" customFormat="1" ht="17.1" customHeight="1">
      <c r="B13" s="216"/>
      <c r="C13" s="63"/>
      <c r="D13" s="63"/>
      <c r="E13" s="63"/>
      <c r="F13" s="221"/>
      <c r="G13" s="221"/>
      <c r="H13" s="221"/>
      <c r="I13" s="222"/>
      <c r="J13" s="22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217"/>
    </row>
    <row r="14" spans="2:30" s="17" customFormat="1" ht="19.5">
      <c r="B14" s="224" t="str">
        <f>+'TOT-0416'!B14</f>
        <v>Desde el 01 al 30 de abril de 2016</v>
      </c>
      <c r="C14" s="79"/>
      <c r="D14" s="79"/>
      <c r="E14" s="79"/>
      <c r="F14" s="225"/>
      <c r="G14" s="225"/>
      <c r="H14" s="225"/>
      <c r="I14" s="225"/>
      <c r="J14" s="225"/>
      <c r="K14" s="80"/>
      <c r="L14" s="80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6"/>
    </row>
    <row r="15" spans="2:30" s="10" customFormat="1" ht="17.1" customHeight="1" thickBot="1">
      <c r="B15" s="216"/>
      <c r="C15" s="63"/>
      <c r="D15" s="63"/>
      <c r="E15" s="63"/>
      <c r="F15" s="63"/>
      <c r="G15" s="63"/>
      <c r="H15" s="63"/>
      <c r="I15" s="227"/>
      <c r="J15" s="63"/>
      <c r="K15" s="228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217"/>
    </row>
    <row r="16" spans="2:30" s="10" customFormat="1" ht="17.1" customHeight="1" thickBot="1" thickTop="1">
      <c r="B16" s="216"/>
      <c r="C16" s="63"/>
      <c r="D16" s="63"/>
      <c r="E16" s="63"/>
      <c r="F16" s="229" t="s">
        <v>39</v>
      </c>
      <c r="G16" s="230"/>
      <c r="H16" s="231"/>
      <c r="I16" s="232">
        <v>1.912</v>
      </c>
      <c r="J16" s="207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217"/>
    </row>
    <row r="17" spans="2:30" s="10" customFormat="1" ht="17.1" customHeight="1" thickBot="1" thickTop="1">
      <c r="B17" s="216"/>
      <c r="C17" s="63"/>
      <c r="D17" s="63"/>
      <c r="E17" s="63"/>
      <c r="F17" s="233" t="s">
        <v>40</v>
      </c>
      <c r="G17" s="234"/>
      <c r="H17" s="234"/>
      <c r="I17" s="235">
        <f>30*'TOT-0416'!B13</f>
        <v>30</v>
      </c>
      <c r="J17" s="236" t="str">
        <f>IF(I17=30," ",IF(I17=60,"     Coeficiente duplicado por tasa de falla &gt;4 Sal. x año/100 km.","    REVISAR COEFICIENTE"))</f>
        <v xml:space="preserve"> </v>
      </c>
      <c r="K17" s="236" t="str">
        <f>IF(I17=30," ",IF(I17=60,"    Coeficiente duplicado por tasa de falla &gt;4 Sal. x año/100 km.","    REVISAR COEFICIENTE"))</f>
        <v xml:space="preserve"> 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237"/>
      <c r="X17" s="63"/>
      <c r="Y17" s="237"/>
      <c r="Z17" s="237"/>
      <c r="AA17" s="237"/>
      <c r="AB17" s="237"/>
      <c r="AC17" s="237"/>
      <c r="AD17" s="217"/>
    </row>
    <row r="18" spans="2:30" s="10" customFormat="1" ht="17.1" customHeight="1" thickBot="1" thickTop="1">
      <c r="B18" s="216"/>
      <c r="C18" s="63"/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17">
        <v>23</v>
      </c>
      <c r="X18" s="417">
        <v>24</v>
      </c>
      <c r="Y18" s="417">
        <v>25</v>
      </c>
      <c r="Z18" s="417">
        <v>26</v>
      </c>
      <c r="AA18" s="417">
        <v>27</v>
      </c>
      <c r="AB18" s="417">
        <v>28</v>
      </c>
      <c r="AC18" s="417">
        <v>29</v>
      </c>
      <c r="AD18" s="217"/>
    </row>
    <row r="19" spans="2:30" s="238" customFormat="1" ht="35.1" customHeight="1" thickBot="1" thickTop="1">
      <c r="B19" s="239"/>
      <c r="C19" s="399" t="s">
        <v>20</v>
      </c>
      <c r="D19" s="399" t="s">
        <v>74</v>
      </c>
      <c r="E19" s="399" t="s">
        <v>75</v>
      </c>
      <c r="F19" s="240" t="s">
        <v>41</v>
      </c>
      <c r="G19" s="241" t="s">
        <v>42</v>
      </c>
      <c r="H19" s="242" t="s">
        <v>43</v>
      </c>
      <c r="I19" s="243" t="s">
        <v>21</v>
      </c>
      <c r="J19" s="244" t="s">
        <v>23</v>
      </c>
      <c r="K19" s="241" t="s">
        <v>24</v>
      </c>
      <c r="L19" s="241" t="s">
        <v>25</v>
      </c>
      <c r="M19" s="240" t="s">
        <v>44</v>
      </c>
      <c r="N19" s="240" t="s">
        <v>45</v>
      </c>
      <c r="O19" s="98" t="s">
        <v>72</v>
      </c>
      <c r="P19" s="241" t="s">
        <v>46</v>
      </c>
      <c r="Q19" s="240" t="s">
        <v>28</v>
      </c>
      <c r="R19" s="241" t="s">
        <v>47</v>
      </c>
      <c r="S19" s="245" t="s">
        <v>48</v>
      </c>
      <c r="T19" s="246" t="s">
        <v>29</v>
      </c>
      <c r="U19" s="247" t="s">
        <v>30</v>
      </c>
      <c r="V19" s="248" t="s">
        <v>49</v>
      </c>
      <c r="W19" s="249"/>
      <c r="X19" s="250" t="s">
        <v>50</v>
      </c>
      <c r="Y19" s="251"/>
      <c r="Z19" s="252" t="s">
        <v>33</v>
      </c>
      <c r="AA19" s="253" t="s">
        <v>34</v>
      </c>
      <c r="AB19" s="243" t="s">
        <v>51</v>
      </c>
      <c r="AC19" s="243" t="s">
        <v>36</v>
      </c>
      <c r="AD19" s="254"/>
    </row>
    <row r="20" spans="2:30" s="10" customFormat="1" ht="17.1" customHeight="1" thickTop="1">
      <c r="B20" s="216"/>
      <c r="C20" s="255"/>
      <c r="D20" s="255"/>
      <c r="E20" s="255"/>
      <c r="F20" s="256"/>
      <c r="G20" s="257"/>
      <c r="H20" s="257"/>
      <c r="I20" s="257"/>
      <c r="J20" s="258"/>
      <c r="K20" s="256"/>
      <c r="L20" s="257"/>
      <c r="M20" s="259"/>
      <c r="N20" s="259"/>
      <c r="O20" s="257"/>
      <c r="P20" s="257"/>
      <c r="Q20" s="257"/>
      <c r="R20" s="257"/>
      <c r="S20" s="122"/>
      <c r="T20" s="120"/>
      <c r="U20" s="260"/>
      <c r="V20" s="261"/>
      <c r="W20" s="262"/>
      <c r="X20" s="263"/>
      <c r="Y20" s="264"/>
      <c r="Z20" s="265"/>
      <c r="AA20" s="266"/>
      <c r="AB20" s="257"/>
      <c r="AC20" s="267"/>
      <c r="AD20" s="217"/>
    </row>
    <row r="21" spans="2:30" s="10" customFormat="1" ht="17.1" customHeight="1">
      <c r="B21" s="216"/>
      <c r="C21" s="268"/>
      <c r="D21" s="268"/>
      <c r="E21" s="268"/>
      <c r="F21" s="269"/>
      <c r="G21" s="269"/>
      <c r="H21" s="269"/>
      <c r="I21" s="269"/>
      <c r="J21" s="270"/>
      <c r="K21" s="271"/>
      <c r="L21" s="269"/>
      <c r="M21" s="272"/>
      <c r="N21" s="272"/>
      <c r="O21" s="269"/>
      <c r="P21" s="269"/>
      <c r="Q21" s="269"/>
      <c r="R21" s="269"/>
      <c r="S21" s="135"/>
      <c r="T21" s="133"/>
      <c r="U21" s="273"/>
      <c r="V21" s="274"/>
      <c r="W21" s="275"/>
      <c r="X21" s="276"/>
      <c r="Y21" s="277"/>
      <c r="Z21" s="278"/>
      <c r="AA21" s="279"/>
      <c r="AB21" s="269"/>
      <c r="AC21" s="280"/>
      <c r="AD21" s="217"/>
    </row>
    <row r="22" spans="2:30" s="10" customFormat="1" ht="17.1" customHeight="1">
      <c r="B22" s="216"/>
      <c r="C22" s="268">
        <v>16</v>
      </c>
      <c r="D22" s="268">
        <v>301044</v>
      </c>
      <c r="E22" s="268">
        <v>857</v>
      </c>
      <c r="F22" s="125" t="s">
        <v>152</v>
      </c>
      <c r="G22" s="127" t="s">
        <v>155</v>
      </c>
      <c r="H22" s="281">
        <v>30</v>
      </c>
      <c r="I22" s="282" t="s">
        <v>136</v>
      </c>
      <c r="J22" s="283">
        <f aca="true" t="shared" si="0" ref="J22:J40">H22*$I$16</f>
        <v>57.36</v>
      </c>
      <c r="K22" s="284">
        <v>42466.45486111111</v>
      </c>
      <c r="L22" s="284">
        <v>42466.76111111111</v>
      </c>
      <c r="M22" s="285">
        <f aca="true" t="shared" si="1" ref="M22:M46">IF(F22="","",(L22-K22)*24)</f>
        <v>7.350000000034925</v>
      </c>
      <c r="N22" s="286">
        <f aca="true" t="shared" si="2" ref="N22:N46">IF(F22="","",ROUND((L22-K22)*24*60,0))</f>
        <v>441</v>
      </c>
      <c r="O22" s="287" t="s">
        <v>130</v>
      </c>
      <c r="P22" s="288" t="str">
        <f>IF(F22="","",IF(OR(O22="P",O22="RP"),"--","NO"))</f>
        <v>--</v>
      </c>
      <c r="Q22" s="288" t="str">
        <f aca="true" t="shared" si="3" ref="Q22:Q29">IF(F22="","","--")</f>
        <v>--</v>
      </c>
      <c r="R22" s="287" t="str">
        <f aca="true" t="shared" si="4" ref="R22:R46">IF(F22="","","NO")</f>
        <v>NO</v>
      </c>
      <c r="S22" s="151">
        <f aca="true" t="shared" si="5" ref="S22:S38">$I$17*IF(OR(O22="P",O22="RP"),0.1,1)*IF(R22="SI",1,0.1)</f>
        <v>0.30000000000000004</v>
      </c>
      <c r="T22" s="289">
        <f aca="true" t="shared" si="6" ref="T22:T39">IF(O22="P",J22*S22*ROUND(N22/60,2),"--")</f>
        <v>126.4788</v>
      </c>
      <c r="U22" s="290" t="str">
        <f aca="true" t="shared" si="7" ref="U22:U46">IF(O22="RP",J22*S22*ROUND(N22/60,2)*Q22/100,"--")</f>
        <v>--</v>
      </c>
      <c r="V22" s="291" t="str">
        <f aca="true" t="shared" si="8" ref="V22:V46">IF(AND(O22="F",P22="NO"),J22*S22,"--")</f>
        <v>--</v>
      </c>
      <c r="W22" s="292" t="str">
        <f aca="true" t="shared" si="9" ref="W22:W46">IF(O22="F",J22*S22*ROUND(N22/60,2),"--")</f>
        <v>--</v>
      </c>
      <c r="X22" s="293" t="str">
        <f aca="true" t="shared" si="10" ref="X22:X46">IF(AND(O22="R",P22="NO"),J22*S22*Q22/100,"--")</f>
        <v>--</v>
      </c>
      <c r="Y22" s="294" t="str">
        <f aca="true" t="shared" si="11" ref="Y22:Y46">IF(O22="R",J22*S22*ROUND(N22/60,2)*Q22/100,"--")</f>
        <v>--</v>
      </c>
      <c r="Z22" s="295" t="str">
        <f aca="true" t="shared" si="12" ref="Z22:Z46">IF(O22="RF",J22*S22*ROUND(N22/60,2),"--")</f>
        <v>--</v>
      </c>
      <c r="AA22" s="296" t="str">
        <f aca="true" t="shared" si="13" ref="AA22:AA46">IF(O22="RR",J22*S22*ROUND(N22/60,2)*Q22/100,"--")</f>
        <v>--</v>
      </c>
      <c r="AB22" s="287" t="str">
        <f aca="true" t="shared" si="14" ref="AB22:AB38">IF(F22="","","SI")</f>
        <v>SI</v>
      </c>
      <c r="AC22" s="297">
        <f aca="true" t="shared" si="15" ref="AC22:AC46">IF(F22="","",SUM(T22:AA22)*IF(AB22="SI",1,2))</f>
        <v>126.4788</v>
      </c>
      <c r="AD22" s="298"/>
    </row>
    <row r="23" spans="2:30" s="10" customFormat="1" ht="17.1" customHeight="1">
      <c r="B23" s="216"/>
      <c r="C23" s="268">
        <v>17</v>
      </c>
      <c r="D23" s="268">
        <v>301045</v>
      </c>
      <c r="E23" s="268">
        <v>862</v>
      </c>
      <c r="F23" s="125" t="s">
        <v>142</v>
      </c>
      <c r="G23" s="127" t="s">
        <v>132</v>
      </c>
      <c r="H23" s="281">
        <v>60</v>
      </c>
      <c r="I23" s="282" t="s">
        <v>136</v>
      </c>
      <c r="J23" s="283">
        <f t="shared" si="0"/>
        <v>114.72</v>
      </c>
      <c r="K23" s="284">
        <v>42467.376388888886</v>
      </c>
      <c r="L23" s="284">
        <v>42467.52569444444</v>
      </c>
      <c r="M23" s="285">
        <f t="shared" si="1"/>
        <v>3.583333333313931</v>
      </c>
      <c r="N23" s="286">
        <f t="shared" si="2"/>
        <v>215</v>
      </c>
      <c r="O23" s="287" t="s">
        <v>130</v>
      </c>
      <c r="P23" s="288" t="str">
        <f aca="true" t="shared" si="16" ref="P23:P46">IF(F23="","",IF(OR(O23="P",O23="RP"),"--","NO"))</f>
        <v>--</v>
      </c>
      <c r="Q23" s="288" t="str">
        <f t="shared" si="3"/>
        <v>--</v>
      </c>
      <c r="R23" s="287" t="str">
        <f t="shared" si="4"/>
        <v>NO</v>
      </c>
      <c r="S23" s="151">
        <f t="shared" si="5"/>
        <v>0.30000000000000004</v>
      </c>
      <c r="T23" s="289">
        <f t="shared" si="6"/>
        <v>123.20928000000002</v>
      </c>
      <c r="U23" s="290" t="str">
        <f t="shared" si="7"/>
        <v>--</v>
      </c>
      <c r="V23" s="291" t="str">
        <f t="shared" si="8"/>
        <v>--</v>
      </c>
      <c r="W23" s="292" t="str">
        <f t="shared" si="9"/>
        <v>--</v>
      </c>
      <c r="X23" s="293" t="str">
        <f t="shared" si="10"/>
        <v>--</v>
      </c>
      <c r="Y23" s="294" t="str">
        <f t="shared" si="11"/>
        <v>--</v>
      </c>
      <c r="Z23" s="295" t="str">
        <f t="shared" si="12"/>
        <v>--</v>
      </c>
      <c r="AA23" s="296" t="str">
        <f t="shared" si="13"/>
        <v>--</v>
      </c>
      <c r="AB23" s="287" t="str">
        <f t="shared" si="14"/>
        <v>SI</v>
      </c>
      <c r="AC23" s="297">
        <f t="shared" si="15"/>
        <v>123.20928000000002</v>
      </c>
      <c r="AD23" s="298"/>
    </row>
    <row r="24" spans="2:30" s="10" customFormat="1" ht="17.1" customHeight="1">
      <c r="B24" s="216"/>
      <c r="C24" s="268">
        <v>18</v>
      </c>
      <c r="D24" s="268">
        <v>301046</v>
      </c>
      <c r="E24" s="268">
        <v>863</v>
      </c>
      <c r="F24" s="125" t="s">
        <v>153</v>
      </c>
      <c r="G24" s="127" t="s">
        <v>154</v>
      </c>
      <c r="H24" s="281">
        <v>60</v>
      </c>
      <c r="I24" s="137" t="s">
        <v>136</v>
      </c>
      <c r="J24" s="283">
        <f>H24*$I$16</f>
        <v>114.72</v>
      </c>
      <c r="K24" s="284">
        <v>42468.38333333333</v>
      </c>
      <c r="L24" s="284">
        <v>42468.645833333336</v>
      </c>
      <c r="M24" s="285">
        <f t="shared" si="1"/>
        <v>6.300000000104774</v>
      </c>
      <c r="N24" s="286">
        <f t="shared" si="2"/>
        <v>378</v>
      </c>
      <c r="O24" s="287" t="s">
        <v>130</v>
      </c>
      <c r="P24" s="288" t="str">
        <f t="shared" si="16"/>
        <v>--</v>
      </c>
      <c r="Q24" s="288" t="str">
        <f t="shared" si="3"/>
        <v>--</v>
      </c>
      <c r="R24" s="287" t="str">
        <f t="shared" si="4"/>
        <v>NO</v>
      </c>
      <c r="S24" s="151">
        <f t="shared" si="5"/>
        <v>0.30000000000000004</v>
      </c>
      <c r="T24" s="289">
        <f>IF(O24="P",J24*S24*ROUND(N24/60,2),"--")</f>
        <v>216.82080000000002</v>
      </c>
      <c r="U24" s="290" t="str">
        <f>IF(O24="RP",J24*S24*ROUND(N24/60,2)*Q24/100,"--")</f>
        <v>--</v>
      </c>
      <c r="V24" s="291" t="str">
        <f>IF(AND(O24="F",P24="NO"),J24*S24,"--")</f>
        <v>--</v>
      </c>
      <c r="W24" s="292" t="str">
        <f>IF(O24="F",J24*S24*ROUND(N24/60,2),"--")</f>
        <v>--</v>
      </c>
      <c r="X24" s="293" t="str">
        <f>IF(AND(O24="R",P24="NO"),J24*S24*Q24/100,"--")</f>
        <v>--</v>
      </c>
      <c r="Y24" s="294" t="str">
        <f>IF(O24="R",J24*S24*ROUND(N24/60,2)*Q24/100,"--")</f>
        <v>--</v>
      </c>
      <c r="Z24" s="295" t="str">
        <f>IF(O24="RF",J24*S24*ROUND(N24/60,2),"--")</f>
        <v>--</v>
      </c>
      <c r="AA24" s="296" t="str">
        <f>IF(O24="RR",J24*S24*ROUND(N24/60,2)*Q24/100,"--")</f>
        <v>--</v>
      </c>
      <c r="AB24" s="287" t="str">
        <f t="shared" si="14"/>
        <v>SI</v>
      </c>
      <c r="AC24" s="297">
        <f t="shared" si="15"/>
        <v>216.82080000000002</v>
      </c>
      <c r="AD24" s="217"/>
    </row>
    <row r="25" spans="2:30" s="10" customFormat="1" ht="17.1" customHeight="1">
      <c r="B25" s="216"/>
      <c r="C25" s="268">
        <v>19</v>
      </c>
      <c r="D25" s="268">
        <v>301337</v>
      </c>
      <c r="E25" s="268">
        <v>5754</v>
      </c>
      <c r="F25" s="125" t="s">
        <v>135</v>
      </c>
      <c r="G25" s="127" t="s">
        <v>162</v>
      </c>
      <c r="H25" s="281">
        <v>30</v>
      </c>
      <c r="I25" s="137" t="s">
        <v>136</v>
      </c>
      <c r="J25" s="283">
        <f>H25*$I$16</f>
        <v>57.36</v>
      </c>
      <c r="K25" s="284">
        <v>42473.430555555555</v>
      </c>
      <c r="L25" s="284">
        <v>42473.51736111111</v>
      </c>
      <c r="M25" s="285">
        <f aca="true" t="shared" si="17" ref="M25:M26">IF(F25="","",(L25-K25)*24)</f>
        <v>2.083333333313931</v>
      </c>
      <c r="N25" s="286">
        <f aca="true" t="shared" si="18" ref="N25:N26">IF(F25="","",ROUND((L25-K25)*24*60,0))</f>
        <v>125</v>
      </c>
      <c r="O25" s="287" t="s">
        <v>140</v>
      </c>
      <c r="P25" s="288" t="str">
        <f t="shared" si="16"/>
        <v>--</v>
      </c>
      <c r="Q25" s="288">
        <v>50</v>
      </c>
      <c r="R25" s="287" t="s">
        <v>163</v>
      </c>
      <c r="S25" s="151">
        <f aca="true" t="shared" si="19" ref="S25">$I$17*IF(OR(O25="P",O25="RP"),0.1,1)*IF(R25="SI",1,0.1)</f>
        <v>0.30000000000000004</v>
      </c>
      <c r="T25" s="289" t="str">
        <f>IF(O25="P",J25*S25*ROUND(N25/60,2),"--")</f>
        <v>--</v>
      </c>
      <c r="U25" s="290">
        <f>IF(O25="RP",J25*S25*ROUND(N25/60,2)*Q25/100,"--")</f>
        <v>17.896320000000003</v>
      </c>
      <c r="V25" s="291" t="str">
        <f>IF(AND(O25="F",P25="NO"),J25*S25,"--")</f>
        <v>--</v>
      </c>
      <c r="W25" s="292" t="str">
        <f>IF(O25="F",J25*S25*ROUND(N25/60,2),"--")</f>
        <v>--</v>
      </c>
      <c r="X25" s="293" t="str">
        <f>IF(AND(O25="R",P25="NO"),J25*S25*Q25/100,"--")</f>
        <v>--</v>
      </c>
      <c r="Y25" s="294" t="str">
        <f>IF(O25="R",J25*S25*ROUND(N25/60,2)*Q25/100,"--")</f>
        <v>--</v>
      </c>
      <c r="Z25" s="295" t="str">
        <f>IF(O25="RF",J25*S25*ROUND(N25/60,2),"--")</f>
        <v>--</v>
      </c>
      <c r="AA25" s="296" t="str">
        <f>IF(O25="RR",J25*S25*ROUND(N25/60,2)*Q25/100,"--")</f>
        <v>--</v>
      </c>
      <c r="AB25" s="287" t="str">
        <f aca="true" t="shared" si="20" ref="AB25">IF(F25="","","SI")</f>
        <v>SI</v>
      </c>
      <c r="AC25" s="297">
        <f aca="true" t="shared" si="21" ref="AC25">IF(F25="","",SUM(T25:AA25)*IF(AB25="SI",1,2))</f>
        <v>17.896320000000003</v>
      </c>
      <c r="AD25" s="217"/>
    </row>
    <row r="26" spans="2:30" s="10" customFormat="1" ht="17.1" customHeight="1">
      <c r="B26" s="216"/>
      <c r="C26" s="268">
        <v>20</v>
      </c>
      <c r="D26" s="268">
        <v>301338</v>
      </c>
      <c r="E26" s="268">
        <v>5716</v>
      </c>
      <c r="F26" s="125" t="s">
        <v>135</v>
      </c>
      <c r="G26" s="127" t="s">
        <v>164</v>
      </c>
      <c r="H26" s="281">
        <v>30</v>
      </c>
      <c r="I26" s="137" t="s">
        <v>136</v>
      </c>
      <c r="J26" s="283">
        <f>H26*$I$16</f>
        <v>57.36</v>
      </c>
      <c r="K26" s="284">
        <v>42473.55416666667</v>
      </c>
      <c r="L26" s="284">
        <v>42473.72430555556</v>
      </c>
      <c r="M26" s="285">
        <f t="shared" si="17"/>
        <v>4.083333333372138</v>
      </c>
      <c r="N26" s="286">
        <f t="shared" si="18"/>
        <v>245</v>
      </c>
      <c r="O26" s="287" t="s">
        <v>140</v>
      </c>
      <c r="P26" s="288" t="str">
        <f t="shared" si="16"/>
        <v>--</v>
      </c>
      <c r="Q26" s="288">
        <v>50</v>
      </c>
      <c r="R26" s="287" t="s">
        <v>163</v>
      </c>
      <c r="S26" s="151">
        <f aca="true" t="shared" si="22" ref="S26">$I$17*IF(OR(O26="P",O26="RP"),0.1,1)*IF(R26="SI",1,0.1)</f>
        <v>0.30000000000000004</v>
      </c>
      <c r="T26" s="289" t="str">
        <f>IF(O26="P",J26*S26*ROUND(N26/60,2),"--")</f>
        <v>--</v>
      </c>
      <c r="U26" s="290">
        <f>IF(O26="RP",J26*S26*ROUND(N26/60,2)*Q26/100,"--")</f>
        <v>35.10432</v>
      </c>
      <c r="V26" s="291" t="str">
        <f>IF(AND(O26="F",P26="NO"),J26*S26,"--")</f>
        <v>--</v>
      </c>
      <c r="W26" s="292" t="str">
        <f>IF(O26="F",J26*S26*ROUND(N26/60,2),"--")</f>
        <v>--</v>
      </c>
      <c r="X26" s="293" t="str">
        <f>IF(AND(O26="R",P26="NO"),J26*S26*Q26/100,"--")</f>
        <v>--</v>
      </c>
      <c r="Y26" s="294" t="str">
        <f>IF(O26="R",J26*S26*ROUND(N26/60,2)*Q26/100,"--")</f>
        <v>--</v>
      </c>
      <c r="Z26" s="295" t="str">
        <f>IF(O26="RF",J26*S26*ROUND(N26/60,2),"--")</f>
        <v>--</v>
      </c>
      <c r="AA26" s="296" t="str">
        <f>IF(O26="RR",J26*S26*ROUND(N26/60,2)*Q26/100,"--")</f>
        <v>--</v>
      </c>
      <c r="AB26" s="287" t="str">
        <f aca="true" t="shared" si="23" ref="AB26">IF(F26="","","SI")</f>
        <v>SI</v>
      </c>
      <c r="AC26" s="297">
        <f aca="true" t="shared" si="24" ref="AC26">IF(F26="","",SUM(T26:AA26)*IF(AB26="SI",1,2))</f>
        <v>35.10432</v>
      </c>
      <c r="AD26" s="217"/>
    </row>
    <row r="27" spans="2:30" s="10" customFormat="1" ht="17.1" customHeight="1">
      <c r="B27" s="216"/>
      <c r="C27" s="268">
        <v>21</v>
      </c>
      <c r="D27" s="268">
        <v>301341</v>
      </c>
      <c r="E27" s="268">
        <v>1013</v>
      </c>
      <c r="F27" s="125" t="s">
        <v>153</v>
      </c>
      <c r="G27" s="127" t="s">
        <v>157</v>
      </c>
      <c r="H27" s="281">
        <v>150</v>
      </c>
      <c r="I27" s="137" t="s">
        <v>156</v>
      </c>
      <c r="J27" s="283">
        <f t="shared" si="0"/>
        <v>286.8</v>
      </c>
      <c r="K27" s="284">
        <v>42475.20347222222</v>
      </c>
      <c r="L27" s="284">
        <v>42475.205555555556</v>
      </c>
      <c r="M27" s="285">
        <f t="shared" si="1"/>
        <v>0.04999999998835847</v>
      </c>
      <c r="N27" s="286">
        <f t="shared" si="2"/>
        <v>3</v>
      </c>
      <c r="O27" s="287" t="s">
        <v>143</v>
      </c>
      <c r="P27" s="288" t="str">
        <f t="shared" si="16"/>
        <v>NO</v>
      </c>
      <c r="Q27" s="288" t="str">
        <f t="shared" si="3"/>
        <v>--</v>
      </c>
      <c r="R27" s="287" t="str">
        <f t="shared" si="4"/>
        <v>NO</v>
      </c>
      <c r="S27" s="151">
        <f t="shared" si="5"/>
        <v>3</v>
      </c>
      <c r="T27" s="289" t="str">
        <f t="shared" si="6"/>
        <v>--</v>
      </c>
      <c r="U27" s="290" t="str">
        <f t="shared" si="7"/>
        <v>--</v>
      </c>
      <c r="V27" s="291">
        <f t="shared" si="8"/>
        <v>860.4000000000001</v>
      </c>
      <c r="W27" s="292">
        <f t="shared" si="9"/>
        <v>43.02000000000001</v>
      </c>
      <c r="X27" s="293" t="str">
        <f t="shared" si="10"/>
        <v>--</v>
      </c>
      <c r="Y27" s="294" t="str">
        <f t="shared" si="11"/>
        <v>--</v>
      </c>
      <c r="Z27" s="295" t="str">
        <f t="shared" si="12"/>
        <v>--</v>
      </c>
      <c r="AA27" s="296" t="str">
        <f t="shared" si="13"/>
        <v>--</v>
      </c>
      <c r="AB27" s="287" t="str">
        <f t="shared" si="14"/>
        <v>SI</v>
      </c>
      <c r="AC27" s="297">
        <f t="shared" si="15"/>
        <v>903.4200000000001</v>
      </c>
      <c r="AD27" s="217"/>
    </row>
    <row r="28" spans="2:30" s="10" customFormat="1" ht="17.1" customHeight="1">
      <c r="B28" s="216"/>
      <c r="C28" s="268">
        <v>22</v>
      </c>
      <c r="D28" s="268">
        <v>301343</v>
      </c>
      <c r="E28" s="268">
        <v>4663</v>
      </c>
      <c r="F28" s="125" t="s">
        <v>158</v>
      </c>
      <c r="G28" s="127" t="s">
        <v>159</v>
      </c>
      <c r="H28" s="281">
        <v>30</v>
      </c>
      <c r="I28" s="282" t="s">
        <v>141</v>
      </c>
      <c r="J28" s="283">
        <f t="shared" si="0"/>
        <v>57.36</v>
      </c>
      <c r="K28" s="284">
        <v>42477.31597222222</v>
      </c>
      <c r="L28" s="284">
        <v>42477.71319444444</v>
      </c>
      <c r="M28" s="285">
        <f t="shared" si="1"/>
        <v>9.533333333325572</v>
      </c>
      <c r="N28" s="286">
        <f t="shared" si="2"/>
        <v>572</v>
      </c>
      <c r="O28" s="287" t="s">
        <v>130</v>
      </c>
      <c r="P28" s="288" t="str">
        <f t="shared" si="16"/>
        <v>--</v>
      </c>
      <c r="Q28" s="288" t="str">
        <f t="shared" si="3"/>
        <v>--</v>
      </c>
      <c r="R28" s="287" t="str">
        <f t="shared" si="4"/>
        <v>NO</v>
      </c>
      <c r="S28" s="151">
        <f t="shared" si="5"/>
        <v>0.30000000000000004</v>
      </c>
      <c r="T28" s="289">
        <f t="shared" si="6"/>
        <v>163.99224</v>
      </c>
      <c r="U28" s="290" t="str">
        <f t="shared" si="7"/>
        <v>--</v>
      </c>
      <c r="V28" s="291" t="str">
        <f t="shared" si="8"/>
        <v>--</v>
      </c>
      <c r="W28" s="292" t="str">
        <f t="shared" si="9"/>
        <v>--</v>
      </c>
      <c r="X28" s="293" t="str">
        <f t="shared" si="10"/>
        <v>--</v>
      </c>
      <c r="Y28" s="294" t="str">
        <f t="shared" si="11"/>
        <v>--</v>
      </c>
      <c r="Z28" s="295" t="str">
        <f t="shared" si="12"/>
        <v>--</v>
      </c>
      <c r="AA28" s="296" t="str">
        <f t="shared" si="13"/>
        <v>--</v>
      </c>
      <c r="AB28" s="287" t="str">
        <f t="shared" si="14"/>
        <v>SI</v>
      </c>
      <c r="AC28" s="297">
        <f t="shared" si="15"/>
        <v>163.99224</v>
      </c>
      <c r="AD28" s="217"/>
    </row>
    <row r="29" spans="2:30" s="10" customFormat="1" ht="17.1" customHeight="1">
      <c r="B29" s="216"/>
      <c r="C29" s="268">
        <v>23</v>
      </c>
      <c r="D29" s="268">
        <v>301636</v>
      </c>
      <c r="E29" s="268">
        <v>4759</v>
      </c>
      <c r="F29" s="125" t="s">
        <v>160</v>
      </c>
      <c r="G29" s="127" t="s">
        <v>161</v>
      </c>
      <c r="H29" s="281">
        <v>30</v>
      </c>
      <c r="I29" s="282" t="s">
        <v>136</v>
      </c>
      <c r="J29" s="283">
        <f t="shared" si="0"/>
        <v>57.36</v>
      </c>
      <c r="K29" s="284">
        <v>42481.388194444444</v>
      </c>
      <c r="L29" s="284">
        <v>42481.78472222222</v>
      </c>
      <c r="M29" s="285">
        <f t="shared" si="1"/>
        <v>9.516666666604578</v>
      </c>
      <c r="N29" s="286">
        <f t="shared" si="2"/>
        <v>571</v>
      </c>
      <c r="O29" s="287" t="s">
        <v>130</v>
      </c>
      <c r="P29" s="288" t="str">
        <f t="shared" si="16"/>
        <v>--</v>
      </c>
      <c r="Q29" s="288" t="str">
        <f t="shared" si="3"/>
        <v>--</v>
      </c>
      <c r="R29" s="287" t="str">
        <f t="shared" si="4"/>
        <v>NO</v>
      </c>
      <c r="S29" s="151">
        <f t="shared" si="5"/>
        <v>0.30000000000000004</v>
      </c>
      <c r="T29" s="289">
        <f t="shared" si="6"/>
        <v>163.82016000000002</v>
      </c>
      <c r="U29" s="290" t="str">
        <f t="shared" si="7"/>
        <v>--</v>
      </c>
      <c r="V29" s="291" t="str">
        <f t="shared" si="8"/>
        <v>--</v>
      </c>
      <c r="W29" s="292" t="str">
        <f t="shared" si="9"/>
        <v>--</v>
      </c>
      <c r="X29" s="293" t="str">
        <f t="shared" si="10"/>
        <v>--</v>
      </c>
      <c r="Y29" s="294" t="str">
        <f t="shared" si="11"/>
        <v>--</v>
      </c>
      <c r="Z29" s="295" t="str">
        <f t="shared" si="12"/>
        <v>--</v>
      </c>
      <c r="AA29" s="296" t="str">
        <f t="shared" si="13"/>
        <v>--</v>
      </c>
      <c r="AB29" s="287" t="str">
        <f t="shared" si="14"/>
        <v>SI</v>
      </c>
      <c r="AC29" s="297">
        <f t="shared" si="15"/>
        <v>163.82016000000002</v>
      </c>
      <c r="AD29" s="217"/>
    </row>
    <row r="30" spans="2:30" s="10" customFormat="1" ht="17.1" customHeight="1">
      <c r="B30" s="216"/>
      <c r="C30" s="268">
        <v>24</v>
      </c>
      <c r="D30" s="268">
        <v>301904</v>
      </c>
      <c r="E30" s="268">
        <v>857</v>
      </c>
      <c r="F30" s="125" t="s">
        <v>152</v>
      </c>
      <c r="G30" s="127" t="s">
        <v>155</v>
      </c>
      <c r="H30" s="281">
        <v>30</v>
      </c>
      <c r="I30" s="282" t="s">
        <v>136</v>
      </c>
      <c r="J30" s="283">
        <f t="shared" si="0"/>
        <v>57.36</v>
      </c>
      <c r="K30" s="284">
        <v>42488.41805555556</v>
      </c>
      <c r="L30" s="284">
        <v>42488.72777777778</v>
      </c>
      <c r="M30" s="285">
        <f t="shared" si="1"/>
        <v>7.433333333290648</v>
      </c>
      <c r="N30" s="286">
        <f t="shared" si="2"/>
        <v>446</v>
      </c>
      <c r="O30" s="287" t="s">
        <v>130</v>
      </c>
      <c r="P30" s="288" t="str">
        <f>IF(F30="","",IF(OR(O30="P",O30="RP"),"--","NO"))</f>
        <v>--</v>
      </c>
      <c r="Q30" s="288" t="str">
        <f aca="true" t="shared" si="25" ref="Q30:Q38">IF(F30="","","--")</f>
        <v>--</v>
      </c>
      <c r="R30" s="287" t="str">
        <f>IF(F30="","","NO")</f>
        <v>NO</v>
      </c>
      <c r="S30" s="151">
        <f t="shared" si="5"/>
        <v>0.30000000000000004</v>
      </c>
      <c r="T30" s="289">
        <f t="shared" si="6"/>
        <v>127.85544000000002</v>
      </c>
      <c r="U30" s="290" t="str">
        <f t="shared" si="7"/>
        <v>--</v>
      </c>
      <c r="V30" s="291" t="str">
        <f t="shared" si="8"/>
        <v>--</v>
      </c>
      <c r="W30" s="292" t="str">
        <f t="shared" si="9"/>
        <v>--</v>
      </c>
      <c r="X30" s="293" t="str">
        <f t="shared" si="10"/>
        <v>--</v>
      </c>
      <c r="Y30" s="294" t="str">
        <f t="shared" si="11"/>
        <v>--</v>
      </c>
      <c r="Z30" s="295" t="str">
        <f t="shared" si="12"/>
        <v>--</v>
      </c>
      <c r="AA30" s="296" t="str">
        <f t="shared" si="13"/>
        <v>--</v>
      </c>
      <c r="AB30" s="287" t="str">
        <f t="shared" si="14"/>
        <v>SI</v>
      </c>
      <c r="AC30" s="297">
        <f t="shared" si="15"/>
        <v>127.85544000000002</v>
      </c>
      <c r="AD30" s="217"/>
    </row>
    <row r="31" spans="2:30" s="10" customFormat="1" ht="17.1" customHeight="1">
      <c r="B31" s="216"/>
      <c r="C31" s="268">
        <v>25</v>
      </c>
      <c r="D31" s="268">
        <v>301905</v>
      </c>
      <c r="E31" s="268">
        <v>873</v>
      </c>
      <c r="F31" s="125" t="s">
        <v>165</v>
      </c>
      <c r="G31" s="127" t="s">
        <v>166</v>
      </c>
      <c r="H31" s="281">
        <v>30</v>
      </c>
      <c r="I31" s="282" t="s">
        <v>141</v>
      </c>
      <c r="J31" s="283">
        <f t="shared" si="0"/>
        <v>57.36</v>
      </c>
      <c r="K31" s="284">
        <v>42488.47152777778</v>
      </c>
      <c r="L31" s="284">
        <v>42488.52361111111</v>
      </c>
      <c r="M31" s="285">
        <f t="shared" si="1"/>
        <v>1.2499999998835847</v>
      </c>
      <c r="N31" s="286">
        <f t="shared" si="2"/>
        <v>75</v>
      </c>
      <c r="O31" s="287" t="s">
        <v>140</v>
      </c>
      <c r="P31" s="288" t="str">
        <f>IF(F31="","",IF(OR(O31="P",O31="RP"),"--","NO"))</f>
        <v>--</v>
      </c>
      <c r="Q31" s="288">
        <v>40</v>
      </c>
      <c r="R31" s="287" t="s">
        <v>163</v>
      </c>
      <c r="S31" s="151">
        <f aca="true" t="shared" si="26" ref="S31:S32">$I$17*IF(OR(O31="P",O31="RP"),0.1,1)*IF(R31="SI",1,0.1)</f>
        <v>0.30000000000000004</v>
      </c>
      <c r="T31" s="289" t="str">
        <f aca="true" t="shared" si="27" ref="T31:T32">IF(O31="P",J31*S31*ROUND(N31/60,2),"--")</f>
        <v>--</v>
      </c>
      <c r="U31" s="290">
        <f aca="true" t="shared" si="28" ref="U31:U32">IF(O31="RP",J31*S31*ROUND(N31/60,2)*Q31/100,"--")</f>
        <v>8.604000000000001</v>
      </c>
      <c r="V31" s="291" t="str">
        <f aca="true" t="shared" si="29" ref="V31:V32">IF(AND(O31="F",P31="NO"),J31*S31,"--")</f>
        <v>--</v>
      </c>
      <c r="W31" s="292" t="str">
        <f aca="true" t="shared" si="30" ref="W31:W32">IF(O31="F",J31*S31*ROUND(N31/60,2),"--")</f>
        <v>--</v>
      </c>
      <c r="X31" s="293" t="str">
        <f aca="true" t="shared" si="31" ref="X31:X32">IF(AND(O31="R",P31="NO"),J31*S31*Q31/100,"--")</f>
        <v>--</v>
      </c>
      <c r="Y31" s="294" t="str">
        <f aca="true" t="shared" si="32" ref="Y31:Y32">IF(O31="R",J31*S31*ROUND(N31/60,2)*Q31/100,"--")</f>
        <v>--</v>
      </c>
      <c r="Z31" s="295" t="str">
        <f aca="true" t="shared" si="33" ref="Z31:Z32">IF(O31="RF",J31*S31*ROUND(N31/60,2),"--")</f>
        <v>--</v>
      </c>
      <c r="AA31" s="296" t="str">
        <f aca="true" t="shared" si="34" ref="AA31:AA32">IF(O31="RR",J31*S31*ROUND(N31/60,2)*Q31/100,"--")</f>
        <v>--</v>
      </c>
      <c r="AB31" s="287" t="s">
        <v>131</v>
      </c>
      <c r="AC31" s="297">
        <f t="shared" si="15"/>
        <v>8.604000000000001</v>
      </c>
      <c r="AD31" s="217"/>
    </row>
    <row r="32" spans="2:30" s="10" customFormat="1" ht="17.1" customHeight="1">
      <c r="B32" s="216"/>
      <c r="C32" s="268">
        <v>26</v>
      </c>
      <c r="D32" s="268">
        <v>301906</v>
      </c>
      <c r="E32" s="268">
        <v>869</v>
      </c>
      <c r="F32" s="125" t="s">
        <v>160</v>
      </c>
      <c r="G32" s="127" t="s">
        <v>157</v>
      </c>
      <c r="H32" s="281">
        <v>30</v>
      </c>
      <c r="I32" s="282" t="s">
        <v>136</v>
      </c>
      <c r="J32" s="283">
        <f t="shared" si="0"/>
        <v>57.36</v>
      </c>
      <c r="K32" s="284">
        <v>42489.40625</v>
      </c>
      <c r="L32" s="284">
        <v>42489.51944444444</v>
      </c>
      <c r="M32" s="285">
        <f t="shared" si="1"/>
        <v>2.71666666661622</v>
      </c>
      <c r="N32" s="286">
        <f t="shared" si="2"/>
        <v>163</v>
      </c>
      <c r="O32" s="287" t="s">
        <v>140</v>
      </c>
      <c r="P32" s="288" t="str">
        <f>IF(F32="","",IF(OR(O32="P",O32="RP"),"--","NO"))</f>
        <v>--</v>
      </c>
      <c r="Q32" s="288">
        <v>50</v>
      </c>
      <c r="R32" s="287" t="s">
        <v>163</v>
      </c>
      <c r="S32" s="151">
        <f t="shared" si="26"/>
        <v>0.30000000000000004</v>
      </c>
      <c r="T32" s="289" t="str">
        <f t="shared" si="27"/>
        <v>--</v>
      </c>
      <c r="U32" s="290">
        <f t="shared" si="28"/>
        <v>23.402880000000003</v>
      </c>
      <c r="V32" s="291" t="str">
        <f t="shared" si="29"/>
        <v>--</v>
      </c>
      <c r="W32" s="292" t="str">
        <f t="shared" si="30"/>
        <v>--</v>
      </c>
      <c r="X32" s="293" t="str">
        <f t="shared" si="31"/>
        <v>--</v>
      </c>
      <c r="Y32" s="294" t="str">
        <f t="shared" si="32"/>
        <v>--</v>
      </c>
      <c r="Z32" s="295" t="str">
        <f t="shared" si="33"/>
        <v>--</v>
      </c>
      <c r="AA32" s="296" t="str">
        <f t="shared" si="34"/>
        <v>--</v>
      </c>
      <c r="AB32" s="287" t="s">
        <v>131</v>
      </c>
      <c r="AC32" s="297">
        <f t="shared" si="15"/>
        <v>23.402880000000003</v>
      </c>
      <c r="AD32" s="217"/>
    </row>
    <row r="33" spans="2:30" s="10" customFormat="1" ht="17.1" customHeight="1">
      <c r="B33" s="216"/>
      <c r="C33" s="268">
        <v>27</v>
      </c>
      <c r="D33" s="268">
        <v>301907</v>
      </c>
      <c r="E33" s="268">
        <v>870</v>
      </c>
      <c r="F33" s="125" t="s">
        <v>160</v>
      </c>
      <c r="G33" s="127" t="s">
        <v>167</v>
      </c>
      <c r="H33" s="281">
        <v>30</v>
      </c>
      <c r="I33" s="282" t="s">
        <v>136</v>
      </c>
      <c r="J33" s="283">
        <f t="shared" si="0"/>
        <v>57.36</v>
      </c>
      <c r="K33" s="284">
        <v>42489.410416666666</v>
      </c>
      <c r="L33" s="284">
        <v>42489.51944444444</v>
      </c>
      <c r="M33" s="285">
        <f t="shared" si="1"/>
        <v>2.616666666639503</v>
      </c>
      <c r="N33" s="286">
        <f t="shared" si="2"/>
        <v>157</v>
      </c>
      <c r="O33" s="287" t="s">
        <v>140</v>
      </c>
      <c r="P33" s="288" t="str">
        <f>IF(F33="","",IF(OR(O33="P",O33="RP"),"--","NO"))</f>
        <v>--</v>
      </c>
      <c r="Q33" s="288">
        <v>50</v>
      </c>
      <c r="R33" s="287" t="s">
        <v>163</v>
      </c>
      <c r="S33" s="151">
        <f aca="true" t="shared" si="35" ref="S33">$I$17*IF(OR(O33="P",O33="RP"),0.1,1)*IF(R33="SI",1,0.1)</f>
        <v>0.30000000000000004</v>
      </c>
      <c r="T33" s="289" t="str">
        <f aca="true" t="shared" si="36" ref="T33">IF(O33="P",J33*S33*ROUND(N33/60,2),"--")</f>
        <v>--</v>
      </c>
      <c r="U33" s="290">
        <f aca="true" t="shared" si="37" ref="U33">IF(O33="RP",J33*S33*ROUND(N33/60,2)*Q33/100,"--")</f>
        <v>22.542480000000005</v>
      </c>
      <c r="V33" s="291" t="str">
        <f aca="true" t="shared" si="38" ref="V33">IF(AND(O33="F",P33="NO"),J33*S33,"--")</f>
        <v>--</v>
      </c>
      <c r="W33" s="292" t="str">
        <f aca="true" t="shared" si="39" ref="W33">IF(O33="F",J33*S33*ROUND(N33/60,2),"--")</f>
        <v>--</v>
      </c>
      <c r="X33" s="293" t="str">
        <f aca="true" t="shared" si="40" ref="X33">IF(AND(O33="R",P33="NO"),J33*S33*Q33/100,"--")</f>
        <v>--</v>
      </c>
      <c r="Y33" s="294" t="str">
        <f aca="true" t="shared" si="41" ref="Y33">IF(O33="R",J33*S33*ROUND(N33/60,2)*Q33/100,"--")</f>
        <v>--</v>
      </c>
      <c r="Z33" s="295" t="str">
        <f aca="true" t="shared" si="42" ref="Z33">IF(O33="RF",J33*S33*ROUND(N33/60,2),"--")</f>
        <v>--</v>
      </c>
      <c r="AA33" s="296" t="str">
        <f aca="true" t="shared" si="43" ref="AA33">IF(O33="RR",J33*S33*ROUND(N33/60,2)*Q33/100,"--")</f>
        <v>--</v>
      </c>
      <c r="AB33" s="287" t="s">
        <v>131</v>
      </c>
      <c r="AC33" s="297">
        <f t="shared" si="15"/>
        <v>22.542480000000005</v>
      </c>
      <c r="AD33" s="217"/>
    </row>
    <row r="34" spans="2:30" s="10" customFormat="1" ht="17.1" customHeight="1">
      <c r="B34" s="216"/>
      <c r="C34" s="268">
        <v>28</v>
      </c>
      <c r="D34" s="268">
        <v>301908</v>
      </c>
      <c r="E34" s="268">
        <v>1013</v>
      </c>
      <c r="F34" s="125" t="s">
        <v>153</v>
      </c>
      <c r="G34" s="127" t="s">
        <v>157</v>
      </c>
      <c r="H34" s="281">
        <v>150</v>
      </c>
      <c r="I34" s="137" t="s">
        <v>156</v>
      </c>
      <c r="J34" s="283">
        <f t="shared" si="0"/>
        <v>286.8</v>
      </c>
      <c r="K34" s="284">
        <v>42489.44305555556</v>
      </c>
      <c r="L34" s="284">
        <v>42489.629166666666</v>
      </c>
      <c r="M34" s="285">
        <f t="shared" si="1"/>
        <v>4.466666666558012</v>
      </c>
      <c r="N34" s="286">
        <f t="shared" si="2"/>
        <v>268</v>
      </c>
      <c r="O34" s="287" t="s">
        <v>130</v>
      </c>
      <c r="P34" s="288" t="str">
        <f>IF(F34="","",IF(OR(O34="P",O34="RP"),"--","NO"))</f>
        <v>--</v>
      </c>
      <c r="Q34" s="288" t="str">
        <f t="shared" si="25"/>
        <v>--</v>
      </c>
      <c r="R34" s="287" t="str">
        <f>IF(F34="","","NO")</f>
        <v>NO</v>
      </c>
      <c r="S34" s="151">
        <f t="shared" si="5"/>
        <v>0.30000000000000004</v>
      </c>
      <c r="T34" s="289">
        <f t="shared" si="6"/>
        <v>384.5988000000001</v>
      </c>
      <c r="U34" s="290" t="str">
        <f t="shared" si="7"/>
        <v>--</v>
      </c>
      <c r="V34" s="291" t="str">
        <f t="shared" si="8"/>
        <v>--</v>
      </c>
      <c r="W34" s="292" t="str">
        <f t="shared" si="9"/>
        <v>--</v>
      </c>
      <c r="X34" s="293" t="str">
        <f t="shared" si="10"/>
        <v>--</v>
      </c>
      <c r="Y34" s="294" t="str">
        <f t="shared" si="11"/>
        <v>--</v>
      </c>
      <c r="Z34" s="295" t="str">
        <f t="shared" si="12"/>
        <v>--</v>
      </c>
      <c r="AA34" s="296" t="str">
        <f t="shared" si="13"/>
        <v>--</v>
      </c>
      <c r="AB34" s="287" t="str">
        <f t="shared" si="14"/>
        <v>SI</v>
      </c>
      <c r="AC34" s="297">
        <f t="shared" si="15"/>
        <v>384.5988000000001</v>
      </c>
      <c r="AD34" s="217"/>
    </row>
    <row r="35" spans="2:30" s="10" customFormat="1" ht="17.1" customHeight="1">
      <c r="B35" s="216"/>
      <c r="C35" s="268"/>
      <c r="D35" s="268"/>
      <c r="E35" s="268"/>
      <c r="F35" s="125"/>
      <c r="G35" s="127"/>
      <c r="H35" s="281"/>
      <c r="I35" s="282"/>
      <c r="J35" s="283">
        <f t="shared" si="0"/>
        <v>0</v>
      </c>
      <c r="K35" s="284"/>
      <c r="L35" s="284"/>
      <c r="M35" s="285"/>
      <c r="N35" s="286"/>
      <c r="O35" s="287"/>
      <c r="P35" s="288" t="str">
        <f aca="true" t="shared" si="44" ref="P35:P38">IF(F35="","",IF(OR(O35="P",O35="RP"),"--","NO"))</f>
        <v/>
      </c>
      <c r="Q35" s="288" t="str">
        <f t="shared" si="25"/>
        <v/>
      </c>
      <c r="R35" s="287" t="str">
        <f aca="true" t="shared" si="45" ref="R35:R38">IF(F35="","","NO")</f>
        <v/>
      </c>
      <c r="S35" s="151">
        <f t="shared" si="5"/>
        <v>3</v>
      </c>
      <c r="T35" s="289" t="str">
        <f aca="true" t="shared" si="46" ref="T35:T38">IF(O35="P",J35*S35*ROUND(N35/60,2),"--")</f>
        <v>--</v>
      </c>
      <c r="U35" s="290" t="str">
        <f aca="true" t="shared" si="47" ref="U35:U38">IF(O35="RP",J35*S35*ROUND(N35/60,2)*Q35/100,"--")</f>
        <v>--</v>
      </c>
      <c r="V35" s="291" t="str">
        <f aca="true" t="shared" si="48" ref="V35:V38">IF(AND(O35="F",P35="NO"),J35*S35,"--")</f>
        <v>--</v>
      </c>
      <c r="W35" s="292" t="str">
        <f aca="true" t="shared" si="49" ref="W35:W38">IF(O35="F",J35*S35*ROUND(N35/60,2),"--")</f>
        <v>--</v>
      </c>
      <c r="X35" s="293" t="str">
        <f aca="true" t="shared" si="50" ref="X35:X38">IF(AND(O35="R",P35="NO"),J35*S35*Q35/100,"--")</f>
        <v>--</v>
      </c>
      <c r="Y35" s="294" t="str">
        <f aca="true" t="shared" si="51" ref="Y35:Y38">IF(O35="R",J35*S35*ROUND(N35/60,2)*Q35/100,"--")</f>
        <v>--</v>
      </c>
      <c r="Z35" s="295" t="str">
        <f aca="true" t="shared" si="52" ref="Z35:Z38">IF(O35="RF",J35*S35*ROUND(N35/60,2),"--")</f>
        <v>--</v>
      </c>
      <c r="AA35" s="296" t="str">
        <f aca="true" t="shared" si="53" ref="AA35:AA38">IF(O35="RR",J35*S35*ROUND(N35/60,2)*Q35/100,"--")</f>
        <v>--</v>
      </c>
      <c r="AB35" s="287" t="str">
        <f t="shared" si="14"/>
        <v/>
      </c>
      <c r="AC35" s="297" t="str">
        <f aca="true" t="shared" si="54" ref="AC35:AC38">IF(F35="","",SUM(T35:AA35)*IF(AB35="SI",1,2))</f>
        <v/>
      </c>
      <c r="AD35" s="217"/>
    </row>
    <row r="36" spans="2:30" s="10" customFormat="1" ht="17.1" customHeight="1">
      <c r="B36" s="216"/>
      <c r="C36" s="268"/>
      <c r="D36" s="268"/>
      <c r="E36" s="268"/>
      <c r="F36" s="125"/>
      <c r="G36" s="127"/>
      <c r="H36" s="281"/>
      <c r="I36" s="282"/>
      <c r="J36" s="283">
        <f t="shared" si="0"/>
        <v>0</v>
      </c>
      <c r="K36" s="284"/>
      <c r="L36" s="284"/>
      <c r="M36" s="285"/>
      <c r="N36" s="286"/>
      <c r="O36" s="287"/>
      <c r="P36" s="288" t="str">
        <f t="shared" si="44"/>
        <v/>
      </c>
      <c r="Q36" s="288" t="str">
        <f t="shared" si="25"/>
        <v/>
      </c>
      <c r="R36" s="287" t="str">
        <f t="shared" si="45"/>
        <v/>
      </c>
      <c r="S36" s="151">
        <f t="shared" si="5"/>
        <v>3</v>
      </c>
      <c r="T36" s="289" t="str">
        <f t="shared" si="46"/>
        <v>--</v>
      </c>
      <c r="U36" s="290" t="str">
        <f t="shared" si="47"/>
        <v>--</v>
      </c>
      <c r="V36" s="291" t="str">
        <f t="shared" si="48"/>
        <v>--</v>
      </c>
      <c r="W36" s="292" t="str">
        <f t="shared" si="49"/>
        <v>--</v>
      </c>
      <c r="X36" s="293" t="str">
        <f t="shared" si="50"/>
        <v>--</v>
      </c>
      <c r="Y36" s="294" t="str">
        <f t="shared" si="51"/>
        <v>--</v>
      </c>
      <c r="Z36" s="295" t="str">
        <f t="shared" si="52"/>
        <v>--</v>
      </c>
      <c r="AA36" s="296" t="str">
        <f t="shared" si="53"/>
        <v>--</v>
      </c>
      <c r="AB36" s="287" t="str">
        <f t="shared" si="14"/>
        <v/>
      </c>
      <c r="AC36" s="297" t="str">
        <f t="shared" si="54"/>
        <v/>
      </c>
      <c r="AD36" s="217"/>
    </row>
    <row r="37" spans="2:30" s="10" customFormat="1" ht="17.1" customHeight="1">
      <c r="B37" s="216"/>
      <c r="C37" s="268"/>
      <c r="D37" s="268"/>
      <c r="E37" s="268"/>
      <c r="F37" s="125"/>
      <c r="G37" s="127"/>
      <c r="H37" s="281"/>
      <c r="I37" s="282"/>
      <c r="J37" s="283">
        <f t="shared" si="0"/>
        <v>0</v>
      </c>
      <c r="K37" s="284"/>
      <c r="L37" s="284"/>
      <c r="M37" s="285"/>
      <c r="N37" s="286"/>
      <c r="O37" s="287"/>
      <c r="P37" s="288" t="str">
        <f t="shared" si="44"/>
        <v/>
      </c>
      <c r="Q37" s="288" t="str">
        <f t="shared" si="25"/>
        <v/>
      </c>
      <c r="R37" s="287" t="str">
        <f t="shared" si="45"/>
        <v/>
      </c>
      <c r="S37" s="151">
        <f t="shared" si="5"/>
        <v>3</v>
      </c>
      <c r="T37" s="289" t="str">
        <f t="shared" si="46"/>
        <v>--</v>
      </c>
      <c r="U37" s="290" t="str">
        <f t="shared" si="47"/>
        <v>--</v>
      </c>
      <c r="V37" s="291" t="str">
        <f t="shared" si="48"/>
        <v>--</v>
      </c>
      <c r="W37" s="292" t="str">
        <f t="shared" si="49"/>
        <v>--</v>
      </c>
      <c r="X37" s="293" t="str">
        <f t="shared" si="50"/>
        <v>--</v>
      </c>
      <c r="Y37" s="294" t="str">
        <f t="shared" si="51"/>
        <v>--</v>
      </c>
      <c r="Z37" s="295" t="str">
        <f t="shared" si="52"/>
        <v>--</v>
      </c>
      <c r="AA37" s="296" t="str">
        <f t="shared" si="53"/>
        <v>--</v>
      </c>
      <c r="AB37" s="287" t="str">
        <f t="shared" si="14"/>
        <v/>
      </c>
      <c r="AC37" s="297" t="str">
        <f t="shared" si="54"/>
        <v/>
      </c>
      <c r="AD37" s="217"/>
    </row>
    <row r="38" spans="2:30" s="10" customFormat="1" ht="17.1" customHeight="1">
      <c r="B38" s="216"/>
      <c r="C38" s="268"/>
      <c r="D38" s="268"/>
      <c r="E38" s="268"/>
      <c r="F38" s="125"/>
      <c r="G38" s="127"/>
      <c r="H38" s="281"/>
      <c r="I38" s="137"/>
      <c r="J38" s="283">
        <f t="shared" si="0"/>
        <v>0</v>
      </c>
      <c r="K38" s="284"/>
      <c r="L38" s="284"/>
      <c r="M38" s="285"/>
      <c r="N38" s="286"/>
      <c r="O38" s="287"/>
      <c r="P38" s="288" t="str">
        <f t="shared" si="44"/>
        <v/>
      </c>
      <c r="Q38" s="288" t="str">
        <f t="shared" si="25"/>
        <v/>
      </c>
      <c r="R38" s="287" t="str">
        <f t="shared" si="45"/>
        <v/>
      </c>
      <c r="S38" s="151">
        <f t="shared" si="5"/>
        <v>3</v>
      </c>
      <c r="T38" s="289" t="str">
        <f t="shared" si="46"/>
        <v>--</v>
      </c>
      <c r="U38" s="290" t="str">
        <f t="shared" si="47"/>
        <v>--</v>
      </c>
      <c r="V38" s="291" t="str">
        <f t="shared" si="48"/>
        <v>--</v>
      </c>
      <c r="W38" s="292" t="str">
        <f t="shared" si="49"/>
        <v>--</v>
      </c>
      <c r="X38" s="293" t="str">
        <f t="shared" si="50"/>
        <v>--</v>
      </c>
      <c r="Y38" s="294" t="str">
        <f t="shared" si="51"/>
        <v>--</v>
      </c>
      <c r="Z38" s="295" t="str">
        <f t="shared" si="52"/>
        <v>--</v>
      </c>
      <c r="AA38" s="296" t="str">
        <f t="shared" si="53"/>
        <v>--</v>
      </c>
      <c r="AB38" s="287" t="str">
        <f t="shared" si="14"/>
        <v/>
      </c>
      <c r="AC38" s="297" t="str">
        <f t="shared" si="54"/>
        <v/>
      </c>
      <c r="AD38" s="217"/>
    </row>
    <row r="39" spans="2:30" s="10" customFormat="1" ht="17.1" customHeight="1">
      <c r="B39" s="216"/>
      <c r="C39" s="268"/>
      <c r="D39" s="268"/>
      <c r="E39" s="268"/>
      <c r="F39" s="125"/>
      <c r="G39" s="127"/>
      <c r="H39" s="281"/>
      <c r="I39" s="282"/>
      <c r="J39" s="283">
        <f t="shared" si="0"/>
        <v>0</v>
      </c>
      <c r="K39" s="284"/>
      <c r="L39" s="284"/>
      <c r="M39" s="285" t="str">
        <f t="shared" si="1"/>
        <v/>
      </c>
      <c r="N39" s="286" t="str">
        <f t="shared" si="2"/>
        <v/>
      </c>
      <c r="O39" s="287"/>
      <c r="P39" s="288" t="str">
        <f t="shared" si="16"/>
        <v/>
      </c>
      <c r="Q39" s="288" t="str">
        <f aca="true" t="shared" si="55" ref="Q39:Q46">IF(F39="","","--")</f>
        <v/>
      </c>
      <c r="R39" s="287" t="str">
        <f t="shared" si="4"/>
        <v/>
      </c>
      <c r="S39" s="151">
        <f aca="true" t="shared" si="56" ref="S39:S46">$I$17*IF(OR(O39="P",O39="RP"),0.1,1)*IF(R39="SI",1,0.1)</f>
        <v>3</v>
      </c>
      <c r="T39" s="289" t="str">
        <f t="shared" si="6"/>
        <v>--</v>
      </c>
      <c r="U39" s="290" t="str">
        <f t="shared" si="7"/>
        <v>--</v>
      </c>
      <c r="V39" s="291" t="str">
        <f t="shared" si="8"/>
        <v>--</v>
      </c>
      <c r="W39" s="292" t="str">
        <f t="shared" si="9"/>
        <v>--</v>
      </c>
      <c r="X39" s="293" t="str">
        <f t="shared" si="10"/>
        <v>--</v>
      </c>
      <c r="Y39" s="294" t="str">
        <f t="shared" si="11"/>
        <v>--</v>
      </c>
      <c r="Z39" s="295" t="str">
        <f t="shared" si="12"/>
        <v>--</v>
      </c>
      <c r="AA39" s="296" t="str">
        <f t="shared" si="13"/>
        <v>--</v>
      </c>
      <c r="AB39" s="287" t="str">
        <f>IF(F39="","","SI")</f>
        <v/>
      </c>
      <c r="AC39" s="297" t="str">
        <f t="shared" si="15"/>
        <v/>
      </c>
      <c r="AD39" s="217"/>
    </row>
    <row r="40" spans="2:30" s="10" customFormat="1" ht="17.1" customHeight="1">
      <c r="B40" s="216"/>
      <c r="C40" s="268"/>
      <c r="D40" s="268"/>
      <c r="E40" s="268"/>
      <c r="F40" s="125"/>
      <c r="G40" s="127"/>
      <c r="H40" s="281"/>
      <c r="I40" s="282"/>
      <c r="J40" s="283">
        <f t="shared" si="0"/>
        <v>0</v>
      </c>
      <c r="K40" s="284"/>
      <c r="L40" s="284"/>
      <c r="M40" s="285" t="str">
        <f t="shared" si="1"/>
        <v/>
      </c>
      <c r="N40" s="286" t="str">
        <f t="shared" si="2"/>
        <v/>
      </c>
      <c r="O40" s="287"/>
      <c r="P40" s="288" t="str">
        <f t="shared" si="16"/>
        <v/>
      </c>
      <c r="Q40" s="288" t="str">
        <f t="shared" si="55"/>
        <v/>
      </c>
      <c r="R40" s="287" t="str">
        <f t="shared" si="4"/>
        <v/>
      </c>
      <c r="S40" s="151">
        <f t="shared" si="56"/>
        <v>3</v>
      </c>
      <c r="T40" s="289" t="str">
        <f aca="true" t="shared" si="57" ref="T40:T46">IF(O40="P",J40*S40*ROUND(N40/60,2),"--")</f>
        <v>--</v>
      </c>
      <c r="U40" s="290" t="str">
        <f t="shared" si="7"/>
        <v>--</v>
      </c>
      <c r="V40" s="291" t="str">
        <f t="shared" si="8"/>
        <v>--</v>
      </c>
      <c r="W40" s="292" t="str">
        <f t="shared" si="9"/>
        <v>--</v>
      </c>
      <c r="X40" s="293" t="str">
        <f t="shared" si="10"/>
        <v>--</v>
      </c>
      <c r="Y40" s="294" t="str">
        <f t="shared" si="11"/>
        <v>--</v>
      </c>
      <c r="Z40" s="295" t="str">
        <f t="shared" si="12"/>
        <v>--</v>
      </c>
      <c r="AA40" s="296" t="str">
        <f t="shared" si="13"/>
        <v>--</v>
      </c>
      <c r="AB40" s="287" t="str">
        <f aca="true" t="shared" si="58" ref="AB40:AB46">IF(F40="","","SI")</f>
        <v/>
      </c>
      <c r="AC40" s="297" t="str">
        <f t="shared" si="15"/>
        <v/>
      </c>
      <c r="AD40" s="217"/>
    </row>
    <row r="41" spans="2:30" s="10" customFormat="1" ht="17.1" customHeight="1">
      <c r="B41" s="216"/>
      <c r="C41" s="268"/>
      <c r="D41" s="268"/>
      <c r="E41" s="268"/>
      <c r="F41" s="125"/>
      <c r="G41" s="127"/>
      <c r="H41" s="281"/>
      <c r="I41" s="282"/>
      <c r="J41" s="283">
        <f aca="true" t="shared" si="59" ref="J41:J46">H41*$I$16</f>
        <v>0</v>
      </c>
      <c r="K41" s="284"/>
      <c r="L41" s="284"/>
      <c r="M41" s="285" t="str">
        <f t="shared" si="1"/>
        <v/>
      </c>
      <c r="N41" s="286" t="str">
        <f t="shared" si="2"/>
        <v/>
      </c>
      <c r="O41" s="287"/>
      <c r="P41" s="288" t="str">
        <f t="shared" si="16"/>
        <v/>
      </c>
      <c r="Q41" s="288" t="str">
        <f t="shared" si="55"/>
        <v/>
      </c>
      <c r="R41" s="287" t="str">
        <f t="shared" si="4"/>
        <v/>
      </c>
      <c r="S41" s="151">
        <f t="shared" si="56"/>
        <v>3</v>
      </c>
      <c r="T41" s="289" t="str">
        <f t="shared" si="57"/>
        <v>--</v>
      </c>
      <c r="U41" s="290" t="str">
        <f t="shared" si="7"/>
        <v>--</v>
      </c>
      <c r="V41" s="291" t="str">
        <f t="shared" si="8"/>
        <v>--</v>
      </c>
      <c r="W41" s="292" t="str">
        <f t="shared" si="9"/>
        <v>--</v>
      </c>
      <c r="X41" s="293" t="str">
        <f t="shared" si="10"/>
        <v>--</v>
      </c>
      <c r="Y41" s="294" t="str">
        <f t="shared" si="11"/>
        <v>--</v>
      </c>
      <c r="Z41" s="295" t="str">
        <f t="shared" si="12"/>
        <v>--</v>
      </c>
      <c r="AA41" s="296" t="str">
        <f t="shared" si="13"/>
        <v>--</v>
      </c>
      <c r="AB41" s="287" t="str">
        <f>IF(F41="","","SI")</f>
        <v/>
      </c>
      <c r="AC41" s="297" t="str">
        <f t="shared" si="15"/>
        <v/>
      </c>
      <c r="AD41" s="217"/>
    </row>
    <row r="42" spans="2:30" s="10" customFormat="1" ht="17.1" customHeight="1">
      <c r="B42" s="216"/>
      <c r="C42" s="268"/>
      <c r="D42" s="268"/>
      <c r="E42" s="268"/>
      <c r="F42" s="125"/>
      <c r="G42" s="127"/>
      <c r="H42" s="281"/>
      <c r="I42" s="282"/>
      <c r="J42" s="283">
        <f t="shared" si="59"/>
        <v>0</v>
      </c>
      <c r="K42" s="284"/>
      <c r="L42" s="284"/>
      <c r="M42" s="285" t="str">
        <f t="shared" si="1"/>
        <v/>
      </c>
      <c r="N42" s="286" t="str">
        <f t="shared" si="2"/>
        <v/>
      </c>
      <c r="O42" s="287"/>
      <c r="P42" s="288" t="str">
        <f t="shared" si="16"/>
        <v/>
      </c>
      <c r="Q42" s="288" t="str">
        <f t="shared" si="55"/>
        <v/>
      </c>
      <c r="R42" s="287" t="str">
        <f t="shared" si="4"/>
        <v/>
      </c>
      <c r="S42" s="151">
        <f t="shared" si="56"/>
        <v>3</v>
      </c>
      <c r="T42" s="289" t="str">
        <f t="shared" si="57"/>
        <v>--</v>
      </c>
      <c r="U42" s="290" t="str">
        <f t="shared" si="7"/>
        <v>--</v>
      </c>
      <c r="V42" s="291" t="str">
        <f t="shared" si="8"/>
        <v>--</v>
      </c>
      <c r="W42" s="292" t="str">
        <f t="shared" si="9"/>
        <v>--</v>
      </c>
      <c r="X42" s="293" t="str">
        <f t="shared" si="10"/>
        <v>--</v>
      </c>
      <c r="Y42" s="294" t="str">
        <f t="shared" si="11"/>
        <v>--</v>
      </c>
      <c r="Z42" s="295" t="str">
        <f t="shared" si="12"/>
        <v>--</v>
      </c>
      <c r="AA42" s="296" t="str">
        <f t="shared" si="13"/>
        <v>--</v>
      </c>
      <c r="AB42" s="287" t="str">
        <f t="shared" si="58"/>
        <v/>
      </c>
      <c r="AC42" s="297" t="str">
        <f t="shared" si="15"/>
        <v/>
      </c>
      <c r="AD42" s="217"/>
    </row>
    <row r="43" spans="2:30" s="10" customFormat="1" ht="17.1" customHeight="1">
      <c r="B43" s="216"/>
      <c r="C43" s="268"/>
      <c r="D43" s="268"/>
      <c r="E43" s="268"/>
      <c r="F43" s="125"/>
      <c r="G43" s="127"/>
      <c r="H43" s="281"/>
      <c r="I43" s="282"/>
      <c r="J43" s="283">
        <f t="shared" si="59"/>
        <v>0</v>
      </c>
      <c r="K43" s="284"/>
      <c r="L43" s="284"/>
      <c r="M43" s="285" t="str">
        <f t="shared" si="1"/>
        <v/>
      </c>
      <c r="N43" s="286" t="str">
        <f t="shared" si="2"/>
        <v/>
      </c>
      <c r="O43" s="287"/>
      <c r="P43" s="288" t="str">
        <f t="shared" si="16"/>
        <v/>
      </c>
      <c r="Q43" s="288" t="str">
        <f t="shared" si="55"/>
        <v/>
      </c>
      <c r="R43" s="287" t="str">
        <f t="shared" si="4"/>
        <v/>
      </c>
      <c r="S43" s="151">
        <f t="shared" si="56"/>
        <v>3</v>
      </c>
      <c r="T43" s="289" t="str">
        <f t="shared" si="57"/>
        <v>--</v>
      </c>
      <c r="U43" s="290" t="str">
        <f t="shared" si="7"/>
        <v>--</v>
      </c>
      <c r="V43" s="291" t="str">
        <f t="shared" si="8"/>
        <v>--</v>
      </c>
      <c r="W43" s="292" t="str">
        <f t="shared" si="9"/>
        <v>--</v>
      </c>
      <c r="X43" s="293" t="str">
        <f t="shared" si="10"/>
        <v>--</v>
      </c>
      <c r="Y43" s="294" t="str">
        <f t="shared" si="11"/>
        <v>--</v>
      </c>
      <c r="Z43" s="295" t="str">
        <f t="shared" si="12"/>
        <v>--</v>
      </c>
      <c r="AA43" s="296" t="str">
        <f t="shared" si="13"/>
        <v>--</v>
      </c>
      <c r="AB43" s="287" t="str">
        <f>IF(F43="","","SI")</f>
        <v/>
      </c>
      <c r="AC43" s="297" t="str">
        <f t="shared" si="15"/>
        <v/>
      </c>
      <c r="AD43" s="217"/>
    </row>
    <row r="44" spans="2:30" s="10" customFormat="1" ht="17.1" customHeight="1">
      <c r="B44" s="216"/>
      <c r="C44" s="268"/>
      <c r="D44" s="268"/>
      <c r="E44" s="268"/>
      <c r="F44" s="125"/>
      <c r="G44" s="127"/>
      <c r="H44" s="281"/>
      <c r="I44" s="282"/>
      <c r="J44" s="283">
        <f t="shared" si="59"/>
        <v>0</v>
      </c>
      <c r="K44" s="284"/>
      <c r="L44" s="284"/>
      <c r="M44" s="285" t="str">
        <f t="shared" si="1"/>
        <v/>
      </c>
      <c r="N44" s="286" t="str">
        <f t="shared" si="2"/>
        <v/>
      </c>
      <c r="O44" s="287"/>
      <c r="P44" s="288" t="str">
        <f t="shared" si="16"/>
        <v/>
      </c>
      <c r="Q44" s="288" t="str">
        <f t="shared" si="55"/>
        <v/>
      </c>
      <c r="R44" s="287" t="str">
        <f t="shared" si="4"/>
        <v/>
      </c>
      <c r="S44" s="151">
        <f t="shared" si="56"/>
        <v>3</v>
      </c>
      <c r="T44" s="289" t="str">
        <f t="shared" si="57"/>
        <v>--</v>
      </c>
      <c r="U44" s="290" t="str">
        <f t="shared" si="7"/>
        <v>--</v>
      </c>
      <c r="V44" s="291" t="str">
        <f t="shared" si="8"/>
        <v>--</v>
      </c>
      <c r="W44" s="292" t="str">
        <f t="shared" si="9"/>
        <v>--</v>
      </c>
      <c r="X44" s="293" t="str">
        <f t="shared" si="10"/>
        <v>--</v>
      </c>
      <c r="Y44" s="294" t="str">
        <f t="shared" si="11"/>
        <v>--</v>
      </c>
      <c r="Z44" s="295" t="str">
        <f t="shared" si="12"/>
        <v>--</v>
      </c>
      <c r="AA44" s="296" t="str">
        <f t="shared" si="13"/>
        <v>--</v>
      </c>
      <c r="AB44" s="287" t="str">
        <f t="shared" si="58"/>
        <v/>
      </c>
      <c r="AC44" s="297" t="str">
        <f t="shared" si="15"/>
        <v/>
      </c>
      <c r="AD44" s="217"/>
    </row>
    <row r="45" spans="2:30" s="10" customFormat="1" ht="17.1" customHeight="1">
      <c r="B45" s="216"/>
      <c r="C45" s="268"/>
      <c r="D45" s="268"/>
      <c r="E45" s="268"/>
      <c r="F45" s="125"/>
      <c r="G45" s="127"/>
      <c r="H45" s="281"/>
      <c r="I45" s="282"/>
      <c r="J45" s="283">
        <f t="shared" si="59"/>
        <v>0</v>
      </c>
      <c r="K45" s="284"/>
      <c r="L45" s="284"/>
      <c r="M45" s="285" t="str">
        <f t="shared" si="1"/>
        <v/>
      </c>
      <c r="N45" s="286" t="str">
        <f t="shared" si="2"/>
        <v/>
      </c>
      <c r="O45" s="287"/>
      <c r="P45" s="288" t="str">
        <f t="shared" si="16"/>
        <v/>
      </c>
      <c r="Q45" s="288" t="str">
        <f t="shared" si="55"/>
        <v/>
      </c>
      <c r="R45" s="287" t="str">
        <f t="shared" si="4"/>
        <v/>
      </c>
      <c r="S45" s="151">
        <f t="shared" si="56"/>
        <v>3</v>
      </c>
      <c r="T45" s="289" t="str">
        <f t="shared" si="57"/>
        <v>--</v>
      </c>
      <c r="U45" s="290" t="str">
        <f t="shared" si="7"/>
        <v>--</v>
      </c>
      <c r="V45" s="291" t="str">
        <f t="shared" si="8"/>
        <v>--</v>
      </c>
      <c r="W45" s="292" t="str">
        <f t="shared" si="9"/>
        <v>--</v>
      </c>
      <c r="X45" s="293" t="str">
        <f t="shared" si="10"/>
        <v>--</v>
      </c>
      <c r="Y45" s="294" t="str">
        <f t="shared" si="11"/>
        <v>--</v>
      </c>
      <c r="Z45" s="295" t="str">
        <f t="shared" si="12"/>
        <v>--</v>
      </c>
      <c r="AA45" s="296" t="str">
        <f t="shared" si="13"/>
        <v>--</v>
      </c>
      <c r="AB45" s="287" t="str">
        <f>IF(F45="","","SI")</f>
        <v/>
      </c>
      <c r="AC45" s="297" t="str">
        <f t="shared" si="15"/>
        <v/>
      </c>
      <c r="AD45" s="217"/>
    </row>
    <row r="46" spans="2:30" s="10" customFormat="1" ht="17.1" customHeight="1">
      <c r="B46" s="216"/>
      <c r="C46" s="268"/>
      <c r="D46" s="268"/>
      <c r="E46" s="268"/>
      <c r="F46" s="125"/>
      <c r="G46" s="127"/>
      <c r="H46" s="281"/>
      <c r="I46" s="282"/>
      <c r="J46" s="283">
        <f t="shared" si="59"/>
        <v>0</v>
      </c>
      <c r="K46" s="284"/>
      <c r="L46" s="284"/>
      <c r="M46" s="285" t="str">
        <f t="shared" si="1"/>
        <v/>
      </c>
      <c r="N46" s="286" t="str">
        <f t="shared" si="2"/>
        <v/>
      </c>
      <c r="O46" s="287"/>
      <c r="P46" s="288" t="str">
        <f t="shared" si="16"/>
        <v/>
      </c>
      <c r="Q46" s="288" t="str">
        <f t="shared" si="55"/>
        <v/>
      </c>
      <c r="R46" s="287" t="str">
        <f t="shared" si="4"/>
        <v/>
      </c>
      <c r="S46" s="151">
        <f t="shared" si="56"/>
        <v>3</v>
      </c>
      <c r="T46" s="289" t="str">
        <f t="shared" si="57"/>
        <v>--</v>
      </c>
      <c r="U46" s="290" t="str">
        <f t="shared" si="7"/>
        <v>--</v>
      </c>
      <c r="V46" s="291" t="str">
        <f t="shared" si="8"/>
        <v>--</v>
      </c>
      <c r="W46" s="292" t="str">
        <f t="shared" si="9"/>
        <v>--</v>
      </c>
      <c r="X46" s="293" t="str">
        <f t="shared" si="10"/>
        <v>--</v>
      </c>
      <c r="Y46" s="294" t="str">
        <f t="shared" si="11"/>
        <v>--</v>
      </c>
      <c r="Z46" s="295" t="str">
        <f t="shared" si="12"/>
        <v>--</v>
      </c>
      <c r="AA46" s="296" t="str">
        <f t="shared" si="13"/>
        <v>--</v>
      </c>
      <c r="AB46" s="287" t="str">
        <f t="shared" si="58"/>
        <v/>
      </c>
      <c r="AC46" s="297" t="str">
        <f t="shared" si="15"/>
        <v/>
      </c>
      <c r="AD46" s="217"/>
    </row>
    <row r="47" spans="2:30" s="10" customFormat="1" ht="17.1" customHeight="1" thickBot="1">
      <c r="B47" s="216"/>
      <c r="C47" s="299"/>
      <c r="D47" s="299"/>
      <c r="E47" s="299"/>
      <c r="F47" s="299"/>
      <c r="G47" s="299"/>
      <c r="H47" s="299"/>
      <c r="I47" s="299"/>
      <c r="J47" s="300"/>
      <c r="K47" s="299"/>
      <c r="L47" s="299"/>
      <c r="M47" s="299"/>
      <c r="N47" s="299"/>
      <c r="O47" s="299"/>
      <c r="P47" s="299"/>
      <c r="Q47" s="299"/>
      <c r="R47" s="299"/>
      <c r="S47" s="301"/>
      <c r="T47" s="302"/>
      <c r="U47" s="303"/>
      <c r="V47" s="304"/>
      <c r="W47" s="305"/>
      <c r="X47" s="306"/>
      <c r="Y47" s="307"/>
      <c r="Z47" s="308"/>
      <c r="AA47" s="309"/>
      <c r="AB47" s="299"/>
      <c r="AC47" s="310"/>
      <c r="AD47" s="217"/>
    </row>
    <row r="48" spans="2:30" s="10" customFormat="1" ht="17.1" customHeight="1" thickBot="1" thickTop="1">
      <c r="B48" s="216"/>
      <c r="C48" s="171" t="s">
        <v>73</v>
      </c>
      <c r="D48" s="418" t="s">
        <v>144</v>
      </c>
      <c r="E48" s="186"/>
      <c r="F48" s="172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311">
        <f>SUM(T20:T47)</f>
        <v>1306.7755200000001</v>
      </c>
      <c r="U48" s="312">
        <f>SUM(U20:U47)</f>
        <v>107.55000000000001</v>
      </c>
      <c r="V48" s="313">
        <f>SUM(V20:V47)</f>
        <v>860.4000000000001</v>
      </c>
      <c r="W48" s="314">
        <f>SUM(W22:W47)</f>
        <v>43.02000000000001</v>
      </c>
      <c r="X48" s="315">
        <f>SUM(X20:X47)</f>
        <v>0</v>
      </c>
      <c r="Y48" s="315">
        <f>SUM(Y22:Y47)</f>
        <v>0</v>
      </c>
      <c r="Z48" s="316">
        <f>SUM(Z20:Z47)</f>
        <v>0</v>
      </c>
      <c r="AA48" s="317">
        <f>SUM(AA22:AA47)</f>
        <v>0</v>
      </c>
      <c r="AB48" s="318"/>
      <c r="AC48" s="319">
        <f>ROUND(SUM(AC20:AC47),2)</f>
        <v>2317.75</v>
      </c>
      <c r="AD48" s="217"/>
    </row>
    <row r="49" spans="2:30" s="184" customFormat="1" ht="9.75" thickTop="1">
      <c r="B49" s="320"/>
      <c r="C49" s="186"/>
      <c r="D49" s="186"/>
      <c r="E49" s="186"/>
      <c r="F49" s="187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2"/>
      <c r="U49" s="322"/>
      <c r="V49" s="322"/>
      <c r="W49" s="322"/>
      <c r="X49" s="322"/>
      <c r="Y49" s="322"/>
      <c r="Z49" s="322"/>
      <c r="AA49" s="322"/>
      <c r="AB49" s="321"/>
      <c r="AC49" s="323"/>
      <c r="AD49" s="324"/>
    </row>
    <row r="50" spans="2:30" s="10" customFormat="1" ht="17.1" customHeight="1" thickBot="1">
      <c r="B50" s="325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7"/>
    </row>
    <row r="51" spans="2:30" ht="17.1" customHeight="1" thickTop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328"/>
    </row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</sheetData>
  <printOptions/>
  <pageMargins left="0.25" right="0.25" top="0.75" bottom="0.75" header="0.3" footer="0.3"/>
  <pageSetup fitToHeight="1" fitToWidth="1" horizontalDpi="600" verticalDpi="600" orientation="landscape" paperSize="9" scale="57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2289" r:id="rId4" name="Button 1">
              <controlPr defaultSize="0" print="0" autoFill="0" autoPict="0" macro="[0]!Referencias_Trafos">
                <anchor moveWithCells="1" sizeWithCells="1">
                  <from>
                    <xdr:col>0</xdr:col>
                    <xdr:colOff>57150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pageSetUpPr fitToPage="1"/>
  </sheetPr>
  <dimension ref="A1:W47"/>
  <sheetViews>
    <sheetView zoomScale="80" zoomScaleNormal="80" workbookViewId="0" topLeftCell="A1">
      <selection activeCell="A20" sqref="A20"/>
    </sheetView>
  </sheetViews>
  <sheetFormatPr defaultColWidth="11.421875" defaultRowHeight="12.75"/>
  <cols>
    <col min="1" max="1" width="17.5742187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7.00390625" style="1" customWidth="1"/>
    <col min="8" max="8" width="10.7109375" style="1" customWidth="1"/>
    <col min="9" max="9" width="8.7109375" style="1" hidden="1" customWidth="1"/>
    <col min="10" max="10" width="16.140625" style="1" customWidth="1"/>
    <col min="11" max="11" width="16.28125" style="1" customWidth="1"/>
    <col min="12" max="14" width="9.7109375" style="1" customWidth="1"/>
    <col min="15" max="15" width="5.7109375" style="1" bestFit="1" customWidth="1"/>
    <col min="16" max="16" width="5.57421875" style="1" hidden="1" customWidth="1"/>
    <col min="17" max="17" width="12.28125" style="1" hidden="1" customWidth="1"/>
    <col min="18" max="19" width="5.00390625" style="1" hidden="1" customWidth="1"/>
    <col min="20" max="20" width="11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29"/>
      <c r="W1" s="394"/>
    </row>
    <row r="2" spans="1:23" s="6" customFormat="1" ht="26.25">
      <c r="A2" s="329"/>
      <c r="B2" s="67" t="str">
        <f>+'TOT-0416'!B2</f>
        <v>ANEXO V al Memorándum D.T.E.E. N°         639    /2016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30"/>
      <c r="B3" s="6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4" t="s">
        <v>3</v>
      </c>
      <c r="B4" s="331"/>
    </row>
    <row r="5" spans="1:2" s="13" customFormat="1" ht="11.25">
      <c r="A5" s="204" t="s">
        <v>4</v>
      </c>
      <c r="B5" s="331"/>
    </row>
    <row r="6" s="10" customFormat="1" ht="17.1" customHeight="1" thickBot="1"/>
    <row r="7" spans="2:23" s="10" customFormat="1" ht="17.1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</row>
    <row r="8" spans="2:23" s="73" customFormat="1" ht="20.25">
      <c r="B8" s="74"/>
      <c r="F8" s="75" t="s">
        <v>52</v>
      </c>
      <c r="P8" s="76"/>
      <c r="Q8" s="76"/>
      <c r="R8" s="76"/>
      <c r="S8" s="76"/>
      <c r="T8" s="76"/>
      <c r="U8" s="76"/>
      <c r="V8" s="76"/>
      <c r="W8" s="77"/>
    </row>
    <row r="9" spans="2:23" s="10" customFormat="1" ht="17.1" customHeight="1">
      <c r="B9" s="44"/>
      <c r="F9" s="12"/>
      <c r="G9" s="12"/>
      <c r="H9" s="12"/>
      <c r="I9" s="83"/>
      <c r="J9" s="83"/>
      <c r="K9" s="83"/>
      <c r="L9" s="83"/>
      <c r="M9" s="83"/>
      <c r="P9" s="12"/>
      <c r="Q9" s="12"/>
      <c r="R9" s="12"/>
      <c r="S9" s="12"/>
      <c r="T9" s="12"/>
      <c r="U9" s="12"/>
      <c r="V9" s="12"/>
      <c r="W9" s="49"/>
    </row>
    <row r="10" spans="2:23" s="73" customFormat="1" ht="20.25">
      <c r="B10" s="74"/>
      <c r="F10" s="75" t="s">
        <v>53</v>
      </c>
      <c r="G10" s="75"/>
      <c r="H10" s="76"/>
      <c r="I10" s="75"/>
      <c r="J10" s="75"/>
      <c r="K10" s="75"/>
      <c r="L10" s="75"/>
      <c r="M10" s="75"/>
      <c r="P10" s="76"/>
      <c r="Q10" s="76"/>
      <c r="R10" s="76"/>
      <c r="S10" s="76"/>
      <c r="T10" s="76"/>
      <c r="U10" s="76"/>
      <c r="V10" s="76"/>
      <c r="W10" s="77"/>
    </row>
    <row r="11" spans="2:23" s="10" customFormat="1" ht="17.1" customHeight="1">
      <c r="B11" s="44"/>
      <c r="C11" s="12"/>
      <c r="D11" s="12"/>
      <c r="E11" s="12"/>
      <c r="F11" s="332"/>
      <c r="G11" s="83"/>
      <c r="H11" s="12"/>
      <c r="I11" s="83"/>
      <c r="J11" s="83"/>
      <c r="K11" s="83"/>
      <c r="L11" s="83"/>
      <c r="M11" s="83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+'TOT-0416'!B14</f>
        <v>Desde el 01 al 30 de abril de 2016</v>
      </c>
      <c r="C12" s="333"/>
      <c r="D12" s="333"/>
      <c r="E12" s="333"/>
      <c r="F12" s="34"/>
      <c r="G12" s="34"/>
      <c r="H12" s="34"/>
      <c r="I12" s="34"/>
      <c r="J12" s="80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2"/>
    </row>
    <row r="13" spans="2:23" s="10" customFormat="1" ht="17.1" customHeight="1" thickBot="1">
      <c r="B13" s="44"/>
      <c r="C13" s="12"/>
      <c r="D13" s="12"/>
      <c r="E13" s="12"/>
      <c r="I13" s="85"/>
      <c r="K13" s="12"/>
      <c r="L13" s="12"/>
      <c r="M13" s="12"/>
      <c r="N13" s="85"/>
      <c r="O13" s="85"/>
      <c r="P13" s="85"/>
      <c r="Q13" s="12"/>
      <c r="R13" s="12"/>
      <c r="S13" s="12"/>
      <c r="T13" s="12"/>
      <c r="U13" s="12"/>
      <c r="V13" s="12"/>
      <c r="W13" s="49"/>
    </row>
    <row r="14" spans="2:23" s="10" customFormat="1" ht="17.1" customHeight="1" thickBot="1" thickTop="1">
      <c r="B14" s="44"/>
      <c r="C14" s="12"/>
      <c r="D14" s="12"/>
      <c r="E14" s="12"/>
      <c r="F14" s="334" t="s">
        <v>54</v>
      </c>
      <c r="G14" s="335">
        <v>50.877</v>
      </c>
      <c r="H14" s="336">
        <f>60*'TOT-0416'!B13</f>
        <v>60</v>
      </c>
      <c r="I14" s="85"/>
      <c r="J14" s="236" t="str">
        <f>IF(H14=60," ",IF(H14=120,"    Coeficiente duplicado por tasa de falla &gt;4 Sal. x año/100 km.","    REVISAR COEFICIENTE"))</f>
        <v xml:space="preserve"> </v>
      </c>
      <c r="K14" s="12"/>
      <c r="L14" s="12"/>
      <c r="M14" s="12"/>
      <c r="N14" s="85"/>
      <c r="O14" s="85"/>
      <c r="P14" s="85"/>
      <c r="Q14" s="12"/>
      <c r="R14" s="12"/>
      <c r="S14" s="12"/>
      <c r="T14" s="12"/>
      <c r="U14" s="12"/>
      <c r="V14" s="12"/>
      <c r="W14" s="49"/>
    </row>
    <row r="15" spans="2:23" s="10" customFormat="1" ht="17.1" customHeight="1" thickBot="1" thickTop="1">
      <c r="B15" s="44"/>
      <c r="C15" s="12"/>
      <c r="D15" s="12"/>
      <c r="E15" s="12"/>
      <c r="F15" s="334" t="s">
        <v>55</v>
      </c>
      <c r="G15" s="335">
        <v>25.439</v>
      </c>
      <c r="H15" s="336">
        <f>50*'TOT-0416'!B13</f>
        <v>50</v>
      </c>
      <c r="J15" s="236" t="str">
        <f>IF(H15=50," ",IF(H15=100,"    Coeficiente duplicado por tasa de falla &gt;4 Sal. x año/100 km.","    REVISAR COEFICIENTE"))</f>
        <v xml:space="preserve"> </v>
      </c>
      <c r="S15" s="12"/>
      <c r="T15" s="12"/>
      <c r="U15" s="12"/>
      <c r="V15" s="337"/>
      <c r="W15" s="49"/>
    </row>
    <row r="16" spans="2:23" s="10" customFormat="1" ht="17.1" customHeight="1" thickBot="1" thickTop="1">
      <c r="B16" s="44"/>
      <c r="C16" s="12"/>
      <c r="D16" s="12"/>
      <c r="E16" s="12"/>
      <c r="F16" s="338" t="s">
        <v>56</v>
      </c>
      <c r="G16" s="339">
        <v>19.085</v>
      </c>
      <c r="H16" s="340">
        <f>25*'TOT-0416'!B13</f>
        <v>25</v>
      </c>
      <c r="J16" s="236" t="str">
        <f>IF(H16=25," ",IF(H16=50,"    Coeficiente duplicado por tasa de falla &gt;4 Sal. x año/100 km.","    REVISAR COEFICIENTE"))</f>
        <v xml:space="preserve"> </v>
      </c>
      <c r="K16" s="94"/>
      <c r="L16" s="94"/>
      <c r="M16" s="12"/>
      <c r="P16" s="341"/>
      <c r="Q16" s="342"/>
      <c r="R16" s="4"/>
      <c r="S16" s="12"/>
      <c r="T16" s="12"/>
      <c r="U16" s="12"/>
      <c r="V16" s="337"/>
      <c r="W16" s="49"/>
    </row>
    <row r="17" spans="2:23" s="10" customFormat="1" ht="17.1" customHeight="1" thickBot="1" thickTop="1">
      <c r="B17" s="44"/>
      <c r="C17" s="12"/>
      <c r="D17" s="12"/>
      <c r="E17" s="12"/>
      <c r="F17" s="343" t="s">
        <v>57</v>
      </c>
      <c r="G17" s="415">
        <v>19.085</v>
      </c>
      <c r="H17" s="344">
        <f>20*'TOT-0416'!B13</f>
        <v>20</v>
      </c>
      <c r="J17" s="236" t="str">
        <f>IF(H17=20," ",IF(H17=40,"    Coeficiente duplicado por tasa de falla &gt;4 Sal. x año/100 km.","    REVISAR COEFICIENTE"))</f>
        <v xml:space="preserve"> </v>
      </c>
      <c r="K17" s="94"/>
      <c r="L17" s="94"/>
      <c r="M17" s="12"/>
      <c r="P17" s="341"/>
      <c r="Q17" s="342"/>
      <c r="R17" s="4"/>
      <c r="S17" s="12"/>
      <c r="T17" s="12"/>
      <c r="U17" s="12"/>
      <c r="V17" s="337"/>
      <c r="W17" s="49"/>
    </row>
    <row r="18" spans="2:23" s="10" customFormat="1" ht="17.1" customHeight="1" thickBot="1" thickTop="1">
      <c r="B18" s="44"/>
      <c r="C18" s="12"/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6">
        <v>10</v>
      </c>
      <c r="K18" s="416">
        <v>11</v>
      </c>
      <c r="L18" s="416">
        <v>12</v>
      </c>
      <c r="M18" s="416">
        <v>13</v>
      </c>
      <c r="N18" s="416">
        <v>14</v>
      </c>
      <c r="O18" s="416">
        <v>15</v>
      </c>
      <c r="P18" s="416">
        <v>16</v>
      </c>
      <c r="Q18" s="416">
        <v>17</v>
      </c>
      <c r="R18" s="416">
        <v>18</v>
      </c>
      <c r="S18" s="416">
        <v>19</v>
      </c>
      <c r="T18" s="416">
        <v>20</v>
      </c>
      <c r="U18" s="416">
        <v>21</v>
      </c>
      <c r="V18" s="416">
        <v>22</v>
      </c>
      <c r="W18" s="49"/>
    </row>
    <row r="19" spans="2:23" s="345" customFormat="1" ht="35.1" customHeight="1" thickBot="1" thickTop="1">
      <c r="B19" s="346"/>
      <c r="C19" s="399" t="s">
        <v>20</v>
      </c>
      <c r="D19" s="399" t="s">
        <v>74</v>
      </c>
      <c r="E19" s="399" t="s">
        <v>75</v>
      </c>
      <c r="F19" s="240" t="s">
        <v>41</v>
      </c>
      <c r="G19" s="347" t="s">
        <v>42</v>
      </c>
      <c r="H19" s="348" t="s">
        <v>21</v>
      </c>
      <c r="I19" s="99" t="s">
        <v>23</v>
      </c>
      <c r="J19" s="241" t="s">
        <v>24</v>
      </c>
      <c r="K19" s="347" t="s">
        <v>25</v>
      </c>
      <c r="L19" s="240" t="s">
        <v>44</v>
      </c>
      <c r="M19" s="240" t="s">
        <v>45</v>
      </c>
      <c r="N19" s="98" t="s">
        <v>72</v>
      </c>
      <c r="O19" s="241" t="s">
        <v>46</v>
      </c>
      <c r="P19" s="349" t="s">
        <v>58</v>
      </c>
      <c r="Q19" s="350" t="s">
        <v>59</v>
      </c>
      <c r="R19" s="351" t="s">
        <v>49</v>
      </c>
      <c r="S19" s="352"/>
      <c r="T19" s="353" t="s">
        <v>33</v>
      </c>
      <c r="U19" s="243" t="s">
        <v>35</v>
      </c>
      <c r="V19" s="243" t="s">
        <v>36</v>
      </c>
      <c r="W19" s="354"/>
    </row>
    <row r="20" spans="2:23" s="10" customFormat="1" ht="17.1" customHeight="1" thickTop="1">
      <c r="B20" s="44"/>
      <c r="C20" s="269"/>
      <c r="D20" s="398"/>
      <c r="E20" s="398"/>
      <c r="F20" s="268"/>
      <c r="G20" s="268"/>
      <c r="H20" s="355"/>
      <c r="I20" s="356"/>
      <c r="J20" s="271"/>
      <c r="K20" s="357"/>
      <c r="L20" s="272"/>
      <c r="M20" s="272"/>
      <c r="N20" s="271"/>
      <c r="O20" s="271"/>
      <c r="P20" s="358"/>
      <c r="Q20" s="359"/>
      <c r="R20" s="360"/>
      <c r="S20" s="361"/>
      <c r="T20" s="362"/>
      <c r="U20" s="363"/>
      <c r="V20" s="364"/>
      <c r="W20" s="217"/>
    </row>
    <row r="21" spans="2:23" s="10" customFormat="1" ht="17.1" customHeight="1">
      <c r="B21" s="44"/>
      <c r="C21" s="271"/>
      <c r="D21" s="268"/>
      <c r="E21" s="268"/>
      <c r="F21" s="365"/>
      <c r="G21" s="365"/>
      <c r="H21" s="366"/>
      <c r="I21" s="367"/>
      <c r="J21" s="368"/>
      <c r="K21" s="369"/>
      <c r="L21" s="285"/>
      <c r="M21" s="370"/>
      <c r="N21" s="287"/>
      <c r="O21" s="287"/>
      <c r="P21" s="371"/>
      <c r="Q21" s="372"/>
      <c r="R21" s="373"/>
      <c r="S21" s="374"/>
      <c r="T21" s="375"/>
      <c r="U21" s="376"/>
      <c r="V21" s="377"/>
      <c r="W21" s="217"/>
    </row>
    <row r="22" spans="2:23" s="10" customFormat="1" ht="17.1" customHeight="1">
      <c r="B22" s="44"/>
      <c r="C22" s="271">
        <v>29</v>
      </c>
      <c r="D22" s="268">
        <v>300788</v>
      </c>
      <c r="E22" s="268">
        <v>929</v>
      </c>
      <c r="F22" s="365" t="s">
        <v>165</v>
      </c>
      <c r="G22" s="365" t="s">
        <v>168</v>
      </c>
      <c r="H22" s="366">
        <v>33</v>
      </c>
      <c r="I22" s="367">
        <f aca="true" t="shared" si="0" ref="I22:I41">IF(H22=220,$G$14,IF(AND(H22&lt;=132,H22&gt;=66),$G$15,IF(AND(H22&lt;66,H22&gt;=33),$G$16,$G$17)))</f>
        <v>19.085</v>
      </c>
      <c r="J22" s="368">
        <v>42461.29513888889</v>
      </c>
      <c r="K22" s="369">
        <v>42461.47777777778</v>
      </c>
      <c r="L22" s="285">
        <f aca="true" t="shared" si="1" ref="L22:L41">IF(F22="","",(K22-J22)*24)</f>
        <v>4.383333333302289</v>
      </c>
      <c r="M22" s="370">
        <f aca="true" t="shared" si="2" ref="M22:M41">IF(F22="","",ROUND((K22-J22)*24*60,0))</f>
        <v>263</v>
      </c>
      <c r="N22" s="287" t="s">
        <v>130</v>
      </c>
      <c r="O22" s="287" t="str">
        <f>IF(F22="","",IF(OR(N22="P",N22="RP"),"--","NO"))</f>
        <v>--</v>
      </c>
      <c r="P22" s="371">
        <f aca="true" t="shared" si="3" ref="P22:P41">IF(H22=220,$H$14,IF(AND(H22&lt;=132,H22&gt;=66),$H$15,IF(AND(H22&lt;66,H22&gt;13.2),$H$16,$H$17)))</f>
        <v>25</v>
      </c>
      <c r="Q22" s="372">
        <f aca="true" t="shared" si="4" ref="Q22:Q41">IF(N22="P",I22*P22*ROUND(M22/60,2)*0.1,"--")</f>
        <v>208.98075</v>
      </c>
      <c r="R22" s="373" t="str">
        <f aca="true" t="shared" si="5" ref="R22:R41">IF(AND(N22="F",O22="NO"),I22*P22,"--")</f>
        <v>--</v>
      </c>
      <c r="S22" s="374" t="str">
        <f aca="true" t="shared" si="6" ref="S22:S41">IF(N22="F",I22*P22*ROUND(M22/60,2),"--")</f>
        <v>--</v>
      </c>
      <c r="T22" s="375" t="str">
        <f aca="true" t="shared" si="7" ref="T22:T41">IF(N22="RF",I22*P22*ROUND(M22/60,2),"--")</f>
        <v>--</v>
      </c>
      <c r="U22" s="376" t="s">
        <v>131</v>
      </c>
      <c r="V22" s="379">
        <f>IF(F22="","",SUM(Q22:T22)*IF(U22="SI",1,2)*IF(H22="500/220",0,1))</f>
        <v>208.98075</v>
      </c>
      <c r="W22" s="298"/>
    </row>
    <row r="23" spans="2:23" s="10" customFormat="1" ht="17.1" customHeight="1">
      <c r="B23" s="44"/>
      <c r="C23" s="271">
        <v>30</v>
      </c>
      <c r="D23" s="268">
        <v>300790</v>
      </c>
      <c r="E23" s="268">
        <v>934</v>
      </c>
      <c r="F23" s="365" t="s">
        <v>165</v>
      </c>
      <c r="G23" s="365" t="s">
        <v>169</v>
      </c>
      <c r="H23" s="366">
        <v>33</v>
      </c>
      <c r="I23" s="367">
        <f t="shared" si="0"/>
        <v>19.085</v>
      </c>
      <c r="J23" s="368">
        <v>42461.48819444444</v>
      </c>
      <c r="K23" s="369">
        <v>42461.75486111111</v>
      </c>
      <c r="L23" s="285">
        <f>IF(F23="","",(K23-J23)*24)</f>
        <v>6.400000000081491</v>
      </c>
      <c r="M23" s="370">
        <f>IF(F23="","",ROUND((K23-J23)*24*60,0))</f>
        <v>384</v>
      </c>
      <c r="N23" s="287" t="s">
        <v>130</v>
      </c>
      <c r="O23" s="287" t="str">
        <f>IF(F23="","",IF(OR(N23="P",N23="RP"),"--","NO"))</f>
        <v>--</v>
      </c>
      <c r="P23" s="371">
        <f>IF(H23=220,$H$14,IF(AND(H23&lt;=132,H23&gt;=66),$H$15,IF(AND(H23&lt;66,H23&gt;13.2),$H$16,$H$17)))</f>
        <v>25</v>
      </c>
      <c r="Q23" s="372">
        <f>IF(N23="P",I23*P23*ROUND(M23/60,2)*0.1,"--")</f>
        <v>305.36000000000007</v>
      </c>
      <c r="R23" s="373" t="str">
        <f>IF(AND(N23="F",O23="NO"),I23*P23,"--")</f>
        <v>--</v>
      </c>
      <c r="S23" s="374" t="str">
        <f>IF(N23="F",I23*P23*ROUND(M23/60,2),"--")</f>
        <v>--</v>
      </c>
      <c r="T23" s="375" t="str">
        <f>IF(N23="RF",I23*P23*ROUND(M23/60,2),"--")</f>
        <v>--</v>
      </c>
      <c r="U23" s="376" t="str">
        <f>IF(F23="","","SI")</f>
        <v>SI</v>
      </c>
      <c r="V23" s="379">
        <f>IF(F23="","",SUM(Q23:T23)*IF(U23="SI",1,2)*IF(H23="500/220",0,1))</f>
        <v>305.36000000000007</v>
      </c>
      <c r="W23" s="298"/>
    </row>
    <row r="24" spans="2:23" s="10" customFormat="1" ht="17.1" customHeight="1">
      <c r="B24" s="44"/>
      <c r="C24" s="271">
        <v>31</v>
      </c>
      <c r="D24" s="268">
        <v>301047</v>
      </c>
      <c r="E24" s="268">
        <v>921</v>
      </c>
      <c r="F24" s="365" t="s">
        <v>165</v>
      </c>
      <c r="G24" s="365" t="s">
        <v>170</v>
      </c>
      <c r="H24" s="366">
        <v>132</v>
      </c>
      <c r="I24" s="367">
        <f t="shared" si="0"/>
        <v>25.439</v>
      </c>
      <c r="J24" s="368">
        <v>42468.365277777775</v>
      </c>
      <c r="K24" s="369">
        <v>42468.379166666666</v>
      </c>
      <c r="L24" s="285">
        <f>IF(F24="","",(K24-J24)*24)</f>
        <v>0.33333333337213844</v>
      </c>
      <c r="M24" s="370">
        <f>IF(F24="","",ROUND((K24-J24)*24*60,0))</f>
        <v>20</v>
      </c>
      <c r="N24" s="287" t="s">
        <v>143</v>
      </c>
      <c r="O24" s="287" t="str">
        <f>IF(F24="","",IF(OR(N24="P",N24="RP"),"--","NO"))</f>
        <v>NO</v>
      </c>
      <c r="P24" s="371">
        <f t="shared" si="3"/>
        <v>50</v>
      </c>
      <c r="Q24" s="372" t="str">
        <f>IF(N24="P",I24*P24*ROUND(M24/60,2)*0.1,"--")</f>
        <v>--</v>
      </c>
      <c r="R24" s="373">
        <f>IF(AND(N24="F",O24="NO"),I24*P24,"--")</f>
        <v>1271.95</v>
      </c>
      <c r="S24" s="374">
        <f>IF(N24="F",I24*P24*ROUND(M24/60,2),"--")</f>
        <v>419.74350000000004</v>
      </c>
      <c r="T24" s="375" t="str">
        <f>IF(N24="RF",I24*P24*ROUND(M24/60,2),"--")</f>
        <v>--</v>
      </c>
      <c r="U24" s="376" t="str">
        <f>IF(F24="","","SI")</f>
        <v>SI</v>
      </c>
      <c r="V24" s="379">
        <f>IF(F24="","",SUM(Q24:T24)*IF(U24="SI",1,2)*IF(H24="500/220",0,1))</f>
        <v>1691.6935</v>
      </c>
      <c r="W24" s="298"/>
    </row>
    <row r="25" spans="2:23" s="10" customFormat="1" ht="17.1" customHeight="1">
      <c r="B25" s="44"/>
      <c r="C25" s="271">
        <v>32</v>
      </c>
      <c r="D25" s="268">
        <v>301334</v>
      </c>
      <c r="E25" s="268">
        <v>888</v>
      </c>
      <c r="F25" s="365" t="s">
        <v>171</v>
      </c>
      <c r="G25" s="365" t="s">
        <v>172</v>
      </c>
      <c r="H25" s="378">
        <v>13.2</v>
      </c>
      <c r="I25" s="367">
        <f t="shared" si="0"/>
        <v>19.085</v>
      </c>
      <c r="J25" s="368">
        <v>42472.37847222222</v>
      </c>
      <c r="K25" s="369">
        <v>42472.76944444444</v>
      </c>
      <c r="L25" s="285">
        <f>IF(F25="","",(K25-J25)*24)</f>
        <v>9.383333333360497</v>
      </c>
      <c r="M25" s="370">
        <f>IF(F25="","",ROUND((K25-J25)*24*60,0))</f>
        <v>563</v>
      </c>
      <c r="N25" s="287" t="s">
        <v>130</v>
      </c>
      <c r="O25" s="287" t="str">
        <f>IF(F25="","",IF(OR(N25="P",N25="RP"),"--","NO"))</f>
        <v>--</v>
      </c>
      <c r="P25" s="371">
        <f>IF(H25=220,$H$14,IF(AND(H25&lt;=132,H25&gt;=66),$H$15,IF(AND(H25&lt;66,H25&gt;13.2),$H$16,$H$17)))</f>
        <v>20</v>
      </c>
      <c r="Q25" s="372">
        <f>IF(N25="P",I25*P25*ROUND(M25/60,2)*0.1,"--")</f>
        <v>358.0346000000001</v>
      </c>
      <c r="R25" s="373" t="str">
        <f>IF(AND(N25="F",O25="NO"),I25*P25,"--")</f>
        <v>--</v>
      </c>
      <c r="S25" s="374" t="str">
        <f>IF(N25="F",I25*P25*ROUND(M25/60,2),"--")</f>
        <v>--</v>
      </c>
      <c r="T25" s="375" t="str">
        <f>IF(N25="RF",I25*P25*ROUND(M25/60,2),"--")</f>
        <v>--</v>
      </c>
      <c r="U25" s="376" t="str">
        <f>IF(F25="","","SI")</f>
        <v>SI</v>
      </c>
      <c r="V25" s="379">
        <f>IF(F25="","",SUM(Q25:T25)*IF(U25="SI",1,2)*IF(H25="500/220",0,1))</f>
        <v>358.0346000000001</v>
      </c>
      <c r="W25" s="298"/>
    </row>
    <row r="26" spans="2:23" s="10" customFormat="1" ht="17.1" customHeight="1">
      <c r="B26" s="44"/>
      <c r="C26" s="271">
        <v>33</v>
      </c>
      <c r="D26" s="268">
        <v>301335</v>
      </c>
      <c r="E26" s="268">
        <v>889</v>
      </c>
      <c r="F26" s="365" t="s">
        <v>171</v>
      </c>
      <c r="G26" s="365" t="s">
        <v>173</v>
      </c>
      <c r="H26" s="366">
        <v>13.2</v>
      </c>
      <c r="I26" s="367">
        <f t="shared" si="0"/>
        <v>19.085</v>
      </c>
      <c r="J26" s="368">
        <v>42472.39375</v>
      </c>
      <c r="K26" s="369">
        <v>42472.75277777778</v>
      </c>
      <c r="L26" s="285">
        <f>IF(F26="","",(K26-J26)*24)</f>
        <v>8.616666666639503</v>
      </c>
      <c r="M26" s="370">
        <f>IF(F26="","",ROUND((K26-J26)*24*60,0))</f>
        <v>517</v>
      </c>
      <c r="N26" s="287" t="s">
        <v>130</v>
      </c>
      <c r="O26" s="287" t="str">
        <f>IF(F26="","",IF(OR(N26="P",N26="RP"),"--","NO"))</f>
        <v>--</v>
      </c>
      <c r="P26" s="371">
        <f>IF(H26=220,$H$14,IF(AND(H26&lt;=132,H26&gt;=66),$H$15,IF(AND(H26&lt;66,H26&gt;13.2),$H$16,$H$17)))</f>
        <v>20</v>
      </c>
      <c r="Q26" s="372">
        <f>IF(N26="P",I26*P26*ROUND(M26/60,2)*0.1,"--")</f>
        <v>329.0254</v>
      </c>
      <c r="R26" s="373" t="str">
        <f>IF(AND(N26="F",O26="NO"),I26*P26,"--")</f>
        <v>--</v>
      </c>
      <c r="S26" s="374" t="str">
        <f>IF(N26="F",I26*P26*ROUND(M26/60,2),"--")</f>
        <v>--</v>
      </c>
      <c r="T26" s="375" t="str">
        <f>IF(N26="RF",I26*P26*ROUND(M26/60,2),"--")</f>
        <v>--</v>
      </c>
      <c r="U26" s="376" t="str">
        <f>IF(F26="","","SI")</f>
        <v>SI</v>
      </c>
      <c r="V26" s="379">
        <f>IF(F26="","",SUM(Q26:T26)*IF(U26="SI",1,2)*IF(H26="500/220",0,1))</f>
        <v>329.0254</v>
      </c>
      <c r="W26" s="298"/>
    </row>
    <row r="27" spans="2:23" s="10" customFormat="1" ht="17.1" customHeight="1">
      <c r="B27" s="44"/>
      <c r="C27" s="271">
        <v>34</v>
      </c>
      <c r="D27" s="268">
        <v>301344</v>
      </c>
      <c r="E27" s="268">
        <v>4665</v>
      </c>
      <c r="F27" s="365" t="s">
        <v>158</v>
      </c>
      <c r="G27" s="365" t="s">
        <v>174</v>
      </c>
      <c r="H27" s="366">
        <v>13.2</v>
      </c>
      <c r="I27" s="367">
        <f t="shared" si="0"/>
        <v>19.085</v>
      </c>
      <c r="J27" s="368">
        <v>42477.31597222222</v>
      </c>
      <c r="K27" s="369">
        <v>42477.71319444444</v>
      </c>
      <c r="L27" s="285">
        <f t="shared" si="1"/>
        <v>9.533333333325572</v>
      </c>
      <c r="M27" s="370">
        <f t="shared" si="2"/>
        <v>572</v>
      </c>
      <c r="N27" s="287" t="s">
        <v>130</v>
      </c>
      <c r="O27" s="287" t="str">
        <f aca="true" t="shared" si="8" ref="O27:O41">IF(F27="","",IF(OR(N27="P",N27="RP"),"--","NO"))</f>
        <v>--</v>
      </c>
      <c r="P27" s="371">
        <f t="shared" si="3"/>
        <v>20</v>
      </c>
      <c r="Q27" s="372">
        <f t="shared" si="4"/>
        <v>363.7601</v>
      </c>
      <c r="R27" s="373" t="str">
        <f t="shared" si="5"/>
        <v>--</v>
      </c>
      <c r="S27" s="374" t="str">
        <f t="shared" si="6"/>
        <v>--</v>
      </c>
      <c r="T27" s="375" t="str">
        <f t="shared" si="7"/>
        <v>--</v>
      </c>
      <c r="U27" s="376" t="str">
        <f aca="true" t="shared" si="9" ref="U27:U41">IF(F27="","","SI")</f>
        <v>SI</v>
      </c>
      <c r="V27" s="379">
        <f aca="true" t="shared" si="10" ref="V27:V41">IF(F27="","",SUM(Q27:T27)*IF(U27="SI",1,2)*IF(H27="500/220",0,1))</f>
        <v>363.7601</v>
      </c>
      <c r="W27" s="298"/>
    </row>
    <row r="28" spans="2:23" s="10" customFormat="1" ht="17.1" customHeight="1">
      <c r="B28" s="44"/>
      <c r="C28" s="271">
        <v>35</v>
      </c>
      <c r="D28" s="268">
        <v>301345</v>
      </c>
      <c r="E28" s="268">
        <v>4664</v>
      </c>
      <c r="F28" s="365" t="s">
        <v>158</v>
      </c>
      <c r="G28" s="365" t="s">
        <v>174</v>
      </c>
      <c r="H28" s="366">
        <v>33</v>
      </c>
      <c r="I28" s="367">
        <f t="shared" si="0"/>
        <v>19.085</v>
      </c>
      <c r="J28" s="368">
        <v>42477.31597222222</v>
      </c>
      <c r="K28" s="369">
        <v>42477.71319444444</v>
      </c>
      <c r="L28" s="285">
        <f t="shared" si="1"/>
        <v>9.533333333325572</v>
      </c>
      <c r="M28" s="370">
        <f t="shared" si="2"/>
        <v>572</v>
      </c>
      <c r="N28" s="287" t="s">
        <v>130</v>
      </c>
      <c r="O28" s="287" t="str">
        <f t="shared" si="8"/>
        <v>--</v>
      </c>
      <c r="P28" s="371">
        <f t="shared" si="3"/>
        <v>25</v>
      </c>
      <c r="Q28" s="372">
        <f t="shared" si="4"/>
        <v>454.70012499999996</v>
      </c>
      <c r="R28" s="373" t="str">
        <f t="shared" si="5"/>
        <v>--</v>
      </c>
      <c r="S28" s="374" t="str">
        <f t="shared" si="6"/>
        <v>--</v>
      </c>
      <c r="T28" s="375" t="str">
        <f t="shared" si="7"/>
        <v>--</v>
      </c>
      <c r="U28" s="376" t="str">
        <f t="shared" si="9"/>
        <v>SI</v>
      </c>
      <c r="V28" s="379">
        <f t="shared" si="10"/>
        <v>454.70012499999996</v>
      </c>
      <c r="W28" s="298"/>
    </row>
    <row r="29" spans="2:23" s="10" customFormat="1" ht="17.1" customHeight="1">
      <c r="B29" s="44"/>
      <c r="C29" s="271">
        <v>36</v>
      </c>
      <c r="D29" s="268">
        <v>301628</v>
      </c>
      <c r="E29" s="268">
        <v>896</v>
      </c>
      <c r="F29" s="365" t="s">
        <v>153</v>
      </c>
      <c r="G29" s="365" t="s">
        <v>175</v>
      </c>
      <c r="H29" s="366">
        <v>66</v>
      </c>
      <c r="I29" s="367">
        <f t="shared" si="0"/>
        <v>25.439</v>
      </c>
      <c r="J29" s="368">
        <v>42479.36388888889</v>
      </c>
      <c r="K29" s="369">
        <v>42479.68263888889</v>
      </c>
      <c r="L29" s="285">
        <f t="shared" si="1"/>
        <v>7.649999999965075</v>
      </c>
      <c r="M29" s="370">
        <f t="shared" si="2"/>
        <v>459</v>
      </c>
      <c r="N29" s="287" t="s">
        <v>130</v>
      </c>
      <c r="O29" s="287" t="str">
        <f t="shared" si="8"/>
        <v>--</v>
      </c>
      <c r="P29" s="371">
        <f t="shared" si="3"/>
        <v>50</v>
      </c>
      <c r="Q29" s="372">
        <f t="shared" si="4"/>
        <v>973.0417500000002</v>
      </c>
      <c r="R29" s="373" t="str">
        <f t="shared" si="5"/>
        <v>--</v>
      </c>
      <c r="S29" s="374" t="str">
        <f t="shared" si="6"/>
        <v>--</v>
      </c>
      <c r="T29" s="375" t="str">
        <f t="shared" si="7"/>
        <v>--</v>
      </c>
      <c r="U29" s="376" t="str">
        <f t="shared" si="9"/>
        <v>SI</v>
      </c>
      <c r="V29" s="379">
        <f t="shared" si="10"/>
        <v>973.0417500000002</v>
      </c>
      <c r="W29" s="298"/>
    </row>
    <row r="30" spans="2:23" s="10" customFormat="1" ht="17.1" customHeight="1">
      <c r="B30" s="44"/>
      <c r="C30" s="271">
        <v>37</v>
      </c>
      <c r="D30" s="268">
        <v>301630</v>
      </c>
      <c r="E30" s="268">
        <v>892</v>
      </c>
      <c r="F30" s="365" t="s">
        <v>153</v>
      </c>
      <c r="G30" s="365" t="s">
        <v>176</v>
      </c>
      <c r="H30" s="366">
        <v>66</v>
      </c>
      <c r="I30" s="367">
        <f t="shared" si="0"/>
        <v>25.439</v>
      </c>
      <c r="J30" s="368">
        <v>42479.40277777778</v>
      </c>
      <c r="K30" s="369">
        <v>42479.69861111111</v>
      </c>
      <c r="L30" s="285">
        <f t="shared" si="1"/>
        <v>7.099999999918509</v>
      </c>
      <c r="M30" s="370">
        <f t="shared" si="2"/>
        <v>426</v>
      </c>
      <c r="N30" s="287" t="s">
        <v>130</v>
      </c>
      <c r="O30" s="287" t="str">
        <f t="shared" si="8"/>
        <v>--</v>
      </c>
      <c r="P30" s="371">
        <f t="shared" si="3"/>
        <v>50</v>
      </c>
      <c r="Q30" s="372">
        <f t="shared" si="4"/>
        <v>903.0844999999999</v>
      </c>
      <c r="R30" s="373" t="str">
        <f t="shared" si="5"/>
        <v>--</v>
      </c>
      <c r="S30" s="374" t="str">
        <f t="shared" si="6"/>
        <v>--</v>
      </c>
      <c r="T30" s="375" t="str">
        <f t="shared" si="7"/>
        <v>--</v>
      </c>
      <c r="U30" s="376" t="str">
        <f t="shared" si="9"/>
        <v>SI</v>
      </c>
      <c r="V30" s="379">
        <f t="shared" si="10"/>
        <v>903.0844999999999</v>
      </c>
      <c r="W30" s="298"/>
    </row>
    <row r="31" spans="2:23" s="10" customFormat="1" ht="17.1" customHeight="1">
      <c r="B31" s="44"/>
      <c r="C31" s="271">
        <v>38</v>
      </c>
      <c r="D31" s="268">
        <v>301631</v>
      </c>
      <c r="E31" s="268">
        <v>924</v>
      </c>
      <c r="F31" s="365" t="s">
        <v>165</v>
      </c>
      <c r="G31" s="365" t="s">
        <v>177</v>
      </c>
      <c r="H31" s="366">
        <v>33</v>
      </c>
      <c r="I31" s="367">
        <f t="shared" si="0"/>
        <v>19.085</v>
      </c>
      <c r="J31" s="368">
        <v>42480.31875</v>
      </c>
      <c r="K31" s="369">
        <v>42480.657638888886</v>
      </c>
      <c r="L31" s="285">
        <f t="shared" si="1"/>
        <v>8.13333333330229</v>
      </c>
      <c r="M31" s="370">
        <f t="shared" si="2"/>
        <v>488</v>
      </c>
      <c r="N31" s="287" t="s">
        <v>130</v>
      </c>
      <c r="O31" s="287" t="str">
        <f t="shared" si="8"/>
        <v>--</v>
      </c>
      <c r="P31" s="371">
        <f t="shared" si="3"/>
        <v>25</v>
      </c>
      <c r="Q31" s="372">
        <f t="shared" si="4"/>
        <v>387.90262500000006</v>
      </c>
      <c r="R31" s="373" t="str">
        <f t="shared" si="5"/>
        <v>--</v>
      </c>
      <c r="S31" s="374" t="str">
        <f t="shared" si="6"/>
        <v>--</v>
      </c>
      <c r="T31" s="375" t="str">
        <f t="shared" si="7"/>
        <v>--</v>
      </c>
      <c r="U31" s="376" t="str">
        <f t="shared" si="9"/>
        <v>SI</v>
      </c>
      <c r="V31" s="379">
        <f t="shared" si="10"/>
        <v>387.90262500000006</v>
      </c>
      <c r="W31" s="298"/>
    </row>
    <row r="32" spans="2:23" s="10" customFormat="1" ht="17.1" customHeight="1">
      <c r="B32" s="44"/>
      <c r="C32" s="271">
        <v>39</v>
      </c>
      <c r="D32" s="268">
        <v>301632</v>
      </c>
      <c r="E32" s="268">
        <v>875</v>
      </c>
      <c r="F32" s="365" t="s">
        <v>152</v>
      </c>
      <c r="G32" s="365" t="s">
        <v>178</v>
      </c>
      <c r="H32" s="366">
        <v>66</v>
      </c>
      <c r="I32" s="367">
        <f t="shared" si="0"/>
        <v>25.439</v>
      </c>
      <c r="J32" s="368">
        <v>42480.38611111111</v>
      </c>
      <c r="K32" s="369">
        <v>42480.68402777778</v>
      </c>
      <c r="L32" s="285">
        <f t="shared" si="1"/>
        <v>7.150000000081491</v>
      </c>
      <c r="M32" s="370">
        <f t="shared" si="2"/>
        <v>429</v>
      </c>
      <c r="N32" s="287" t="s">
        <v>130</v>
      </c>
      <c r="O32" s="287" t="str">
        <f t="shared" si="8"/>
        <v>--</v>
      </c>
      <c r="P32" s="371">
        <f t="shared" si="3"/>
        <v>50</v>
      </c>
      <c r="Q32" s="372">
        <f t="shared" si="4"/>
        <v>909.4442500000001</v>
      </c>
      <c r="R32" s="373" t="str">
        <f t="shared" si="5"/>
        <v>--</v>
      </c>
      <c r="S32" s="374" t="str">
        <f t="shared" si="6"/>
        <v>--</v>
      </c>
      <c r="T32" s="375" t="str">
        <f t="shared" si="7"/>
        <v>--</v>
      </c>
      <c r="U32" s="376" t="str">
        <f t="shared" si="9"/>
        <v>SI</v>
      </c>
      <c r="V32" s="379">
        <f t="shared" si="10"/>
        <v>909.4442500000001</v>
      </c>
      <c r="W32" s="298"/>
    </row>
    <row r="33" spans="2:23" s="10" customFormat="1" ht="17.1" customHeight="1">
      <c r="B33" s="44"/>
      <c r="C33" s="271">
        <v>40</v>
      </c>
      <c r="D33" s="268">
        <v>301633</v>
      </c>
      <c r="E33" s="268">
        <v>878</v>
      </c>
      <c r="F33" s="365" t="s">
        <v>152</v>
      </c>
      <c r="G33" s="365" t="s">
        <v>179</v>
      </c>
      <c r="H33" s="366">
        <v>13.2</v>
      </c>
      <c r="I33" s="367">
        <f t="shared" si="0"/>
        <v>19.085</v>
      </c>
      <c r="J33" s="368">
        <v>42480.436111111114</v>
      </c>
      <c r="K33" s="369">
        <v>42480.603472222225</v>
      </c>
      <c r="L33" s="285">
        <f t="shared" si="1"/>
        <v>4.016666666662786</v>
      </c>
      <c r="M33" s="370">
        <f t="shared" si="2"/>
        <v>241</v>
      </c>
      <c r="N33" s="287" t="s">
        <v>130</v>
      </c>
      <c r="O33" s="287" t="str">
        <f t="shared" si="8"/>
        <v>--</v>
      </c>
      <c r="P33" s="371">
        <f t="shared" si="3"/>
        <v>20</v>
      </c>
      <c r="Q33" s="372">
        <f t="shared" si="4"/>
        <v>153.4434</v>
      </c>
      <c r="R33" s="373" t="str">
        <f t="shared" si="5"/>
        <v>--</v>
      </c>
      <c r="S33" s="374" t="str">
        <f t="shared" si="6"/>
        <v>--</v>
      </c>
      <c r="T33" s="375" t="str">
        <f t="shared" si="7"/>
        <v>--</v>
      </c>
      <c r="U33" s="376" t="str">
        <f t="shared" si="9"/>
        <v>SI</v>
      </c>
      <c r="V33" s="379">
        <f t="shared" si="10"/>
        <v>153.4434</v>
      </c>
      <c r="W33" s="298"/>
    </row>
    <row r="34" spans="2:23" s="10" customFormat="1" ht="17.1" customHeight="1">
      <c r="B34" s="44"/>
      <c r="C34" s="271">
        <v>41</v>
      </c>
      <c r="D34" s="268">
        <v>301634</v>
      </c>
      <c r="E34" s="268">
        <v>925</v>
      </c>
      <c r="F34" s="365" t="s">
        <v>165</v>
      </c>
      <c r="G34" s="365" t="s">
        <v>180</v>
      </c>
      <c r="H34" s="366">
        <v>33</v>
      </c>
      <c r="I34" s="367">
        <f t="shared" si="0"/>
        <v>19.085</v>
      </c>
      <c r="J34" s="368">
        <v>42480.60555555556</v>
      </c>
      <c r="K34" s="369">
        <v>42480.725694444445</v>
      </c>
      <c r="L34" s="285">
        <f t="shared" si="1"/>
        <v>2.8833333333022892</v>
      </c>
      <c r="M34" s="370">
        <f t="shared" si="2"/>
        <v>173</v>
      </c>
      <c r="N34" s="287" t="s">
        <v>130</v>
      </c>
      <c r="O34" s="287" t="str">
        <f t="shared" si="8"/>
        <v>--</v>
      </c>
      <c r="P34" s="371">
        <f t="shared" si="3"/>
        <v>25</v>
      </c>
      <c r="Q34" s="372">
        <f t="shared" si="4"/>
        <v>137.412</v>
      </c>
      <c r="R34" s="373" t="str">
        <f t="shared" si="5"/>
        <v>--</v>
      </c>
      <c r="S34" s="374" t="str">
        <f t="shared" si="6"/>
        <v>--</v>
      </c>
      <c r="T34" s="375" t="str">
        <f t="shared" si="7"/>
        <v>--</v>
      </c>
      <c r="U34" s="376" t="str">
        <f t="shared" si="9"/>
        <v>SI</v>
      </c>
      <c r="V34" s="379">
        <f t="shared" si="10"/>
        <v>137.412</v>
      </c>
      <c r="W34" s="298"/>
    </row>
    <row r="35" spans="2:23" s="10" customFormat="1" ht="17.1" customHeight="1">
      <c r="B35" s="44"/>
      <c r="C35" s="271">
        <v>42</v>
      </c>
      <c r="D35" s="268">
        <v>301635</v>
      </c>
      <c r="E35" s="268">
        <v>879</v>
      </c>
      <c r="F35" s="365" t="s">
        <v>152</v>
      </c>
      <c r="G35" s="365" t="s">
        <v>181</v>
      </c>
      <c r="H35" s="366">
        <v>13.2</v>
      </c>
      <c r="I35" s="367">
        <f t="shared" si="0"/>
        <v>19.085</v>
      </c>
      <c r="J35" s="368">
        <v>42480.606944444444</v>
      </c>
      <c r="K35" s="369">
        <v>42480.68680555555</v>
      </c>
      <c r="L35" s="285">
        <f t="shared" si="1"/>
        <v>1.9166666666278616</v>
      </c>
      <c r="M35" s="370">
        <f t="shared" si="2"/>
        <v>115</v>
      </c>
      <c r="N35" s="287" t="s">
        <v>130</v>
      </c>
      <c r="O35" s="287" t="str">
        <f t="shared" si="8"/>
        <v>--</v>
      </c>
      <c r="P35" s="371">
        <f t="shared" si="3"/>
        <v>20</v>
      </c>
      <c r="Q35" s="372">
        <f t="shared" si="4"/>
        <v>73.2864</v>
      </c>
      <c r="R35" s="373" t="str">
        <f t="shared" si="5"/>
        <v>--</v>
      </c>
      <c r="S35" s="374" t="str">
        <f t="shared" si="6"/>
        <v>--</v>
      </c>
      <c r="T35" s="375" t="str">
        <f t="shared" si="7"/>
        <v>--</v>
      </c>
      <c r="U35" s="376" t="str">
        <f t="shared" si="9"/>
        <v>SI</v>
      </c>
      <c r="V35" s="379">
        <f t="shared" si="10"/>
        <v>73.2864</v>
      </c>
      <c r="W35" s="298"/>
    </row>
    <row r="36" spans="2:23" s="10" customFormat="1" ht="17.1" customHeight="1">
      <c r="B36" s="44"/>
      <c r="C36" s="271">
        <v>43</v>
      </c>
      <c r="D36" s="268">
        <v>301637</v>
      </c>
      <c r="E36" s="268">
        <v>927</v>
      </c>
      <c r="F36" s="365" t="s">
        <v>165</v>
      </c>
      <c r="G36" s="365" t="s">
        <v>182</v>
      </c>
      <c r="H36" s="366">
        <v>33</v>
      </c>
      <c r="I36" s="367">
        <f t="shared" si="0"/>
        <v>19.085</v>
      </c>
      <c r="J36" s="368">
        <v>42481.375</v>
      </c>
      <c r="K36" s="369">
        <v>42481.49652777778</v>
      </c>
      <c r="L36" s="285">
        <f t="shared" si="1"/>
        <v>2.916666666744277</v>
      </c>
      <c r="M36" s="370">
        <f t="shared" si="2"/>
        <v>175</v>
      </c>
      <c r="N36" s="287" t="s">
        <v>130</v>
      </c>
      <c r="O36" s="287" t="str">
        <f t="shared" si="8"/>
        <v>--</v>
      </c>
      <c r="P36" s="371">
        <f t="shared" si="3"/>
        <v>25</v>
      </c>
      <c r="Q36" s="372">
        <f t="shared" si="4"/>
        <v>139.3205</v>
      </c>
      <c r="R36" s="373" t="str">
        <f t="shared" si="5"/>
        <v>--</v>
      </c>
      <c r="S36" s="374" t="str">
        <f t="shared" si="6"/>
        <v>--</v>
      </c>
      <c r="T36" s="375" t="str">
        <f t="shared" si="7"/>
        <v>--</v>
      </c>
      <c r="U36" s="376" t="str">
        <f t="shared" si="9"/>
        <v>SI</v>
      </c>
      <c r="V36" s="379">
        <f t="shared" si="10"/>
        <v>139.3205</v>
      </c>
      <c r="W36" s="298"/>
    </row>
    <row r="37" spans="2:23" s="10" customFormat="1" ht="17.1" customHeight="1">
      <c r="B37" s="44"/>
      <c r="C37" s="271">
        <v>44</v>
      </c>
      <c r="D37" s="268">
        <v>301638</v>
      </c>
      <c r="E37" s="268">
        <v>926</v>
      </c>
      <c r="F37" s="365" t="s">
        <v>165</v>
      </c>
      <c r="G37" s="365" t="s">
        <v>183</v>
      </c>
      <c r="H37" s="366">
        <v>33</v>
      </c>
      <c r="I37" s="367">
        <f t="shared" si="0"/>
        <v>19.085</v>
      </c>
      <c r="J37" s="368">
        <v>42481.53472222222</v>
      </c>
      <c r="K37" s="369">
        <v>42481.71944444445</v>
      </c>
      <c r="L37" s="285">
        <f t="shared" si="1"/>
        <v>4.433333333465271</v>
      </c>
      <c r="M37" s="370">
        <f t="shared" si="2"/>
        <v>266</v>
      </c>
      <c r="N37" s="287" t="s">
        <v>130</v>
      </c>
      <c r="O37" s="287" t="str">
        <f t="shared" si="8"/>
        <v>--</v>
      </c>
      <c r="P37" s="371">
        <f t="shared" si="3"/>
        <v>25</v>
      </c>
      <c r="Q37" s="372">
        <f t="shared" si="4"/>
        <v>211.36637499999998</v>
      </c>
      <c r="R37" s="373" t="str">
        <f t="shared" si="5"/>
        <v>--</v>
      </c>
      <c r="S37" s="374" t="str">
        <f t="shared" si="6"/>
        <v>--</v>
      </c>
      <c r="T37" s="375" t="str">
        <f t="shared" si="7"/>
        <v>--</v>
      </c>
      <c r="U37" s="376" t="str">
        <f t="shared" si="9"/>
        <v>SI</v>
      </c>
      <c r="V37" s="379">
        <f t="shared" si="10"/>
        <v>211.36637499999998</v>
      </c>
      <c r="W37" s="298"/>
    </row>
    <row r="38" spans="2:23" s="10" customFormat="1" ht="17.1" customHeight="1">
      <c r="B38" s="44"/>
      <c r="C38" s="271">
        <v>45</v>
      </c>
      <c r="D38" s="268">
        <v>301640</v>
      </c>
      <c r="E38" s="268">
        <v>930</v>
      </c>
      <c r="F38" s="365" t="s">
        <v>165</v>
      </c>
      <c r="G38" s="365" t="s">
        <v>184</v>
      </c>
      <c r="H38" s="366">
        <v>33</v>
      </c>
      <c r="I38" s="367">
        <f t="shared" si="0"/>
        <v>19.085</v>
      </c>
      <c r="J38" s="368">
        <v>42484.33888888889</v>
      </c>
      <c r="K38" s="369">
        <v>42484.54583333333</v>
      </c>
      <c r="L38" s="285">
        <f t="shared" si="1"/>
        <v>4.96666666661622</v>
      </c>
      <c r="M38" s="370">
        <f t="shared" si="2"/>
        <v>298</v>
      </c>
      <c r="N38" s="287" t="s">
        <v>130</v>
      </c>
      <c r="O38" s="287" t="str">
        <f t="shared" si="8"/>
        <v>--</v>
      </c>
      <c r="P38" s="371">
        <f t="shared" si="3"/>
        <v>25</v>
      </c>
      <c r="Q38" s="372">
        <f t="shared" si="4"/>
        <v>237.131125</v>
      </c>
      <c r="R38" s="373" t="str">
        <f t="shared" si="5"/>
        <v>--</v>
      </c>
      <c r="S38" s="374" t="str">
        <f t="shared" si="6"/>
        <v>--</v>
      </c>
      <c r="T38" s="375" t="str">
        <f t="shared" si="7"/>
        <v>--</v>
      </c>
      <c r="U38" s="376" t="str">
        <f t="shared" si="9"/>
        <v>SI</v>
      </c>
      <c r="V38" s="379">
        <f t="shared" si="10"/>
        <v>237.131125</v>
      </c>
      <c r="W38" s="298"/>
    </row>
    <row r="39" spans="2:23" s="10" customFormat="1" ht="17.1" customHeight="1">
      <c r="B39" s="44"/>
      <c r="C39" s="271">
        <v>46</v>
      </c>
      <c r="D39" s="268">
        <v>301909</v>
      </c>
      <c r="E39" s="268">
        <v>917</v>
      </c>
      <c r="F39" s="365" t="s">
        <v>160</v>
      </c>
      <c r="G39" s="365" t="s">
        <v>185</v>
      </c>
      <c r="H39" s="366">
        <v>13.2</v>
      </c>
      <c r="I39" s="367">
        <f t="shared" si="0"/>
        <v>19.085</v>
      </c>
      <c r="J39" s="368">
        <v>42489.404861111114</v>
      </c>
      <c r="K39" s="369">
        <v>42489.5375</v>
      </c>
      <c r="L39" s="285">
        <f t="shared" si="1"/>
        <v>3.18333333323244</v>
      </c>
      <c r="M39" s="370">
        <f t="shared" si="2"/>
        <v>191</v>
      </c>
      <c r="N39" s="287" t="s">
        <v>130</v>
      </c>
      <c r="O39" s="287" t="str">
        <f t="shared" si="8"/>
        <v>--</v>
      </c>
      <c r="P39" s="371">
        <f t="shared" si="3"/>
        <v>20</v>
      </c>
      <c r="Q39" s="372">
        <f t="shared" si="4"/>
        <v>121.38060000000003</v>
      </c>
      <c r="R39" s="373" t="str">
        <f t="shared" si="5"/>
        <v>--</v>
      </c>
      <c r="S39" s="374" t="str">
        <f t="shared" si="6"/>
        <v>--</v>
      </c>
      <c r="T39" s="375" t="str">
        <f t="shared" si="7"/>
        <v>--</v>
      </c>
      <c r="U39" s="376" t="str">
        <f t="shared" si="9"/>
        <v>SI</v>
      </c>
      <c r="V39" s="379">
        <f t="shared" si="10"/>
        <v>121.38060000000003</v>
      </c>
      <c r="W39" s="298"/>
    </row>
    <row r="40" spans="2:23" s="10" customFormat="1" ht="17.1" customHeight="1">
      <c r="B40" s="44"/>
      <c r="C40" s="271">
        <v>47</v>
      </c>
      <c r="D40" s="268">
        <v>301910</v>
      </c>
      <c r="E40" s="268">
        <v>918</v>
      </c>
      <c r="F40" s="365" t="s">
        <v>160</v>
      </c>
      <c r="G40" s="365" t="s">
        <v>186</v>
      </c>
      <c r="H40" s="366">
        <v>13.2</v>
      </c>
      <c r="I40" s="367">
        <f t="shared" si="0"/>
        <v>19.085</v>
      </c>
      <c r="J40" s="368">
        <v>42489.410416666666</v>
      </c>
      <c r="K40" s="369">
        <v>42489.5375</v>
      </c>
      <c r="L40" s="285">
        <f t="shared" si="1"/>
        <v>3.0499999999883585</v>
      </c>
      <c r="M40" s="370">
        <f t="shared" si="2"/>
        <v>183</v>
      </c>
      <c r="N40" s="287" t="s">
        <v>130</v>
      </c>
      <c r="O40" s="287" t="str">
        <f t="shared" si="8"/>
        <v>--</v>
      </c>
      <c r="P40" s="371">
        <f t="shared" si="3"/>
        <v>20</v>
      </c>
      <c r="Q40" s="372">
        <f t="shared" si="4"/>
        <v>116.41850000000002</v>
      </c>
      <c r="R40" s="373" t="str">
        <f t="shared" si="5"/>
        <v>--</v>
      </c>
      <c r="S40" s="374" t="str">
        <f t="shared" si="6"/>
        <v>--</v>
      </c>
      <c r="T40" s="375" t="str">
        <f t="shared" si="7"/>
        <v>--</v>
      </c>
      <c r="U40" s="376" t="str">
        <f t="shared" si="9"/>
        <v>SI</v>
      </c>
      <c r="V40" s="379">
        <f t="shared" si="10"/>
        <v>116.41850000000002</v>
      </c>
      <c r="W40" s="298"/>
    </row>
    <row r="41" spans="2:23" s="10" customFormat="1" ht="17.1" customHeight="1">
      <c r="B41" s="44"/>
      <c r="C41" s="271"/>
      <c r="D41" s="268"/>
      <c r="E41" s="268"/>
      <c r="F41" s="365"/>
      <c r="G41" s="365"/>
      <c r="H41" s="366"/>
      <c r="I41" s="367">
        <f t="shared" si="0"/>
        <v>19.085</v>
      </c>
      <c r="J41" s="368"/>
      <c r="K41" s="369"/>
      <c r="L41" s="285" t="str">
        <f t="shared" si="1"/>
        <v/>
      </c>
      <c r="M41" s="370" t="str">
        <f t="shared" si="2"/>
        <v/>
      </c>
      <c r="N41" s="287"/>
      <c r="O41" s="287" t="str">
        <f t="shared" si="8"/>
        <v/>
      </c>
      <c r="P41" s="371">
        <f t="shared" si="3"/>
        <v>20</v>
      </c>
      <c r="Q41" s="372" t="str">
        <f t="shared" si="4"/>
        <v>--</v>
      </c>
      <c r="R41" s="373" t="str">
        <f t="shared" si="5"/>
        <v>--</v>
      </c>
      <c r="S41" s="374" t="str">
        <f t="shared" si="6"/>
        <v>--</v>
      </c>
      <c r="T41" s="375" t="str">
        <f t="shared" si="7"/>
        <v>--</v>
      </c>
      <c r="U41" s="376" t="str">
        <f t="shared" si="9"/>
        <v/>
      </c>
      <c r="V41" s="379" t="str">
        <f t="shared" si="10"/>
        <v/>
      </c>
      <c r="W41" s="298"/>
    </row>
    <row r="42" spans="2:23" s="10" customFormat="1" ht="17.1" customHeight="1" thickBot="1">
      <c r="B42" s="44"/>
      <c r="C42" s="299"/>
      <c r="D42" s="299"/>
      <c r="E42" s="299"/>
      <c r="F42" s="299"/>
      <c r="G42" s="299"/>
      <c r="H42" s="299"/>
      <c r="I42" s="380"/>
      <c r="J42" s="299"/>
      <c r="K42" s="299"/>
      <c r="L42" s="299"/>
      <c r="M42" s="299"/>
      <c r="N42" s="299"/>
      <c r="O42" s="299"/>
      <c r="P42" s="381"/>
      <c r="Q42" s="382"/>
      <c r="R42" s="383"/>
      <c r="S42" s="384"/>
      <c r="T42" s="385"/>
      <c r="U42" s="299"/>
      <c r="V42" s="386"/>
      <c r="W42" s="298"/>
    </row>
    <row r="43" spans="2:23" s="10" customFormat="1" ht="17.1" customHeight="1" thickBot="1" thickTop="1">
      <c r="B43" s="44"/>
      <c r="C43" s="171" t="s">
        <v>73</v>
      </c>
      <c r="D43" s="418" t="s">
        <v>187</v>
      </c>
      <c r="E43" s="186"/>
      <c r="F43" s="17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387">
        <f>SUM(Q20:Q42)</f>
        <v>6383.093000000001</v>
      </c>
      <c r="R43" s="388">
        <f>SUM(R20:R42)</f>
        <v>1271.95</v>
      </c>
      <c r="S43" s="388">
        <f>SUM(S20:S42)</f>
        <v>419.74350000000004</v>
      </c>
      <c r="T43" s="389">
        <f>SUM(T20:T42)</f>
        <v>0</v>
      </c>
      <c r="U43" s="390"/>
      <c r="V43" s="391">
        <f>ROUND(SUM(V20:V42),2)</f>
        <v>8074.79</v>
      </c>
      <c r="W43" s="298"/>
    </row>
    <row r="44" spans="2:23" s="184" customFormat="1" ht="9.75" thickTop="1">
      <c r="B44" s="185"/>
      <c r="C44" s="186"/>
      <c r="D44" s="186"/>
      <c r="E44" s="186"/>
      <c r="F44" s="187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2"/>
      <c r="V44" s="392"/>
      <c r="W44" s="324"/>
    </row>
    <row r="45" spans="2:23" s="10" customFormat="1" ht="17.1" customHeight="1" thickBot="1">
      <c r="B45" s="197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7"/>
    </row>
    <row r="46" spans="2:23" ht="17.1" customHeight="1" thickTop="1"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</row>
    <row r="47" spans="3:6" ht="17.1" customHeight="1">
      <c r="C47" s="393"/>
      <c r="D47" s="393"/>
      <c r="E47" s="393"/>
      <c r="F47" s="393"/>
    </row>
    <row r="48" ht="17.1" customHeight="1"/>
    <row r="49" ht="17.1" customHeight="1"/>
    <row r="50" ht="17.1" customHeight="1"/>
    <row r="51" ht="17.1" customHeight="1"/>
    <row r="52" ht="17.1" customHeight="1"/>
  </sheetData>
  <printOptions/>
  <pageMargins left="0.25" right="0.25" top="0.75" bottom="0.75" header="0.3" footer="0.3"/>
  <pageSetup fitToHeight="1" fitToWidth="1" horizontalDpi="600" verticalDpi="600" orientation="landscape" paperSize="9" scale="63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defaultSize="0" print="0" autoFill="0" autoPict="0" macro="[0]!Referencias_Salidas">
                <anchor moveWithCells="1" siz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C21"/>
  <sheetViews>
    <sheetView zoomScale="85" zoomScaleNormal="85" workbookViewId="0" topLeftCell="A1">
      <selection activeCell="F14" sqref="F14"/>
    </sheetView>
  </sheetViews>
  <sheetFormatPr defaultColWidth="11.421875" defaultRowHeight="12.75"/>
  <cols>
    <col min="1" max="1" width="21.7109375" style="401" customWidth="1"/>
    <col min="2" max="2" width="9.28125" style="401" customWidth="1"/>
    <col min="3" max="3" width="11.8515625" style="401" bestFit="1" customWidth="1"/>
    <col min="4" max="4" width="9.57421875" style="401" bestFit="1" customWidth="1"/>
    <col min="5" max="5" width="14.8515625" style="401" bestFit="1" customWidth="1"/>
    <col min="6" max="6" width="64.00390625" style="401" bestFit="1" customWidth="1"/>
    <col min="7" max="16384" width="11.421875" style="401" customWidth="1"/>
  </cols>
  <sheetData>
    <row r="1" spans="1:4" ht="12.75">
      <c r="A1" s="400" t="s">
        <v>76</v>
      </c>
      <c r="B1" s="400" t="s">
        <v>76</v>
      </c>
      <c r="C1" s="400" t="s">
        <v>77</v>
      </c>
      <c r="D1" s="400" t="s">
        <v>78</v>
      </c>
    </row>
    <row r="2" spans="1:4" ht="12.75">
      <c r="A2" s="402" t="s">
        <v>60</v>
      </c>
      <c r="B2" s="403" t="s">
        <v>79</v>
      </c>
      <c r="C2" s="402">
        <v>31</v>
      </c>
      <c r="D2" s="402">
        <v>2006</v>
      </c>
    </row>
    <row r="3" spans="1:4" ht="12.75">
      <c r="A3" s="402" t="s">
        <v>61</v>
      </c>
      <c r="B3" s="403" t="s">
        <v>80</v>
      </c>
      <c r="C3" s="402">
        <f ca="1">IF(MOD(E14,4)=0,29,28)</f>
        <v>29</v>
      </c>
      <c r="D3" s="402">
        <f>+D2+1</f>
        <v>2007</v>
      </c>
    </row>
    <row r="4" spans="1:4" ht="12.75">
      <c r="A4" s="402" t="s">
        <v>62</v>
      </c>
      <c r="B4" s="403" t="s">
        <v>81</v>
      </c>
      <c r="C4" s="402">
        <v>31</v>
      </c>
      <c r="D4" s="402">
        <v>2008</v>
      </c>
    </row>
    <row r="5" spans="1:4" ht="12.75">
      <c r="A5" s="402" t="s">
        <v>63</v>
      </c>
      <c r="B5" s="403" t="s">
        <v>82</v>
      </c>
      <c r="C5" s="402">
        <v>30</v>
      </c>
      <c r="D5" s="402">
        <v>2009</v>
      </c>
    </row>
    <row r="6" spans="1:4" ht="12.75">
      <c r="A6" s="402" t="s">
        <v>64</v>
      </c>
      <c r="B6" s="403" t="s">
        <v>83</v>
      </c>
      <c r="C6" s="402">
        <v>31</v>
      </c>
      <c r="D6" s="402">
        <v>2010</v>
      </c>
    </row>
    <row r="7" spans="1:4" ht="12.75">
      <c r="A7" s="402" t="s">
        <v>65</v>
      </c>
      <c r="B7" s="403" t="s">
        <v>84</v>
      </c>
      <c r="C7" s="402">
        <v>30</v>
      </c>
      <c r="D7" s="402">
        <v>2011</v>
      </c>
    </row>
    <row r="8" spans="1:4" ht="12.75">
      <c r="A8" s="402" t="s">
        <v>66</v>
      </c>
      <c r="B8" s="403" t="s">
        <v>85</v>
      </c>
      <c r="C8" s="402">
        <v>31</v>
      </c>
      <c r="D8" s="402">
        <v>2012</v>
      </c>
    </row>
    <row r="9" spans="1:4" ht="12.75">
      <c r="A9" s="402" t="s">
        <v>67</v>
      </c>
      <c r="B9" s="403" t="s">
        <v>86</v>
      </c>
      <c r="C9" s="402">
        <v>31</v>
      </c>
      <c r="D9" s="402">
        <v>2013</v>
      </c>
    </row>
    <row r="10" spans="1:4" ht="12.75">
      <c r="A10" s="402" t="s">
        <v>68</v>
      </c>
      <c r="B10" s="403" t="s">
        <v>87</v>
      </c>
      <c r="C10" s="402">
        <v>30</v>
      </c>
      <c r="D10" s="402">
        <v>2014</v>
      </c>
    </row>
    <row r="11" spans="1:4" ht="12.75">
      <c r="A11" s="402" t="s">
        <v>69</v>
      </c>
      <c r="B11" s="403" t="s">
        <v>88</v>
      </c>
      <c r="C11" s="402">
        <v>31</v>
      </c>
      <c r="D11" s="402">
        <v>2015</v>
      </c>
    </row>
    <row r="12" spans="1:4" ht="12.75">
      <c r="A12" s="402" t="s">
        <v>70</v>
      </c>
      <c r="B12" s="403" t="s">
        <v>89</v>
      </c>
      <c r="C12" s="402">
        <v>30</v>
      </c>
      <c r="D12" s="402">
        <v>2016</v>
      </c>
    </row>
    <row r="13" spans="1:9" ht="12.75">
      <c r="A13" s="402" t="s">
        <v>71</v>
      </c>
      <c r="B13" s="403" t="s">
        <v>90</v>
      </c>
      <c r="C13" s="402">
        <v>31</v>
      </c>
      <c r="D13" s="402"/>
      <c r="I13" s="404" t="s">
        <v>91</v>
      </c>
    </row>
    <row r="14" spans="1:9" ht="12.75">
      <c r="A14" s="405">
        <v>11</v>
      </c>
      <c r="B14" s="406">
        <v>4</v>
      </c>
      <c r="C14" s="405" t="str">
        <f ca="1">CELL("CONTENIDO",OFFSET(A1,B14,0))</f>
        <v>abril</v>
      </c>
      <c r="D14" s="405">
        <f ca="1">CELL("CONTENIDO",OFFSET(C1,B14,0))</f>
        <v>30</v>
      </c>
      <c r="E14" s="405">
        <f ca="1">CELL("CONTENIDO",OFFSET(D1,A14,0))</f>
        <v>2016</v>
      </c>
      <c r="F14" s="405" t="str">
        <f ca="1">"Desde el 01 al "&amp;D14&amp;" de "&amp;C14&amp;" de "&amp;E14</f>
        <v>Desde el 01 al 30 de abril de 2016</v>
      </c>
      <c r="G14" s="405" t="str">
        <f ca="1">CELL("CONTENIDO",OFFSET(B1,B14,0))</f>
        <v>04</v>
      </c>
      <c r="H14" s="405" t="str">
        <f ca="1">RIGHT(E14,2)</f>
        <v>16</v>
      </c>
      <c r="I14" s="407" t="s">
        <v>92</v>
      </c>
    </row>
    <row r="15" spans="1:8" ht="12.75">
      <c r="A15" s="405"/>
      <c r="B15" s="408" t="str">
        <f ca="1">"\\rugor\files\Transporte\Transporte\AA PROCESO AUT ARCHIVOS J\DISTROCUYO\"&amp;E14</f>
        <v>\\rugor\files\Transporte\Transporte\AA PROCESO AUT ARCHIVOS J\DISTROCUYO\2016</v>
      </c>
      <c r="C15" s="405"/>
      <c r="D15" s="405"/>
      <c r="E15" s="405"/>
      <c r="F15" s="405"/>
      <c r="G15" s="405" t="str">
        <f ca="1">"J"&amp;G14&amp;H14&amp;"CUY"</f>
        <v>J0416CUY</v>
      </c>
      <c r="H15" s="405"/>
    </row>
    <row r="16" spans="1:8" ht="12.75">
      <c r="A16" s="405"/>
      <c r="B16" s="408" t="str">
        <f ca="1">"\\rugor\files\Transporte\transporte\AA PROCESO AUT\INTERCAMBIO\"&amp;H14&amp;G14</f>
        <v>\\rugor\files\Transporte\transporte\AA PROCESO AUT\INTERCAMBIO\1604</v>
      </c>
      <c r="C16" s="405"/>
      <c r="D16" s="405"/>
      <c r="E16" s="405"/>
      <c r="F16" s="405"/>
      <c r="G16" s="405"/>
      <c r="H16" s="405"/>
    </row>
    <row r="17" spans="1:29" s="409" customFormat="1" ht="12.75">
      <c r="A17" s="400" t="s">
        <v>93</v>
      </c>
      <c r="B17" s="400" t="s">
        <v>94</v>
      </c>
      <c r="C17" s="400" t="s">
        <v>95</v>
      </c>
      <c r="D17" s="400" t="s">
        <v>96</v>
      </c>
      <c r="E17" s="400" t="s">
        <v>97</v>
      </c>
      <c r="F17" s="400" t="s">
        <v>98</v>
      </c>
      <c r="G17" s="400" t="s">
        <v>126</v>
      </c>
      <c r="H17" s="400" t="s">
        <v>99</v>
      </c>
      <c r="I17" s="400" t="s">
        <v>100</v>
      </c>
      <c r="J17" s="400" t="s">
        <v>101</v>
      </c>
      <c r="K17" s="400" t="s">
        <v>102</v>
      </c>
      <c r="L17" s="400" t="s">
        <v>103</v>
      </c>
      <c r="M17" s="400" t="s">
        <v>104</v>
      </c>
      <c r="N17" s="400" t="s">
        <v>105</v>
      </c>
      <c r="O17" s="400" t="s">
        <v>106</v>
      </c>
      <c r="P17" s="400" t="s">
        <v>107</v>
      </c>
      <c r="Q17" s="400" t="s">
        <v>108</v>
      </c>
      <c r="R17" s="400" t="s">
        <v>109</v>
      </c>
      <c r="S17" s="400" t="s">
        <v>110</v>
      </c>
      <c r="T17" s="400" t="s">
        <v>111</v>
      </c>
      <c r="U17" s="400" t="s">
        <v>112</v>
      </c>
      <c r="V17" s="400" t="s">
        <v>113</v>
      </c>
      <c r="W17" s="400" t="s">
        <v>114</v>
      </c>
      <c r="X17" s="400" t="s">
        <v>115</v>
      </c>
      <c r="Y17" s="400" t="s">
        <v>116</v>
      </c>
      <c r="Z17" s="400" t="s">
        <v>117</v>
      </c>
      <c r="AA17" s="400" t="s">
        <v>118</v>
      </c>
      <c r="AB17" s="400" t="s">
        <v>119</v>
      </c>
      <c r="AC17" s="400" t="s">
        <v>120</v>
      </c>
    </row>
    <row r="18" spans="1:29" ht="12.75">
      <c r="A18" s="410" t="s">
        <v>121</v>
      </c>
      <c r="B18" s="410">
        <v>21</v>
      </c>
      <c r="C18" s="410">
        <v>19</v>
      </c>
      <c r="D18" s="410">
        <v>12</v>
      </c>
      <c r="E18" s="410" t="str">
        <f ca="1">"LI-"&amp;$G$14</f>
        <v>LI-04</v>
      </c>
      <c r="F18" s="410" t="s">
        <v>127</v>
      </c>
      <c r="G18" s="410">
        <v>3</v>
      </c>
      <c r="H18" s="411">
        <v>5</v>
      </c>
      <c r="I18" s="411">
        <v>4</v>
      </c>
      <c r="J18" s="410">
        <v>6</v>
      </c>
      <c r="K18" s="410">
        <v>7</v>
      </c>
      <c r="L18" s="410">
        <v>8</v>
      </c>
      <c r="M18" s="410">
        <v>0</v>
      </c>
      <c r="N18" s="410">
        <v>10</v>
      </c>
      <c r="O18" s="410">
        <v>11</v>
      </c>
      <c r="P18" s="410">
        <v>14</v>
      </c>
      <c r="Q18" s="410">
        <v>26</v>
      </c>
      <c r="R18" s="410">
        <v>0</v>
      </c>
      <c r="S18" s="410">
        <v>15</v>
      </c>
      <c r="T18" s="410">
        <v>0</v>
      </c>
      <c r="U18" s="410">
        <v>0</v>
      </c>
      <c r="V18" s="410">
        <v>0</v>
      </c>
      <c r="W18" s="410">
        <v>18</v>
      </c>
      <c r="X18" s="410">
        <v>9</v>
      </c>
      <c r="Y18" s="410">
        <v>42</v>
      </c>
      <c r="Z18" s="410">
        <v>27</v>
      </c>
      <c r="AA18" s="410">
        <v>19</v>
      </c>
      <c r="AB18" s="410">
        <v>27</v>
      </c>
      <c r="AC18" s="410">
        <v>14</v>
      </c>
    </row>
    <row r="19" spans="1:29" ht="12.75">
      <c r="A19" s="412" t="s">
        <v>122</v>
      </c>
      <c r="B19" s="412">
        <v>22</v>
      </c>
      <c r="C19" s="412">
        <v>19</v>
      </c>
      <c r="D19" s="412">
        <v>13</v>
      </c>
      <c r="E19" s="412" t="str">
        <f ca="1">"T-"&amp;$G$14</f>
        <v>T-04</v>
      </c>
      <c r="F19" s="412" t="s">
        <v>128</v>
      </c>
      <c r="G19" s="410">
        <v>3</v>
      </c>
      <c r="H19" s="411">
        <v>5</v>
      </c>
      <c r="I19" s="411">
        <v>4</v>
      </c>
      <c r="J19" s="412">
        <v>6</v>
      </c>
      <c r="K19" s="412">
        <v>7</v>
      </c>
      <c r="L19" s="412">
        <v>8</v>
      </c>
      <c r="M19" s="412">
        <v>9</v>
      </c>
      <c r="N19" s="412">
        <v>11</v>
      </c>
      <c r="O19" s="412">
        <v>12</v>
      </c>
      <c r="P19" s="412">
        <v>15</v>
      </c>
      <c r="Q19" s="412">
        <v>16</v>
      </c>
      <c r="R19" s="412">
        <v>18</v>
      </c>
      <c r="S19" s="412">
        <v>28</v>
      </c>
      <c r="T19" s="412">
        <v>17</v>
      </c>
      <c r="U19" s="412">
        <v>0</v>
      </c>
      <c r="V19" s="412">
        <v>0</v>
      </c>
      <c r="W19" s="412">
        <v>22</v>
      </c>
      <c r="X19" s="410">
        <v>9</v>
      </c>
      <c r="Y19" s="412">
        <v>43</v>
      </c>
      <c r="Z19" s="412">
        <v>29</v>
      </c>
      <c r="AA19" s="412">
        <v>20</v>
      </c>
      <c r="AB19" s="412">
        <v>29</v>
      </c>
      <c r="AC19" s="412">
        <v>15</v>
      </c>
    </row>
    <row r="20" spans="1:29" ht="12.75">
      <c r="A20" s="410" t="s">
        <v>123</v>
      </c>
      <c r="B20" s="410">
        <v>22</v>
      </c>
      <c r="C20" s="410">
        <v>19</v>
      </c>
      <c r="D20" s="410">
        <v>10</v>
      </c>
      <c r="E20" s="410" t="str">
        <f ca="1">"SA-"&amp;$G$14</f>
        <v>SA-04</v>
      </c>
      <c r="F20" s="410" t="s">
        <v>129</v>
      </c>
      <c r="G20" s="410">
        <v>3</v>
      </c>
      <c r="H20" s="411">
        <v>5</v>
      </c>
      <c r="I20" s="411">
        <v>4</v>
      </c>
      <c r="J20" s="410">
        <v>6</v>
      </c>
      <c r="K20" s="410">
        <v>7</v>
      </c>
      <c r="L20" s="410">
        <v>8</v>
      </c>
      <c r="M20" s="410">
        <v>10</v>
      </c>
      <c r="N20" s="410">
        <v>11</v>
      </c>
      <c r="O20" s="410">
        <v>14</v>
      </c>
      <c r="P20" s="410">
        <v>15</v>
      </c>
      <c r="Q20" s="410">
        <v>21</v>
      </c>
      <c r="R20" s="410">
        <v>0</v>
      </c>
      <c r="S20" s="410">
        <v>0</v>
      </c>
      <c r="T20" s="410">
        <v>0</v>
      </c>
      <c r="U20" s="410">
        <v>0</v>
      </c>
      <c r="V20" s="410">
        <v>0</v>
      </c>
      <c r="W20" s="410">
        <v>24</v>
      </c>
      <c r="X20" s="410">
        <v>9</v>
      </c>
      <c r="Y20" s="410">
        <v>43</v>
      </c>
      <c r="Z20" s="410">
        <v>22</v>
      </c>
      <c r="AA20" s="410">
        <v>20</v>
      </c>
      <c r="AB20" s="410">
        <v>22</v>
      </c>
      <c r="AC20" s="410">
        <v>14</v>
      </c>
    </row>
    <row r="21" spans="1:29" s="409" customFormat="1" ht="12.75">
      <c r="A21" s="413" t="s">
        <v>124</v>
      </c>
      <c r="B21" s="413">
        <v>19</v>
      </c>
      <c r="C21" s="413">
        <v>24</v>
      </c>
      <c r="D21" s="414">
        <v>4</v>
      </c>
      <c r="E21" s="413" t="str">
        <f ca="1">"CAUSAS-VST-"&amp;$G$14</f>
        <v>CAUSAS-VST-04</v>
      </c>
      <c r="F21" s="413" t="s">
        <v>125</v>
      </c>
      <c r="G21" s="413">
        <v>3</v>
      </c>
      <c r="H21" s="413">
        <v>4</v>
      </c>
      <c r="I21" s="413">
        <v>5</v>
      </c>
      <c r="J21" s="413">
        <v>6</v>
      </c>
      <c r="K21" s="413">
        <v>7</v>
      </c>
      <c r="L21" s="413">
        <v>0</v>
      </c>
      <c r="M21" s="413">
        <v>0</v>
      </c>
      <c r="N21" s="413">
        <v>0</v>
      </c>
      <c r="O21" s="413">
        <v>0</v>
      </c>
      <c r="P21" s="413">
        <v>0</v>
      </c>
      <c r="Q21" s="413">
        <v>0</v>
      </c>
      <c r="R21" s="413">
        <v>0</v>
      </c>
      <c r="S21" s="413">
        <v>0</v>
      </c>
      <c r="T21" s="413">
        <v>0</v>
      </c>
      <c r="U21" s="413">
        <v>0</v>
      </c>
      <c r="V21" s="413">
        <v>0</v>
      </c>
      <c r="W21" s="413">
        <v>999</v>
      </c>
      <c r="X21" s="413">
        <v>999</v>
      </c>
      <c r="Y21" s="413">
        <v>0</v>
      </c>
      <c r="Z21" s="413">
        <v>0</v>
      </c>
      <c r="AA21" s="413">
        <v>0</v>
      </c>
      <c r="AB21" s="413">
        <v>0</v>
      </c>
      <c r="AC21" s="413">
        <v>0</v>
      </c>
    </row>
  </sheetData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2016-09-21T15:49:10Z</cp:lastPrinted>
  <dcterms:created xsi:type="dcterms:W3CDTF">1998-09-02T21:31:22Z</dcterms:created>
  <dcterms:modified xsi:type="dcterms:W3CDTF">2016-12-07T15:10:36Z</dcterms:modified>
  <cp:category/>
  <cp:version/>
  <cp:contentType/>
  <cp:contentStatus/>
</cp:coreProperties>
</file>