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rugor\Files\Transporte\transporte\ARCHIVOS.XLS\P-TRSNEA\2016\"/>
    </mc:Choice>
  </mc:AlternateContent>
  <bookViews>
    <workbookView xWindow="-15" yWindow="3480" windowWidth="11970" windowHeight="3525" tabRatio="931"/>
  </bookViews>
  <sheets>
    <sheet name="TOT-0316" sheetId="7" r:id="rId1"/>
    <sheet name="LI-03 (1)" sheetId="31" r:id="rId2"/>
    <sheet name="LI-DPEC-03 (1)" sheetId="57" r:id="rId3"/>
    <sheet name="T-03 (1)" sheetId="32" r:id="rId4"/>
    <sheet name="SA-03 (1)" sheetId="56" r:id="rId5"/>
    <sheet name="SUP-DPEC" sheetId="58" r:id="rId6"/>
    <sheet name="DATO" sheetId="14" r:id="rId7"/>
  </sheets>
  <externalReferences>
    <externalReference r:id="rId8"/>
    <externalReference r:id="rId9"/>
  </externalReferences>
  <definedNames>
    <definedName name="_xlnm._FilterDatabase" localSheetId="6" hidden="1">DATO!$A$1:$AC$27</definedName>
    <definedName name="DD" localSheetId="5">'SUP-DPEC'!DD</definedName>
    <definedName name="DD">[0]!DD</definedName>
    <definedName name="DDD" localSheetId="5">'SUP-DPEC'!DDD</definedName>
    <definedName name="DDD">[0]!DDD</definedName>
    <definedName name="DISTROCUYO" localSheetId="5">'SUP-DPEC'!DISTROCUYO</definedName>
    <definedName name="DISTROCUYO">[0]!DISTROCUYO</definedName>
    <definedName name="INICIO" localSheetId="5">'SUP-DPEC'!INICIO</definedName>
    <definedName name="INICIO">[0]!INICIO</definedName>
    <definedName name="INICIOTI" localSheetId="5">'SUP-DPEC'!INICIOTI</definedName>
    <definedName name="INICIOTI">[0]!INICIOTI</definedName>
    <definedName name="LINEAS" localSheetId="5">'SUP-DPEC'!LINEAS</definedName>
    <definedName name="LINEAS">[0]!LINEAS</definedName>
    <definedName name="NAME_L" localSheetId="5">'SUP-DPEC'!NAME_L</definedName>
    <definedName name="NAME_L">[0]!NAME_L</definedName>
    <definedName name="NAME_L_TI" localSheetId="5">'SUP-DPEC'!NAME_L_TI</definedName>
    <definedName name="NAME_L_TI">[0]!NAME_L_TI</definedName>
    <definedName name="TRAN" localSheetId="5">'SUP-DPEC'!TRAN</definedName>
    <definedName name="TRAN">[0]!TRAN</definedName>
    <definedName name="TRANSNOA" localSheetId="5">'SUP-DPEC'!TRANSNOA</definedName>
    <definedName name="TRANSNOA">[0]!TRANSNOA</definedName>
    <definedName name="x" localSheetId="5">'SUP-DPEC'!x</definedName>
    <definedName name="x">[0]!x</definedName>
    <definedName name="XX" localSheetId="5">'SUP-DPEC'!XX</definedName>
    <definedName name="XX">[0]!XX</definedName>
  </definedNames>
  <calcPr calcId="152511"/>
</workbook>
</file>

<file path=xl/calcChain.xml><?xml version="1.0" encoding="utf-8"?>
<calcChain xmlns="http://schemas.openxmlformats.org/spreadsheetml/2006/main">
  <c r="AA44" i="31" l="1"/>
  <c r="Z37" i="31" l="1"/>
  <c r="Z38" i="31"/>
  <c r="Z39" i="31"/>
  <c r="Z40" i="31"/>
  <c r="B2" i="31" l="1"/>
  <c r="I30" i="31" l="1"/>
  <c r="H17" i="56"/>
  <c r="H16" i="56"/>
  <c r="H15" i="56"/>
  <c r="H14" i="56"/>
  <c r="K18" i="58" l="1"/>
  <c r="B12" i="58"/>
  <c r="B2" i="58"/>
  <c r="I56" i="58"/>
  <c r="Y36" i="58"/>
  <c r="X36" i="58"/>
  <c r="V36" i="58"/>
  <c r="Q36" i="58"/>
  <c r="O36" i="58"/>
  <c r="M36" i="58"/>
  <c r="P36" i="58" s="1"/>
  <c r="K36" i="58"/>
  <c r="J36" i="58"/>
  <c r="G36" i="58"/>
  <c r="Y35" i="58"/>
  <c r="X35" i="58"/>
  <c r="V35" i="58"/>
  <c r="Q35" i="58"/>
  <c r="O35" i="58"/>
  <c r="M35" i="58"/>
  <c r="P35" i="58" s="1"/>
  <c r="K35" i="58"/>
  <c r="J35" i="58"/>
  <c r="G35" i="58"/>
  <c r="Y34" i="58"/>
  <c r="X34" i="58"/>
  <c r="V34" i="58"/>
  <c r="Q34" i="58"/>
  <c r="O34" i="58"/>
  <c r="M34" i="58"/>
  <c r="P34" i="58" s="1"/>
  <c r="K34" i="58"/>
  <c r="J34" i="58"/>
  <c r="G34" i="58"/>
  <c r="Y29" i="58"/>
  <c r="X29" i="58"/>
  <c r="M29" i="58"/>
  <c r="K29" i="58"/>
  <c r="J29" i="58"/>
  <c r="Y28" i="58"/>
  <c r="X28" i="58"/>
  <c r="W28" i="58"/>
  <c r="V28" i="58"/>
  <c r="U28" i="58"/>
  <c r="S28" i="58"/>
  <c r="Q28" i="58"/>
  <c r="P28" i="58"/>
  <c r="O28" i="58"/>
  <c r="N28" i="58"/>
  <c r="M28" i="58"/>
  <c r="K28" i="58"/>
  <c r="T28" i="58" s="1"/>
  <c r="J28" i="58"/>
  <c r="G28" i="58"/>
  <c r="X27" i="58"/>
  <c r="W27" i="58"/>
  <c r="V27" i="58"/>
  <c r="S27" i="58"/>
  <c r="O27" i="58"/>
  <c r="N27" i="58"/>
  <c r="M27" i="58"/>
  <c r="K27" i="58"/>
  <c r="T27" i="58" s="1"/>
  <c r="J27" i="58"/>
  <c r="G27" i="58"/>
  <c r="P27" i="58" s="1"/>
  <c r="W26" i="58"/>
  <c r="V26" i="58"/>
  <c r="S26" i="58"/>
  <c r="O26" i="58"/>
  <c r="N26" i="58"/>
  <c r="M26" i="58"/>
  <c r="K26" i="58"/>
  <c r="T26" i="58" s="1"/>
  <c r="J26" i="58"/>
  <c r="G26" i="58"/>
  <c r="P26" i="58" s="1"/>
  <c r="E18" i="58"/>
  <c r="I49" i="58" s="1"/>
  <c r="L16" i="57"/>
  <c r="B12" i="57"/>
  <c r="AA42" i="57"/>
  <c r="Z42" i="57"/>
  <c r="Y42" i="57"/>
  <c r="X42" i="57"/>
  <c r="U42" i="57"/>
  <c r="R42" i="57"/>
  <c r="Q42" i="57"/>
  <c r="P42" i="57"/>
  <c r="O42" i="57"/>
  <c r="M42" i="57"/>
  <c r="V42" i="57" s="1"/>
  <c r="L42" i="57"/>
  <c r="I42" i="57"/>
  <c r="AA41" i="57"/>
  <c r="Z41" i="57"/>
  <c r="Y41" i="57"/>
  <c r="X41" i="57"/>
  <c r="U41" i="57"/>
  <c r="R41" i="57"/>
  <c r="Q41" i="57"/>
  <c r="P41" i="57"/>
  <c r="O41" i="57"/>
  <c r="M41" i="57"/>
  <c r="V41" i="57" s="1"/>
  <c r="L41" i="57"/>
  <c r="I41" i="57"/>
  <c r="AA40" i="57"/>
  <c r="Z40" i="57"/>
  <c r="Y40" i="57"/>
  <c r="X40" i="57"/>
  <c r="U40" i="57"/>
  <c r="R40" i="57"/>
  <c r="Q40" i="57"/>
  <c r="P40" i="57"/>
  <c r="O40" i="57"/>
  <c r="M40" i="57"/>
  <c r="V40" i="57" s="1"/>
  <c r="L40" i="57"/>
  <c r="I40" i="57"/>
  <c r="AA39" i="57"/>
  <c r="Z39" i="57"/>
  <c r="Y39" i="57"/>
  <c r="X39" i="57"/>
  <c r="U39" i="57"/>
  <c r="R39" i="57"/>
  <c r="Q39" i="57"/>
  <c r="P39" i="57"/>
  <c r="O39" i="57"/>
  <c r="M39" i="57"/>
  <c r="V39" i="57" s="1"/>
  <c r="L39" i="57"/>
  <c r="I39" i="57"/>
  <c r="AA38" i="57"/>
  <c r="Z38" i="57"/>
  <c r="Y38" i="57"/>
  <c r="X38" i="57"/>
  <c r="U38" i="57"/>
  <c r="R38" i="57"/>
  <c r="Q38" i="57"/>
  <c r="P38" i="57"/>
  <c r="O38" i="57"/>
  <c r="M38" i="57"/>
  <c r="V38" i="57" s="1"/>
  <c r="L38" i="57"/>
  <c r="I38" i="57"/>
  <c r="AA37" i="57"/>
  <c r="Z37" i="57"/>
  <c r="Y37" i="57"/>
  <c r="X37" i="57"/>
  <c r="U37" i="57"/>
  <c r="R37" i="57"/>
  <c r="Q37" i="57"/>
  <c r="P37" i="57"/>
  <c r="O37" i="57"/>
  <c r="M37" i="57"/>
  <c r="V37" i="57" s="1"/>
  <c r="L37" i="57"/>
  <c r="I37" i="57"/>
  <c r="AA36" i="57"/>
  <c r="Z36" i="57"/>
  <c r="Y36" i="57"/>
  <c r="X36" i="57"/>
  <c r="U36" i="57"/>
  <c r="R36" i="57"/>
  <c r="Q36" i="57"/>
  <c r="P36" i="57"/>
  <c r="O36" i="57"/>
  <c r="M36" i="57"/>
  <c r="V36" i="57" s="1"/>
  <c r="L36" i="57"/>
  <c r="I36" i="57"/>
  <c r="AA35" i="57"/>
  <c r="Z35" i="57"/>
  <c r="Y35" i="57"/>
  <c r="X35" i="57"/>
  <c r="U35" i="57"/>
  <c r="R35" i="57"/>
  <c r="Q35" i="57"/>
  <c r="P35" i="57"/>
  <c r="O35" i="57"/>
  <c r="M35" i="57"/>
  <c r="V35" i="57" s="1"/>
  <c r="L35" i="57"/>
  <c r="I35" i="57"/>
  <c r="AA34" i="57"/>
  <c r="Z34" i="57"/>
  <c r="Y34" i="57"/>
  <c r="X34" i="57"/>
  <c r="U34" i="57"/>
  <c r="R34" i="57"/>
  <c r="Q34" i="57"/>
  <c r="P34" i="57"/>
  <c r="O34" i="57"/>
  <c r="M34" i="57"/>
  <c r="V34" i="57" s="1"/>
  <c r="L34" i="57"/>
  <c r="I34" i="57"/>
  <c r="AA33" i="57"/>
  <c r="Z33" i="57"/>
  <c r="Y33" i="57"/>
  <c r="X33" i="57"/>
  <c r="U33" i="57"/>
  <c r="R33" i="57"/>
  <c r="Q33" i="57"/>
  <c r="P33" i="57"/>
  <c r="O33" i="57"/>
  <c r="M33" i="57"/>
  <c r="V33" i="57" s="1"/>
  <c r="L33" i="57"/>
  <c r="I33" i="57"/>
  <c r="AA32" i="57"/>
  <c r="Z32" i="57"/>
  <c r="Y32" i="57"/>
  <c r="X32" i="57"/>
  <c r="U32" i="57"/>
  <c r="R32" i="57"/>
  <c r="Q32" i="57"/>
  <c r="P32" i="57"/>
  <c r="O32" i="57"/>
  <c r="M32" i="57"/>
  <c r="V32" i="57" s="1"/>
  <c r="L32" i="57"/>
  <c r="I32" i="57"/>
  <c r="AA31" i="57"/>
  <c r="Z31" i="57"/>
  <c r="Y31" i="57"/>
  <c r="X31" i="57"/>
  <c r="U31" i="57"/>
  <c r="R31" i="57"/>
  <c r="Q31" i="57"/>
  <c r="P31" i="57"/>
  <c r="O31" i="57"/>
  <c r="M31" i="57"/>
  <c r="V31" i="57" s="1"/>
  <c r="L31" i="57"/>
  <c r="I31" i="57"/>
  <c r="AA30" i="57"/>
  <c r="Z30" i="57"/>
  <c r="Y30" i="57"/>
  <c r="X30" i="57"/>
  <c r="U30" i="57"/>
  <c r="R30" i="57"/>
  <c r="Q30" i="57"/>
  <c r="P30" i="57"/>
  <c r="O30" i="57"/>
  <c r="M30" i="57"/>
  <c r="V30" i="57" s="1"/>
  <c r="L30" i="57"/>
  <c r="I30" i="57"/>
  <c r="AA29" i="57"/>
  <c r="Z29" i="57"/>
  <c r="Y29" i="57"/>
  <c r="X29" i="57"/>
  <c r="U29" i="57"/>
  <c r="R29" i="57"/>
  <c r="Q29" i="57"/>
  <c r="P29" i="57"/>
  <c r="O29" i="57"/>
  <c r="M29" i="57"/>
  <c r="V29" i="57" s="1"/>
  <c r="L29" i="57"/>
  <c r="I29" i="57"/>
  <c r="AA28" i="57"/>
  <c r="Z28" i="57"/>
  <c r="Y28" i="57"/>
  <c r="X28" i="57"/>
  <c r="U28" i="57"/>
  <c r="R28" i="57"/>
  <c r="Q28" i="57"/>
  <c r="P28" i="57"/>
  <c r="O28" i="57"/>
  <c r="M28" i="57"/>
  <c r="V28" i="57" s="1"/>
  <c r="L28" i="57"/>
  <c r="I28" i="57"/>
  <c r="AA27" i="57"/>
  <c r="Z27" i="57"/>
  <c r="Y27" i="57"/>
  <c r="X27" i="57"/>
  <c r="U27" i="57"/>
  <c r="R27" i="57"/>
  <c r="Q27" i="57"/>
  <c r="P27" i="57"/>
  <c r="O27" i="57"/>
  <c r="M27" i="57"/>
  <c r="V27" i="57" s="1"/>
  <c r="L27" i="57"/>
  <c r="I27" i="57"/>
  <c r="AA26" i="57"/>
  <c r="Z26" i="57"/>
  <c r="Y26" i="57"/>
  <c r="X26" i="57"/>
  <c r="U26" i="57"/>
  <c r="R26" i="57"/>
  <c r="Q26" i="57"/>
  <c r="P26" i="57"/>
  <c r="O26" i="57"/>
  <c r="M26" i="57"/>
  <c r="V26" i="57" s="1"/>
  <c r="L26" i="57"/>
  <c r="I26" i="57"/>
  <c r="AA25" i="57"/>
  <c r="Z25" i="57"/>
  <c r="Y25" i="57"/>
  <c r="X25" i="57"/>
  <c r="U25" i="57"/>
  <c r="R25" i="57"/>
  <c r="Q25" i="57"/>
  <c r="P25" i="57"/>
  <c r="O25" i="57"/>
  <c r="M25" i="57"/>
  <c r="V25" i="57" s="1"/>
  <c r="L25" i="57"/>
  <c r="I25" i="57"/>
  <c r="Y24" i="57"/>
  <c r="X24" i="57"/>
  <c r="W24" i="57"/>
  <c r="U24" i="57"/>
  <c r="Q24" i="57"/>
  <c r="P24" i="57"/>
  <c r="O24" i="57"/>
  <c r="M24" i="57"/>
  <c r="V24" i="57" s="1"/>
  <c r="L24" i="57"/>
  <c r="I24" i="57"/>
  <c r="R24" i="57" s="1"/>
  <c r="Y23" i="57"/>
  <c r="Y44" i="57" s="1"/>
  <c r="X23" i="57"/>
  <c r="X44" i="57" s="1"/>
  <c r="U23" i="57"/>
  <c r="Q23" i="57"/>
  <c r="P23" i="57"/>
  <c r="O23" i="57"/>
  <c r="M23" i="57"/>
  <c r="V23" i="57" s="1"/>
  <c r="L23" i="57"/>
  <c r="I23" i="57"/>
  <c r="R23" i="57" s="1"/>
  <c r="S24" i="57"/>
  <c r="O22" i="56"/>
  <c r="O23" i="56"/>
  <c r="O24" i="56"/>
  <c r="B12" i="56"/>
  <c r="V41" i="56"/>
  <c r="U41" i="56"/>
  <c r="T41" i="56"/>
  <c r="S41" i="56"/>
  <c r="Q41" i="56"/>
  <c r="O41" i="56"/>
  <c r="R41" i="56" s="1"/>
  <c r="M41" i="56"/>
  <c r="L41" i="56"/>
  <c r="I41" i="56"/>
  <c r="V40" i="56"/>
  <c r="U40" i="56"/>
  <c r="T40" i="56"/>
  <c r="S40" i="56"/>
  <c r="Q40" i="56"/>
  <c r="O40" i="56"/>
  <c r="R40" i="56" s="1"/>
  <c r="M40" i="56"/>
  <c r="L40" i="56"/>
  <c r="I40" i="56"/>
  <c r="V39" i="56"/>
  <c r="U39" i="56"/>
  <c r="T39" i="56"/>
  <c r="S39" i="56"/>
  <c r="Q39" i="56"/>
  <c r="O39" i="56"/>
  <c r="R39" i="56" s="1"/>
  <c r="M39" i="56"/>
  <c r="L39" i="56"/>
  <c r="I39" i="56"/>
  <c r="V38" i="56"/>
  <c r="U38" i="56"/>
  <c r="T38" i="56"/>
  <c r="S38" i="56"/>
  <c r="Q38" i="56"/>
  <c r="O38" i="56"/>
  <c r="R38" i="56" s="1"/>
  <c r="M38" i="56"/>
  <c r="L38" i="56"/>
  <c r="I38" i="56"/>
  <c r="V37" i="56"/>
  <c r="U37" i="56"/>
  <c r="T37" i="56"/>
  <c r="S37" i="56"/>
  <c r="Q37" i="56"/>
  <c r="O37" i="56"/>
  <c r="R37" i="56" s="1"/>
  <c r="M37" i="56"/>
  <c r="L37" i="56"/>
  <c r="I37" i="56"/>
  <c r="V36" i="56"/>
  <c r="U36" i="56"/>
  <c r="T36" i="56"/>
  <c r="S36" i="56"/>
  <c r="R36" i="56"/>
  <c r="Q36" i="56"/>
  <c r="O36" i="56"/>
  <c r="M36" i="56"/>
  <c r="L36" i="56"/>
  <c r="I36" i="56"/>
  <c r="V35" i="56"/>
  <c r="U35" i="56"/>
  <c r="T35" i="56"/>
  <c r="S35" i="56"/>
  <c r="Q35" i="56"/>
  <c r="O35" i="56"/>
  <c r="R35" i="56" s="1"/>
  <c r="M35" i="56"/>
  <c r="L35" i="56"/>
  <c r="I35" i="56"/>
  <c r="V34" i="56"/>
  <c r="U34" i="56"/>
  <c r="T34" i="56"/>
  <c r="S34" i="56"/>
  <c r="R34" i="56"/>
  <c r="Q34" i="56"/>
  <c r="O34" i="56"/>
  <c r="M34" i="56"/>
  <c r="L34" i="56"/>
  <c r="I34" i="56"/>
  <c r="V33" i="56"/>
  <c r="U33" i="56"/>
  <c r="T33" i="56"/>
  <c r="S33" i="56"/>
  <c r="Q33" i="56"/>
  <c r="O33" i="56"/>
  <c r="R33" i="56" s="1"/>
  <c r="M33" i="56"/>
  <c r="L33" i="56"/>
  <c r="I33" i="56"/>
  <c r="V32" i="56"/>
  <c r="U32" i="56"/>
  <c r="T32" i="56"/>
  <c r="S32" i="56"/>
  <c r="R32" i="56"/>
  <c r="Q32" i="56"/>
  <c r="O32" i="56"/>
  <c r="M32" i="56"/>
  <c r="L32" i="56"/>
  <c r="I32" i="56"/>
  <c r="V31" i="56"/>
  <c r="U31" i="56"/>
  <c r="T31" i="56"/>
  <c r="S31" i="56"/>
  <c r="Q31" i="56"/>
  <c r="O31" i="56"/>
  <c r="R31" i="56" s="1"/>
  <c r="M31" i="56"/>
  <c r="L31" i="56"/>
  <c r="I31" i="56"/>
  <c r="V30" i="56"/>
  <c r="U30" i="56"/>
  <c r="T30" i="56"/>
  <c r="S30" i="56"/>
  <c r="R30" i="56"/>
  <c r="Q30" i="56"/>
  <c r="O30" i="56"/>
  <c r="M30" i="56"/>
  <c r="L30" i="56"/>
  <c r="I30" i="56"/>
  <c r="V29" i="56"/>
  <c r="U29" i="56"/>
  <c r="T29" i="56"/>
  <c r="S29" i="56"/>
  <c r="Q29" i="56"/>
  <c r="O29" i="56"/>
  <c r="R29" i="56" s="1"/>
  <c r="M29" i="56"/>
  <c r="L29" i="56"/>
  <c r="I29" i="56"/>
  <c r="V28" i="56"/>
  <c r="U28" i="56"/>
  <c r="T28" i="56"/>
  <c r="S28" i="56"/>
  <c r="R28" i="56"/>
  <c r="Q28" i="56"/>
  <c r="O28" i="56"/>
  <c r="M28" i="56"/>
  <c r="L28" i="56"/>
  <c r="I28" i="56"/>
  <c r="V27" i="56"/>
  <c r="U27" i="56"/>
  <c r="T27" i="56"/>
  <c r="S27" i="56"/>
  <c r="Q27" i="56"/>
  <c r="O27" i="56"/>
  <c r="R27" i="56" s="1"/>
  <c r="M27" i="56"/>
  <c r="L27" i="56"/>
  <c r="I27" i="56"/>
  <c r="V26" i="56"/>
  <c r="U26" i="56"/>
  <c r="T26" i="56"/>
  <c r="S26" i="56"/>
  <c r="R26" i="56"/>
  <c r="Q26" i="56"/>
  <c r="O26" i="56"/>
  <c r="M26" i="56"/>
  <c r="L26" i="56"/>
  <c r="I26" i="56"/>
  <c r="U25" i="56"/>
  <c r="T25" i="56"/>
  <c r="Q25" i="56"/>
  <c r="O25" i="56"/>
  <c r="R25" i="56" s="1"/>
  <c r="M25" i="56"/>
  <c r="L25" i="56"/>
  <c r="I25" i="56"/>
  <c r="U24" i="56"/>
  <c r="T24" i="56"/>
  <c r="Q24" i="56"/>
  <c r="M24" i="56"/>
  <c r="L24" i="56"/>
  <c r="I24" i="56"/>
  <c r="T23" i="56"/>
  <c r="M23" i="56"/>
  <c r="L23" i="56"/>
  <c r="I23" i="56"/>
  <c r="T22" i="56"/>
  <c r="Q22" i="56"/>
  <c r="M22" i="56"/>
  <c r="L22" i="56"/>
  <c r="I22" i="56"/>
  <c r="J17" i="56"/>
  <c r="P40" i="56"/>
  <c r="J16" i="56"/>
  <c r="J15" i="56"/>
  <c r="P22" i="56"/>
  <c r="S22" i="56" s="1"/>
  <c r="J14" i="56"/>
  <c r="Y38" i="58" l="1"/>
  <c r="V25" i="56"/>
  <c r="P23" i="56"/>
  <c r="P24" i="56"/>
  <c r="P26" i="56"/>
  <c r="Q27" i="58"/>
  <c r="U27" i="58"/>
  <c r="Q26" i="58"/>
  <c r="U26" i="58"/>
  <c r="R27" i="58"/>
  <c r="Y27" i="58" s="1"/>
  <c r="R28" i="58"/>
  <c r="I45" i="58"/>
  <c r="X45" i="58" s="1"/>
  <c r="I52" i="58" s="1"/>
  <c r="R26" i="58"/>
  <c r="P44" i="57"/>
  <c r="U44" i="57"/>
  <c r="Q44" i="57"/>
  <c r="R44" i="57"/>
  <c r="V44" i="57"/>
  <c r="M16" i="57"/>
  <c r="S23" i="57"/>
  <c r="W23" i="57"/>
  <c r="T24" i="57"/>
  <c r="AA24" i="57" s="1"/>
  <c r="S25" i="57"/>
  <c r="W25" i="57"/>
  <c r="S26" i="57"/>
  <c r="W26" i="57"/>
  <c r="S27" i="57"/>
  <c r="W27" i="57"/>
  <c r="S28" i="57"/>
  <c r="W28" i="57"/>
  <c r="S29" i="57"/>
  <c r="W29" i="57"/>
  <c r="S30" i="57"/>
  <c r="W30" i="57"/>
  <c r="S31" i="57"/>
  <c r="W31" i="57"/>
  <c r="S32" i="57"/>
  <c r="W32" i="57"/>
  <c r="S33" i="57"/>
  <c r="W33" i="57"/>
  <c r="S34" i="57"/>
  <c r="W34" i="57"/>
  <c r="S35" i="57"/>
  <c r="W35" i="57"/>
  <c r="S36" i="57"/>
  <c r="W36" i="57"/>
  <c r="S37" i="57"/>
  <c r="W37" i="57"/>
  <c r="S38" i="57"/>
  <c r="W38" i="57"/>
  <c r="S39" i="57"/>
  <c r="W39" i="57"/>
  <c r="S40" i="57"/>
  <c r="W40" i="57"/>
  <c r="S41" i="57"/>
  <c r="W41" i="57"/>
  <c r="S42" i="57"/>
  <c r="W42" i="57"/>
  <c r="T23" i="57"/>
  <c r="T25" i="57"/>
  <c r="T26" i="57"/>
  <c r="T27" i="57"/>
  <c r="T28" i="57"/>
  <c r="T29" i="57"/>
  <c r="T30" i="57"/>
  <c r="T31" i="57"/>
  <c r="T32" i="57"/>
  <c r="T33" i="57"/>
  <c r="T34" i="57"/>
  <c r="T35" i="57"/>
  <c r="T36" i="57"/>
  <c r="T37" i="57"/>
  <c r="T38" i="57"/>
  <c r="T39" i="57"/>
  <c r="T40" i="57"/>
  <c r="T41" i="57"/>
  <c r="T42" i="57"/>
  <c r="T43" i="56"/>
  <c r="R22" i="56"/>
  <c r="V22" i="56" s="1"/>
  <c r="P25" i="56"/>
  <c r="S25" i="56" s="1"/>
  <c r="P27" i="56"/>
  <c r="P29" i="56"/>
  <c r="P31" i="56"/>
  <c r="P33" i="56"/>
  <c r="P35" i="56"/>
  <c r="P37" i="56"/>
  <c r="P39" i="56"/>
  <c r="P41" i="56"/>
  <c r="P28" i="56"/>
  <c r="P30" i="56"/>
  <c r="P32" i="56"/>
  <c r="P34" i="56"/>
  <c r="P36" i="56"/>
  <c r="P38" i="56"/>
  <c r="R23" i="56" l="1"/>
  <c r="Q23" i="56"/>
  <c r="Q43" i="56" s="1"/>
  <c r="Y26" i="58"/>
  <c r="Y30" i="58" s="1"/>
  <c r="S23" i="56"/>
  <c r="V23" i="56" s="1"/>
  <c r="S24" i="56"/>
  <c r="R24" i="56"/>
  <c r="T44" i="57"/>
  <c r="W44" i="57"/>
  <c r="AA23" i="57"/>
  <c r="AA44" i="57" s="1"/>
  <c r="I21" i="7" s="1"/>
  <c r="S44" i="57"/>
  <c r="S43" i="56" l="1"/>
  <c r="V24" i="56"/>
  <c r="V43" i="56" s="1"/>
  <c r="I28" i="7" s="1"/>
  <c r="R43" i="56"/>
  <c r="I39" i="58"/>
  <c r="E59" i="58"/>
  <c r="I63" i="58" s="1"/>
  <c r="I32" i="7" s="1"/>
  <c r="B2" i="57"/>
  <c r="B2" i="56"/>
  <c r="P30" i="31"/>
  <c r="Q30" i="31"/>
  <c r="U30" i="31"/>
  <c r="X30" i="31"/>
  <c r="Y30" i="31"/>
  <c r="L30" i="31"/>
  <c r="M30" i="31"/>
  <c r="O30" i="31"/>
  <c r="V30" i="31" l="1"/>
  <c r="W30" i="31"/>
  <c r="AB41" i="32"/>
  <c r="AA41" i="32"/>
  <c r="Z41" i="32"/>
  <c r="W41" i="32"/>
  <c r="U41" i="32"/>
  <c r="T41" i="32"/>
  <c r="P41" i="32"/>
  <c r="N41" i="32"/>
  <c r="M41" i="32"/>
  <c r="J41" i="32"/>
  <c r="AA40" i="32"/>
  <c r="Z40" i="32"/>
  <c r="U40" i="32"/>
  <c r="T40" i="32"/>
  <c r="P40" i="32"/>
  <c r="N40" i="32"/>
  <c r="M40" i="32"/>
  <c r="J40" i="32"/>
  <c r="AA39" i="32"/>
  <c r="Z39" i="32"/>
  <c r="U39" i="32"/>
  <c r="T39" i="32"/>
  <c r="P39" i="32"/>
  <c r="N39" i="32"/>
  <c r="M39" i="32"/>
  <c r="J39" i="32"/>
  <c r="AA38" i="32"/>
  <c r="Z38" i="32"/>
  <c r="U38" i="32"/>
  <c r="T38" i="32"/>
  <c r="P38" i="32"/>
  <c r="N38" i="32"/>
  <c r="M38" i="32"/>
  <c r="J38" i="32"/>
  <c r="AA37" i="32"/>
  <c r="Z37" i="32"/>
  <c r="U37" i="32"/>
  <c r="T37" i="32"/>
  <c r="P37" i="32"/>
  <c r="N37" i="32"/>
  <c r="M37" i="32"/>
  <c r="J37" i="32"/>
  <c r="AA36" i="32"/>
  <c r="Z36" i="32"/>
  <c r="U36" i="32"/>
  <c r="T36" i="32"/>
  <c r="P36" i="32"/>
  <c r="N36" i="32"/>
  <c r="M36" i="32"/>
  <c r="J36" i="32"/>
  <c r="AA35" i="32"/>
  <c r="Z35" i="32"/>
  <c r="U35" i="32"/>
  <c r="T35" i="32"/>
  <c r="P35" i="32"/>
  <c r="N35" i="32"/>
  <c r="M35" i="32"/>
  <c r="J35" i="32"/>
  <c r="AA34" i="32"/>
  <c r="Z34" i="32"/>
  <c r="U34" i="32"/>
  <c r="T34" i="32"/>
  <c r="P34" i="32"/>
  <c r="N34" i="32"/>
  <c r="M34" i="32"/>
  <c r="J34" i="32"/>
  <c r="AA33" i="32"/>
  <c r="Z33" i="32"/>
  <c r="T33" i="32"/>
  <c r="P33" i="32"/>
  <c r="N33" i="32"/>
  <c r="M33" i="32"/>
  <c r="J33" i="32"/>
  <c r="AA32" i="32"/>
  <c r="Z32" i="32"/>
  <c r="U32" i="32"/>
  <c r="T32" i="32"/>
  <c r="P32" i="32"/>
  <c r="N32" i="32"/>
  <c r="M32" i="32"/>
  <c r="J32" i="32"/>
  <c r="AA31" i="32"/>
  <c r="Z31" i="32"/>
  <c r="U31" i="32"/>
  <c r="T31" i="32"/>
  <c r="P31" i="32"/>
  <c r="N31" i="32"/>
  <c r="M31" i="32"/>
  <c r="J31" i="32"/>
  <c r="AA30" i="32"/>
  <c r="Z30" i="32"/>
  <c r="Y30" i="32"/>
  <c r="U30" i="32"/>
  <c r="T30" i="32"/>
  <c r="P30" i="32"/>
  <c r="X30" i="32" s="1"/>
  <c r="N30" i="32"/>
  <c r="M30" i="32"/>
  <c r="J30" i="32"/>
  <c r="AA29" i="32"/>
  <c r="Z29" i="32"/>
  <c r="Y29" i="32"/>
  <c r="P29" i="32"/>
  <c r="X29" i="32" s="1"/>
  <c r="N29" i="32"/>
  <c r="M29" i="32"/>
  <c r="J29" i="32"/>
  <c r="AA28" i="32"/>
  <c r="Z28" i="32"/>
  <c r="Y28" i="32"/>
  <c r="T28" i="32"/>
  <c r="P28" i="32"/>
  <c r="N28" i="32"/>
  <c r="M28" i="32"/>
  <c r="J28" i="32"/>
  <c r="AA27" i="32"/>
  <c r="Z27" i="32"/>
  <c r="Y27" i="32"/>
  <c r="U27" i="32"/>
  <c r="P27" i="32"/>
  <c r="N27" i="32"/>
  <c r="M27" i="32"/>
  <c r="J27" i="32"/>
  <c r="AA26" i="32"/>
  <c r="Z26" i="32"/>
  <c r="Y26" i="32"/>
  <c r="U26" i="32"/>
  <c r="P26" i="32"/>
  <c r="X26" i="32" s="1"/>
  <c r="N26" i="32"/>
  <c r="M26" i="32"/>
  <c r="J26" i="32"/>
  <c r="AA25" i="32"/>
  <c r="Z25" i="32"/>
  <c r="U25" i="32"/>
  <c r="T25" i="32"/>
  <c r="P25" i="32"/>
  <c r="N25" i="32"/>
  <c r="M25" i="32"/>
  <c r="J25" i="32"/>
  <c r="AA24" i="32"/>
  <c r="Z24" i="32"/>
  <c r="U24" i="32"/>
  <c r="T24" i="32"/>
  <c r="P24" i="32"/>
  <c r="N24" i="32"/>
  <c r="M24" i="32"/>
  <c r="J24" i="32"/>
  <c r="AA23" i="32"/>
  <c r="U23" i="32"/>
  <c r="T23" i="32"/>
  <c r="P23" i="32"/>
  <c r="N23" i="32"/>
  <c r="M23" i="32"/>
  <c r="J23" i="32"/>
  <c r="AA22" i="32"/>
  <c r="Z22" i="32"/>
  <c r="Y22" i="32"/>
  <c r="W22" i="32"/>
  <c r="T22" i="32"/>
  <c r="R22" i="32"/>
  <c r="P22" i="32"/>
  <c r="X22" i="32" s="1"/>
  <c r="N22" i="32"/>
  <c r="M22" i="32"/>
  <c r="J22" i="32"/>
  <c r="I17" i="32"/>
  <c r="S39" i="32" s="1"/>
  <c r="B14" i="32"/>
  <c r="AA42" i="31"/>
  <c r="Z42" i="31"/>
  <c r="Y42" i="31"/>
  <c r="X42" i="31"/>
  <c r="U42" i="31"/>
  <c r="R42" i="31"/>
  <c r="Q42" i="31"/>
  <c r="P42" i="31"/>
  <c r="O42" i="31"/>
  <c r="M42" i="31"/>
  <c r="T42" i="31" s="1"/>
  <c r="L42" i="31"/>
  <c r="I42" i="31"/>
  <c r="Z41" i="31"/>
  <c r="Y41" i="31"/>
  <c r="X41" i="31"/>
  <c r="U41" i="31"/>
  <c r="Q41" i="31"/>
  <c r="P41" i="31"/>
  <c r="O41" i="31"/>
  <c r="M41" i="31"/>
  <c r="L41" i="31"/>
  <c r="I41" i="31"/>
  <c r="Y40" i="31"/>
  <c r="X40" i="31"/>
  <c r="U40" i="31"/>
  <c r="Q40" i="31"/>
  <c r="O40" i="31"/>
  <c r="M40" i="31"/>
  <c r="L40" i="31"/>
  <c r="I40" i="31"/>
  <c r="Y39" i="31"/>
  <c r="X39" i="31"/>
  <c r="U39" i="31"/>
  <c r="Q39" i="31"/>
  <c r="P39" i="31"/>
  <c r="O39" i="31"/>
  <c r="M39" i="31"/>
  <c r="L39" i="31"/>
  <c r="I39" i="31"/>
  <c r="Y38" i="31"/>
  <c r="X38" i="31"/>
  <c r="U38" i="31"/>
  <c r="Q38" i="31"/>
  <c r="P38" i="31"/>
  <c r="O38" i="31"/>
  <c r="M38" i="31"/>
  <c r="L38" i="31"/>
  <c r="I38" i="31"/>
  <c r="Y37" i="31"/>
  <c r="X37" i="31"/>
  <c r="U37" i="31"/>
  <c r="Q37" i="31"/>
  <c r="O37" i="31"/>
  <c r="M37" i="31"/>
  <c r="L37" i="31"/>
  <c r="I37" i="31"/>
  <c r="Y36" i="31"/>
  <c r="X36" i="31"/>
  <c r="U36" i="31"/>
  <c r="Q36" i="31"/>
  <c r="P36" i="31"/>
  <c r="O36" i="31"/>
  <c r="M36" i="31"/>
  <c r="L36" i="31"/>
  <c r="I36" i="31"/>
  <c r="Y35" i="31"/>
  <c r="X35" i="31"/>
  <c r="U35" i="31"/>
  <c r="Q35" i="31"/>
  <c r="O35" i="31"/>
  <c r="M35" i="31"/>
  <c r="T35" i="31" s="1"/>
  <c r="L35" i="31"/>
  <c r="I35" i="31"/>
  <c r="Y34" i="31"/>
  <c r="X34" i="31"/>
  <c r="U34" i="31"/>
  <c r="Q34" i="31"/>
  <c r="P34" i="31"/>
  <c r="O34" i="31"/>
  <c r="M34" i="31"/>
  <c r="L34" i="31"/>
  <c r="I34" i="31"/>
  <c r="Y33" i="31"/>
  <c r="X33" i="31"/>
  <c r="U33" i="31"/>
  <c r="Q33" i="31"/>
  <c r="O33" i="31"/>
  <c r="M33" i="31"/>
  <c r="T33" i="31" s="1"/>
  <c r="L33" i="31"/>
  <c r="I33" i="31"/>
  <c r="Y32" i="31"/>
  <c r="X32" i="31"/>
  <c r="U32" i="31"/>
  <c r="Q32" i="31"/>
  <c r="P32" i="31"/>
  <c r="O32" i="31"/>
  <c r="M32" i="31"/>
  <c r="L32" i="31"/>
  <c r="I32" i="31"/>
  <c r="Y31" i="31"/>
  <c r="X31" i="31"/>
  <c r="U31" i="31"/>
  <c r="Q31" i="31"/>
  <c r="O31" i="31"/>
  <c r="M31" i="31"/>
  <c r="L31" i="31"/>
  <c r="I31" i="31"/>
  <c r="Y29" i="31"/>
  <c r="X29" i="31"/>
  <c r="U29" i="31"/>
  <c r="Q29" i="31"/>
  <c r="P29" i="31"/>
  <c r="O29" i="31"/>
  <c r="M29" i="31"/>
  <c r="L29" i="31"/>
  <c r="I29" i="31"/>
  <c r="Y28" i="31"/>
  <c r="X28" i="31"/>
  <c r="U28" i="31"/>
  <c r="Q28" i="31"/>
  <c r="O28" i="31"/>
  <c r="M28" i="31"/>
  <c r="L28" i="31"/>
  <c r="I28" i="31"/>
  <c r="Y27" i="31"/>
  <c r="X27" i="31"/>
  <c r="U27" i="31"/>
  <c r="Q27" i="31"/>
  <c r="O27" i="31"/>
  <c r="M27" i="31"/>
  <c r="L27" i="31"/>
  <c r="I27" i="31"/>
  <c r="Y26" i="31"/>
  <c r="U26" i="31"/>
  <c r="Q26" i="31"/>
  <c r="P26" i="31"/>
  <c r="O26" i="31"/>
  <c r="M26" i="31"/>
  <c r="V26" i="31" s="1"/>
  <c r="L26" i="31"/>
  <c r="I26" i="31"/>
  <c r="Y25" i="31"/>
  <c r="U25" i="31"/>
  <c r="Q25" i="31"/>
  <c r="P25" i="31"/>
  <c r="O25" i="31"/>
  <c r="M25" i="31"/>
  <c r="V25" i="31" s="1"/>
  <c r="L25" i="31"/>
  <c r="I25" i="31"/>
  <c r="Y24" i="31"/>
  <c r="U24" i="31"/>
  <c r="Q24" i="31"/>
  <c r="P24" i="31"/>
  <c r="O24" i="31"/>
  <c r="M24" i="31"/>
  <c r="L24" i="31"/>
  <c r="I24" i="31"/>
  <c r="Y23" i="31"/>
  <c r="X23" i="31"/>
  <c r="U23" i="31"/>
  <c r="R23" i="31"/>
  <c r="Q23" i="31"/>
  <c r="O23" i="31"/>
  <c r="M23" i="31"/>
  <c r="L23" i="31"/>
  <c r="I23" i="31"/>
  <c r="L17" i="31"/>
  <c r="M17" i="31" s="1"/>
  <c r="B14" i="31"/>
  <c r="P28" i="31" l="1"/>
  <c r="P27" i="31"/>
  <c r="P31" i="31"/>
  <c r="P33" i="31"/>
  <c r="V41" i="32"/>
  <c r="Y39" i="32"/>
  <c r="T41" i="31"/>
  <c r="R37" i="31"/>
  <c r="R40" i="31"/>
  <c r="R41" i="31"/>
  <c r="T31" i="31"/>
  <c r="P35" i="31"/>
  <c r="T37" i="31"/>
  <c r="T39" i="31"/>
  <c r="T30" i="31"/>
  <c r="S30" i="31"/>
  <c r="T34" i="31"/>
  <c r="T40" i="31"/>
  <c r="R30" i="31"/>
  <c r="T36" i="31"/>
  <c r="X24" i="31"/>
  <c r="X25" i="31"/>
  <c r="X26" i="31"/>
  <c r="W39" i="32"/>
  <c r="R39" i="31"/>
  <c r="P40" i="31"/>
  <c r="S24" i="32"/>
  <c r="V24" i="32" s="1"/>
  <c r="S25" i="32"/>
  <c r="V25" i="32" s="1"/>
  <c r="S28" i="32"/>
  <c r="S29" i="32"/>
  <c r="U29" i="32" s="1"/>
  <c r="S32" i="32"/>
  <c r="S33" i="32"/>
  <c r="Y33" i="32" s="1"/>
  <c r="S36" i="32"/>
  <c r="S37" i="32"/>
  <c r="P23" i="31"/>
  <c r="R24" i="31"/>
  <c r="R25" i="31"/>
  <c r="R26" i="31"/>
  <c r="R27" i="31"/>
  <c r="R28" i="31"/>
  <c r="R29" i="31"/>
  <c r="R31" i="31"/>
  <c r="T32" i="31"/>
  <c r="R32" i="31"/>
  <c r="R33" i="31"/>
  <c r="R34" i="31"/>
  <c r="R35" i="31"/>
  <c r="R36" i="31"/>
  <c r="P37" i="31"/>
  <c r="T38" i="31"/>
  <c r="R38" i="31"/>
  <c r="V39" i="32"/>
  <c r="S40" i="32"/>
  <c r="X40" i="32" s="1"/>
  <c r="S41" i="32"/>
  <c r="Y41" i="32" s="1"/>
  <c r="V33" i="32"/>
  <c r="AA43" i="32"/>
  <c r="V22" i="32"/>
  <c r="X27" i="32"/>
  <c r="X39" i="32"/>
  <c r="X28" i="32"/>
  <c r="X36" i="32"/>
  <c r="S22" i="32"/>
  <c r="U22" i="32" s="1"/>
  <c r="S26" i="32"/>
  <c r="S30" i="32"/>
  <c r="W30" i="32" s="1"/>
  <c r="S34" i="32"/>
  <c r="S38" i="32"/>
  <c r="K17" i="32"/>
  <c r="S23" i="32"/>
  <c r="Z23" i="32" s="1"/>
  <c r="Z43" i="32" s="1"/>
  <c r="S27" i="32"/>
  <c r="S31" i="32"/>
  <c r="S35" i="32"/>
  <c r="X35" i="32" s="1"/>
  <c r="U44" i="31"/>
  <c r="Q44" i="31"/>
  <c r="Y44" i="31"/>
  <c r="T23" i="31"/>
  <c r="W23" i="31"/>
  <c r="S23" i="31"/>
  <c r="T27" i="31"/>
  <c r="W27" i="31"/>
  <c r="S27" i="31"/>
  <c r="T24" i="31"/>
  <c r="W24" i="31"/>
  <c r="S24" i="31"/>
  <c r="T28" i="31"/>
  <c r="W28" i="31"/>
  <c r="S28" i="31"/>
  <c r="V23" i="31"/>
  <c r="T25" i="31"/>
  <c r="W25" i="31"/>
  <c r="S25" i="31"/>
  <c r="V27" i="31"/>
  <c r="T29" i="31"/>
  <c r="W29" i="31"/>
  <c r="S29" i="31"/>
  <c r="V29" i="31"/>
  <c r="V24" i="31"/>
  <c r="T26" i="31"/>
  <c r="W26" i="31"/>
  <c r="S26" i="31"/>
  <c r="V28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S31" i="31"/>
  <c r="W31" i="31"/>
  <c r="S32" i="31"/>
  <c r="W32" i="31"/>
  <c r="S33" i="31"/>
  <c r="W33" i="31"/>
  <c r="S34" i="31"/>
  <c r="W34" i="31"/>
  <c r="S35" i="31"/>
  <c r="W35" i="31"/>
  <c r="S36" i="31"/>
  <c r="W36" i="31"/>
  <c r="S37" i="31"/>
  <c r="W37" i="31"/>
  <c r="S38" i="31"/>
  <c r="W38" i="31"/>
  <c r="S39" i="31"/>
  <c r="W39" i="31"/>
  <c r="S40" i="31"/>
  <c r="W40" i="31"/>
  <c r="S41" i="31"/>
  <c r="W41" i="31"/>
  <c r="S42" i="31"/>
  <c r="W42" i="31"/>
  <c r="E14" i="14"/>
  <c r="H14" i="14" s="1"/>
  <c r="G14" i="14"/>
  <c r="C14" i="14"/>
  <c r="D3" i="14"/>
  <c r="D4" i="14"/>
  <c r="D5" i="14"/>
  <c r="M45" i="58" l="1"/>
  <c r="E21" i="14"/>
  <c r="X41" i="32"/>
  <c r="AC41" i="32" s="1"/>
  <c r="W35" i="32"/>
  <c r="Y35" i="32"/>
  <c r="X33" i="32"/>
  <c r="W31" i="32"/>
  <c r="Y31" i="32"/>
  <c r="X31" i="32"/>
  <c r="W29" i="32"/>
  <c r="T29" i="32"/>
  <c r="W28" i="32"/>
  <c r="U28" i="32"/>
  <c r="W27" i="32"/>
  <c r="T27" i="32"/>
  <c r="W26" i="32"/>
  <c r="T26" i="32"/>
  <c r="Y25" i="32"/>
  <c r="W25" i="32"/>
  <c r="Y24" i="32"/>
  <c r="W24" i="32"/>
  <c r="AA30" i="31"/>
  <c r="AA41" i="31"/>
  <c r="X44" i="31"/>
  <c r="X25" i="32"/>
  <c r="W40" i="32"/>
  <c r="Y40" i="32"/>
  <c r="W38" i="32"/>
  <c r="Y38" i="32"/>
  <c r="X38" i="32"/>
  <c r="W37" i="32"/>
  <c r="Y37" i="32"/>
  <c r="X37" i="32"/>
  <c r="W36" i="32"/>
  <c r="Y36" i="32"/>
  <c r="W34" i="32"/>
  <c r="Y34" i="32"/>
  <c r="X34" i="32"/>
  <c r="W33" i="32"/>
  <c r="U33" i="32"/>
  <c r="Y32" i="32"/>
  <c r="W32" i="32"/>
  <c r="V32" i="32"/>
  <c r="Y23" i="32"/>
  <c r="W23" i="32"/>
  <c r="V23" i="32"/>
  <c r="AA38" i="31"/>
  <c r="P44" i="31"/>
  <c r="AC39" i="32"/>
  <c r="V36" i="32"/>
  <c r="V29" i="32"/>
  <c r="V37" i="32"/>
  <c r="R44" i="31"/>
  <c r="B2" i="32"/>
  <c r="AC22" i="32"/>
  <c r="AA40" i="31"/>
  <c r="AA36" i="31"/>
  <c r="AA35" i="31"/>
  <c r="AA32" i="31"/>
  <c r="AA31" i="31"/>
  <c r="AA27" i="31"/>
  <c r="X32" i="32"/>
  <c r="X24" i="32"/>
  <c r="V28" i="32"/>
  <c r="V40" i="32"/>
  <c r="V38" i="32"/>
  <c r="V35" i="32"/>
  <c r="V34" i="32"/>
  <c r="V31" i="32"/>
  <c r="V30" i="32"/>
  <c r="AC30" i="32" s="1"/>
  <c r="V27" i="32"/>
  <c r="V26" i="32"/>
  <c r="X23" i="32"/>
  <c r="E19" i="14"/>
  <c r="AA39" i="31"/>
  <c r="AA37" i="31"/>
  <c r="AA34" i="31"/>
  <c r="AA33" i="31"/>
  <c r="AA29" i="31"/>
  <c r="AA28" i="31"/>
  <c r="AA26" i="31"/>
  <c r="AA25" i="31"/>
  <c r="AA24" i="31"/>
  <c r="AA23" i="31"/>
  <c r="S44" i="31"/>
  <c r="W44" i="31"/>
  <c r="V44" i="31"/>
  <c r="T44" i="31"/>
  <c r="E22" i="14"/>
  <c r="E20" i="14"/>
  <c r="E25" i="14"/>
  <c r="E27" i="14"/>
  <c r="B15" i="14"/>
  <c r="E23" i="14"/>
  <c r="E18" i="14"/>
  <c r="B16" i="14"/>
  <c r="C3" i="14"/>
  <c r="D14" i="14" s="1"/>
  <c r="F14" i="14" s="1"/>
  <c r="G15" i="14"/>
  <c r="E24" i="14"/>
  <c r="AC26" i="32" l="1"/>
  <c r="U43" i="32"/>
  <c r="T43" i="32"/>
  <c r="AC31" i="32"/>
  <c r="AC25" i="32"/>
  <c r="AC35" i="32"/>
  <c r="AC29" i="32"/>
  <c r="AC28" i="32"/>
  <c r="AC27" i="32"/>
  <c r="AC24" i="32"/>
  <c r="AC36" i="32"/>
  <c r="AC40" i="32"/>
  <c r="AC38" i="32"/>
  <c r="AC37" i="32"/>
  <c r="AC34" i="32"/>
  <c r="Y43" i="32"/>
  <c r="AC33" i="32"/>
  <c r="W43" i="32"/>
  <c r="AC32" i="32"/>
  <c r="X43" i="32"/>
  <c r="V43" i="32"/>
  <c r="AC23" i="32"/>
  <c r="I20" i="7"/>
  <c r="AC43" i="32" l="1"/>
  <c r="I26" i="7" l="1"/>
  <c r="G36" i="7" s="1"/>
</calcChain>
</file>

<file path=xl/sharedStrings.xml><?xml version="1.0" encoding="utf-8"?>
<sst xmlns="http://schemas.openxmlformats.org/spreadsheetml/2006/main" count="505" uniqueCount="233">
  <si>
    <t>SISTEMA DE TRANSPORTE DE ENERGÍA ELÉCTRICA POR DISTRIBUCIÓN TRONCAL</t>
  </si>
  <si>
    <t>TRANSNEA S.A.</t>
  </si>
  <si>
    <t xml:space="preserve">ENTE NACIONAL REGULADOR </t>
  </si>
  <si>
    <t>DE LA ELECTRICIDAD</t>
  </si>
  <si>
    <t>Sanciones duplicadas por tasa de falla &gt; 4 Sal. x año/100km.</t>
  </si>
  <si>
    <t>1.-</t>
  </si>
  <si>
    <t>LÍNEAS</t>
  </si>
  <si>
    <t>1.1.-</t>
  </si>
  <si>
    <t>Equipamiento propio</t>
  </si>
  <si>
    <t>2.-</t>
  </si>
  <si>
    <t>CONEXIÓN</t>
  </si>
  <si>
    <t>2.1.-</t>
  </si>
  <si>
    <t>Transformación</t>
  </si>
  <si>
    <t xml:space="preserve">TOTAL </t>
  </si>
  <si>
    <t>SISTEMA DE TRANSPORTE DE ENERGÍA ELÉCTRICA POR DISTRIBUCIÓN TRONCAL - TRANSNEA S.A.</t>
  </si>
  <si>
    <t>1.- LÍNEAS</t>
  </si>
  <si>
    <t>1.1.- Líneas propias</t>
  </si>
  <si>
    <t xml:space="preserve">$/100 km-h : LÍNEAS 220 kV </t>
  </si>
  <si>
    <t xml:space="preserve">$/100 km-h : LÍNEAS 132 kV </t>
  </si>
  <si>
    <t>FACTOR DE PENALIZACIÓN K =</t>
  </si>
  <si>
    <t>N°</t>
  </si>
  <si>
    <t>U
[kV]</t>
  </si>
  <si>
    <t>Long.
[km]</t>
  </si>
  <si>
    <t>$/h</t>
  </si>
  <si>
    <t>Salida</t>
  </si>
  <si>
    <t>Entrada</t>
  </si>
  <si>
    <t xml:space="preserve">Hs.
Indisp. </t>
  </si>
  <si>
    <t>Minutos
Indisp.</t>
  </si>
  <si>
    <r>
      <t>Tipo 
Sal.(</t>
    </r>
    <r>
      <rPr>
        <sz val="10"/>
        <rFont val="Wingdings"/>
        <charset val="2"/>
      </rPr>
      <t>²</t>
    </r>
    <r>
      <rPr>
        <sz val="11"/>
        <rFont val="MS Sans Serif"/>
        <family val="2"/>
      </rPr>
      <t>)</t>
    </r>
  </si>
  <si>
    <t>C.R.
%</t>
  </si>
  <si>
    <t>PENALIZAC.
PROGRAM.</t>
  </si>
  <si>
    <t>REDUCC.
PROGRAM.</t>
  </si>
  <si>
    <t>PENALIZACIÓN FORZADA
Por Salida    1ras. 3 hs.  hs. Restantes</t>
  </si>
  <si>
    <t>REDUCC. FORZADA
Por Salida    1ras. 3 hs.  hs. Restantes</t>
  </si>
  <si>
    <t>RESTANTE
FORZADA</t>
  </si>
  <si>
    <t>REDUCC.
RESTANTE</t>
  </si>
  <si>
    <t>Informó
enTérm.</t>
  </si>
  <si>
    <t>TOTAL
PENALIZAC.</t>
  </si>
  <si>
    <r>
      <t>(</t>
    </r>
    <r>
      <rPr>
        <sz val="7"/>
        <rFont val="Wingdings"/>
        <charset val="2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</si>
  <si>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</si>
  <si>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</si>
  <si>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</si>
  <si>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</si>
  <si>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</si>
  <si>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</si>
  <si>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Hs.
Indisp.</t>
  </si>
  <si>
    <t>Mtos.
Indisp.</t>
  </si>
  <si>
    <r>
      <t>Tipo 
Sal.(</t>
    </r>
    <r>
      <rPr>
        <sz val="11"/>
        <rFont val="Wingdings"/>
        <charset val="2"/>
      </rPr>
      <t>²</t>
    </r>
    <r>
      <rPr>
        <sz val="11"/>
        <rFont val="MS Sans Serif"/>
        <family val="2"/>
      </rPr>
      <t>)</t>
    </r>
  </si>
  <si>
    <t>AUT.</t>
  </si>
  <si>
    <t>E.N.S.</t>
  </si>
  <si>
    <t>K (P;ENS)</t>
  </si>
  <si>
    <t>PENALIZ.
PROGRAM.</t>
  </si>
  <si>
    <t>PENALIZACIÓN FORZADA
Por Salida    hs. Restantes</t>
  </si>
  <si>
    <t>REDUCC. FORZADA
Por Salida    hs. Restantes</t>
  </si>
  <si>
    <t>Por Transformador  [$ / h - MVA]  =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</si>
  <si>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</si>
  <si>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</si>
  <si>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</si>
  <si>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</si>
  <si>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</si>
  <si>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</si>
  <si>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</si>
  <si>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</si>
  <si>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</si>
  <si>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</si>
  <si>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</si>
  <si>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</si>
  <si>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</si>
  <si>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</si>
  <si>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</si>
  <si>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</si>
  <si>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</si>
  <si>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</si>
  <si>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</si>
  <si>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</si>
  <si>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</si>
  <si>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</si>
  <si>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</si>
  <si>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</si>
  <si>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</si>
  <si>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</si>
  <si>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</si>
  <si>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</si>
  <si>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</si>
  <si>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</si>
  <si>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</si>
  <si>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</si>
  <si>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</si>
  <si>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</si>
  <si>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</si>
  <si>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</si>
  <si>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</si>
  <si>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</si>
  <si>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</si>
  <si>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</si>
  <si>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</si>
  <si>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</si>
  <si>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</si>
  <si>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</si>
  <si>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</si>
  <si>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</si>
  <si>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</si>
  <si>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</si>
  <si>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</si>
  <si>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</si>
  <si>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</si>
  <si>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</si>
  <si>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DPEC</t>
  </si>
  <si>
    <t>MODELO L ENECOR</t>
  </si>
  <si>
    <t>2.1.1.-</t>
  </si>
  <si>
    <t>132/33/13,2</t>
  </si>
  <si>
    <t>SUP-DPEC</t>
  </si>
  <si>
    <t>MODELO L ELING</t>
  </si>
  <si>
    <t>MODELO T ELING</t>
  </si>
  <si>
    <t>MODELO S ELING</t>
  </si>
  <si>
    <t>INDISP</t>
  </si>
  <si>
    <t>ID EQUIPO</t>
  </si>
  <si>
    <t xml:space="preserve"> ENTE NACIONAL REGULADOR </t>
  </si>
  <si>
    <t xml:space="preserve">       DE LA ELECTRICIDAD</t>
  </si>
  <si>
    <t>MODELO VST</t>
  </si>
  <si>
    <t>TRANSNEA_CAUSAS_VST.XLS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</si>
  <si>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</si>
  <si>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</si>
  <si>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</si>
  <si>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</si>
  <si>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</si>
  <si>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</si>
  <si>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</si>
  <si>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Total</t>
  </si>
  <si>
    <t>B14</t>
  </si>
  <si>
    <t>TRANSNEA_INDISPONIBILIDADES_TRAFOS_ELECTROINGENIERIA.XLS</t>
  </si>
  <si>
    <t>TRANSNEA_INDISPONIBILIDADES_SALIDAS_ELECTROINGENIERIA.XLS</t>
  </si>
  <si>
    <t>TRANSNEA_INDISPONIBILIDADES_LINEAS_DPEC.XLS</t>
  </si>
  <si>
    <t>TRANSNEA_INDISPONIBILIDADES_LINEAS_TRANSNEA.XLS</t>
  </si>
  <si>
    <t>TRANSNEA_INDISPONIBILIDADES_TRAFOS_TRANSNEA.XLS</t>
  </si>
  <si>
    <t>TRANSNEA_INDISPONIBILIDADES_SALIDAS_TRANSNEA.XLS</t>
  </si>
  <si>
    <t>TRANSNEA_INDISPONIBILIDADES_LINEAS_ENECOR.XLS</t>
  </si>
  <si>
    <t>TRANSNEA_INDISPONIBILIDADES_LINEAS_ELECTROINGENIERIA.XLS</t>
  </si>
  <si>
    <t>STA. CATALINA - RESISTENCIA</t>
  </si>
  <si>
    <t>P</t>
  </si>
  <si>
    <t>SI</t>
  </si>
  <si>
    <t>BARRANQUERAS - CORRIENTES 1</t>
  </si>
  <si>
    <t>F</t>
  </si>
  <si>
    <t>PASO DE LOS LIBRES - URUGUAYANA</t>
  </si>
  <si>
    <t>BARRANQUERAS - CORRIENTES 2</t>
  </si>
  <si>
    <t>SALTO GRANDE  AR - CHAJARI</t>
  </si>
  <si>
    <t>BARRANQUERAS</t>
  </si>
  <si>
    <t>TRAFO 7</t>
  </si>
  <si>
    <t>RP</t>
  </si>
  <si>
    <t>TRAFO 2</t>
  </si>
  <si>
    <t>R</t>
  </si>
  <si>
    <t>TRAFO 1</t>
  </si>
  <si>
    <t>CORRIENTES</t>
  </si>
  <si>
    <t>TRAFO 3</t>
  </si>
  <si>
    <t>TRAFO 4</t>
  </si>
  <si>
    <t>0,000</t>
  </si>
  <si>
    <t>TRAFO 5</t>
  </si>
  <si>
    <t>BELLA VISTA</t>
  </si>
  <si>
    <t>132/33/13.2</t>
  </si>
  <si>
    <t>RF</t>
  </si>
  <si>
    <t>P - PROGRAMADA  ; F - FORZADA  ; RF - RESTANTE FORZADA</t>
  </si>
  <si>
    <t xml:space="preserve">$/100 km-h : LÍNEAS 33 kV </t>
  </si>
  <si>
    <t>FORMOSA I - MANSILLA   1</t>
  </si>
  <si>
    <t>GRAN FORMOSA - CLORINDA   1</t>
  </si>
  <si>
    <t>BARRANQUERAS - RESISTENCIA   1</t>
  </si>
  <si>
    <t>SANTA CATALINA</t>
  </si>
  <si>
    <t>NO</t>
  </si>
  <si>
    <t>2.2.- Salidas</t>
  </si>
  <si>
    <t>Salida en 220 kV</t>
  </si>
  <si>
    <t xml:space="preserve"> - </t>
  </si>
  <si>
    <t xml:space="preserve">Salida en 132 kV o 66 kV = </t>
  </si>
  <si>
    <t xml:space="preserve">Salida en 33 kV </t>
  </si>
  <si>
    <t>Salida en 13,2 kV =</t>
  </si>
  <si>
    <t>K</t>
  </si>
  <si>
    <t>F - FORZADA</t>
  </si>
  <si>
    <t>1.2.-Transportista Independiente - Dirección Provincial de Energía de Corrientes (D.P.E.C.)</t>
  </si>
  <si>
    <t xml:space="preserve">$/100 km-h : LÍNEAS 66 kV </t>
  </si>
  <si>
    <t>PASO DE LOS LIBRES - MONTE CASEROS</t>
  </si>
  <si>
    <t>1.2.-</t>
  </si>
  <si>
    <t>Transportista Independiente D.P.E.C.</t>
  </si>
  <si>
    <t>3.-</t>
  </si>
  <si>
    <t>SUPERVISIÓN</t>
  </si>
  <si>
    <t>3.1.-</t>
  </si>
  <si>
    <t>3.1.-SUPERVISIÓN - Transportista Independiente D.P.E.C.</t>
  </si>
  <si>
    <t>a) Datos</t>
  </si>
  <si>
    <t>Tiempo de servicio =</t>
  </si>
  <si>
    <t>hs</t>
  </si>
  <si>
    <t>Porcentaje por Supervisión  =</t>
  </si>
  <si>
    <t>RM por Transformador =</t>
  </si>
  <si>
    <t>$/h-MVA</t>
  </si>
  <si>
    <t>RM Salidas 132 kV =</t>
  </si>
  <si>
    <t>$/hs.</t>
  </si>
  <si>
    <r>
      <t>b) 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</si>
  <si>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I</t>
  </si>
  <si>
    <t>II</t>
  </si>
  <si>
    <t>III</t>
  </si>
  <si>
    <t>SM=</t>
  </si>
  <si>
    <r>
      <t>c)</t>
    </r>
    <r>
      <rPr>
        <b/>
        <u/>
        <sz val="11"/>
        <rFont val="Times New Roman"/>
        <family val="1"/>
      </rPr>
      <t xml:space="preserve"> 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</si>
  <si>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</t>
  </si>
  <si>
    <t>kV</t>
  </si>
  <si>
    <t>km</t>
  </si>
  <si>
    <r>
      <t>RM</t>
    </r>
    <r>
      <rPr>
        <sz val="11"/>
        <rFont val="Times New Roman"/>
        <family val="1"/>
      </rPr>
      <t xml:space="preserve"> por Cap. Transporte</t>
    </r>
  </si>
  <si>
    <r>
      <t>RM</t>
    </r>
    <r>
      <rPr>
        <sz val="11"/>
        <rFont val="Times New Roman"/>
        <family val="1"/>
      </rPr>
      <t xml:space="preserve"> por E. E. T.</t>
    </r>
  </si>
  <si>
    <t>TOTAL</t>
  </si>
  <si>
    <t>E.T.</t>
  </si>
  <si>
    <t>SALIDA</t>
  </si>
  <si>
    <r>
      <t>RM</t>
    </r>
    <r>
      <rPr>
        <sz val="11"/>
        <rFont val="Times New Roman"/>
        <family val="1"/>
      </rPr>
      <t xml:space="preserve"> por Conexión</t>
    </r>
  </si>
  <si>
    <t>PASO DE LOS LIBRES</t>
  </si>
  <si>
    <t>INTERRUPTOR TRAFO 1</t>
  </si>
  <si>
    <t>RM =</t>
  </si>
  <si>
    <t>RM * =</t>
  </si>
  <si>
    <r>
      <t>d) 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</si>
  <si>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</si>
  <si>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</si>
  <si>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rPr>
        <b/>
        <sz val="10"/>
        <rFont val="MS Sans Serif"/>
        <family val="2"/>
      </rPr>
      <t>RM*</t>
    </r>
    <r>
      <rPr>
        <sz val="10"/>
        <rFont val="MS Sans Serif"/>
        <family val="2"/>
      </rPr>
      <t xml:space="preserve"> = VALOR EMPLEADO PARA CALCULAR </t>
    </r>
    <r>
      <rPr>
        <b/>
        <sz val="10"/>
        <rFont val="MS Sans Serif"/>
        <family val="2"/>
      </rPr>
      <t>CS</t>
    </r>
  </si>
  <si>
    <t>e) SANCIÓN</t>
  </si>
  <si>
    <t>Sanción Calculada</t>
  </si>
  <si>
    <t>TOTAL A PENALIZAR A TRANSNEA S.A. POR SUPERVISIÓN A  D.P.E.C.</t>
  </si>
  <si>
    <t>SANCIÓN  =</t>
  </si>
  <si>
    <t>SALIDA TIPOITI</t>
  </si>
  <si>
    <t>Desde el 01 al 31 de Marzo de 2016</t>
  </si>
  <si>
    <t>STA. CATALINA</t>
  </si>
  <si>
    <t>SALIDA LINEA EMPEDRADO</t>
  </si>
  <si>
    <t>VIRASORO - S. TOME</t>
  </si>
  <si>
    <t>MTE. CASEROS</t>
  </si>
  <si>
    <t>FORMOSA</t>
  </si>
  <si>
    <t>2.2.-</t>
  </si>
  <si>
    <t>Salidas</t>
  </si>
  <si>
    <t>2.2.1.-</t>
  </si>
  <si>
    <t>TOTAL DE PENALIZACIONES</t>
  </si>
  <si>
    <t>F - FORZADA  ; RP - REDUCCIÓN PROGRAMADA  ; R - REDUCCIÓN FORZADA  ; RF - RESTANTE FORZADA</t>
  </si>
  <si>
    <t xml:space="preserve">          DE LA ELECTRICIDAD</t>
  </si>
  <si>
    <t>ANEXO III al Memorandum D.T.E.E. N°  294 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</si>
</sst>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\ #,##0;&quot;$&quot;\ \-#,##0"/>
    <numFmt numFmtId="7" formatCode="&quot;$&quot;\ #,##0.00;&quot;$&quot;\ \-#,##0.00"/>
    <numFmt numFmtId="8" formatCode="&quot;$&quot;\ #,##0.00;[Red]&quot;$&quot;\ \-#,##0.00"/>
    <numFmt numFmtId="164" formatCode="&quot;$&quot;#,##0.00_);\(&quot;$&quot;#,##0.00\)"/>
    <numFmt numFmtId="165" formatCode="0_)"/>
    <numFmt numFmtId="166" formatCode="0.0_)"/>
    <numFmt numFmtId="167" formatCode="#,##0.0000"/>
    <numFmt numFmtId="168" formatCode="0.00_)"/>
    <numFmt numFmtId="169" formatCode="0.000"/>
    <numFmt numFmtId="170" formatCode="&quot;$&quot;\ #,##0.000;&quot;$&quot;\ \-#,##0.000"/>
    <numFmt numFmtId="171" formatCode="#,##0.0"/>
    <numFmt numFmtId="172" formatCode="#,##0.00000"/>
    <numFmt numFmtId="173" formatCode="&quot;$&quot;\ #,##0.00"/>
  </numFmts>
  <fonts count="90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MS Sans Serif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b/>
      <i/>
      <u/>
      <sz val="10"/>
      <name val="Times New Roman"/>
      <family val="1"/>
    </font>
    <font>
      <sz val="10"/>
      <name val="MS Sans Serif"/>
      <family val="2"/>
    </font>
    <font>
      <b/>
      <u/>
      <sz val="20"/>
      <name val="Times New Roman"/>
      <family val="1"/>
    </font>
    <font>
      <sz val="11"/>
      <name val="MS Sans Serif"/>
      <family val="2"/>
    </font>
    <font>
      <sz val="16"/>
      <color indexed="8"/>
      <name val="Times New Roman"/>
      <family val="1"/>
    </font>
    <font>
      <b/>
      <i/>
      <u/>
      <sz val="14"/>
      <color indexed="8"/>
      <name val="Times New Roman"/>
      <family val="1"/>
    </font>
    <font>
      <b/>
      <i/>
      <u/>
      <sz val="8"/>
      <name val="Times New Roman"/>
      <family val="1"/>
    </font>
    <font>
      <b/>
      <i/>
      <u/>
      <sz val="12"/>
      <name val="Times New Roman"/>
      <family val="1"/>
    </font>
    <font>
      <sz val="10"/>
      <name val="Wingdings"/>
      <charset val="2"/>
    </font>
    <font>
      <sz val="7"/>
      <name val="Times New Roman"/>
      <family val="1"/>
    </font>
    <font>
      <sz val="7"/>
      <name val="Wingdings"/>
      <charset val="2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1"/>
      <color indexed="12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sz val="11"/>
      <color indexed="47"/>
      <name val="MS Sans Serif"/>
      <family val="2"/>
    </font>
    <font>
      <b/>
      <sz val="10"/>
      <color indexed="47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1"/>
    </font>
    <font>
      <sz val="11"/>
      <color indexed="34"/>
      <name val="MS Sans Serif"/>
      <family val="2"/>
    </font>
    <font>
      <b/>
      <sz val="10"/>
      <color indexed="34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MS Sans Serif"/>
      <family val="2"/>
    </font>
    <font>
      <b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1"/>
      <name val="Wingdings"/>
      <charset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color indexed="10"/>
      <name val="MS Sans Serif"/>
      <family val="2"/>
    </font>
    <font>
      <sz val="10"/>
      <color indexed="50"/>
      <name val="MS Sans Serif"/>
      <family val="2"/>
    </font>
    <font>
      <sz val="8"/>
      <name val="MS Sans Serif"/>
      <family val="2"/>
    </font>
    <font>
      <sz val="10"/>
      <color indexed="9"/>
      <name val="Times New Roman"/>
      <family val="1"/>
    </font>
    <font>
      <sz val="10"/>
      <color rgb="FF000000"/>
      <name val="MS Sans Serif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u/>
      <sz val="11"/>
      <name val="Times New Roman"/>
      <family val="1"/>
    </font>
    <font>
      <sz val="10"/>
      <color indexed="8"/>
      <name val="Arial"/>
      <family val="2"/>
    </font>
    <font>
      <b/>
      <u/>
      <sz val="11"/>
      <name val="Times New Roman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name val="MS Sans Serif"/>
      <family val="2"/>
    </font>
    <font>
      <b/>
      <sz val="14"/>
      <color indexed="8"/>
      <name val="Times New Roman"/>
      <family val="1"/>
    </font>
    <font>
      <b/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52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0" borderId="1" xfId="0" applyFont="1" applyBorder="1"/>
    <xf numFmtId="2" fontId="5" fillId="0" borderId="2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</xf>
    <xf numFmtId="168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3" fontId="5" fillId="0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4" fontId="9" fillId="0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5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22" fontId="5" fillId="0" borderId="2" xfId="0" applyNumberFormat="1" applyFont="1" applyBorder="1" applyAlignment="1" applyProtection="1">
      <alignment horizontal="center"/>
      <protection locked="0"/>
    </xf>
    <xf numFmtId="168" fontId="5" fillId="0" borderId="2" xfId="0" applyNumberFormat="1" applyFont="1" applyBorder="1" applyAlignment="1" applyProtection="1">
      <alignment horizontal="center"/>
      <protection locked="0"/>
    </xf>
    <xf numFmtId="168" fontId="5" fillId="0" borderId="2" xfId="0" quotePrefix="1" applyNumberFormat="1" applyFont="1" applyBorder="1" applyAlignment="1" applyProtection="1">
      <alignment horizontal="center"/>
      <protection locked="0"/>
    </xf>
    <xf numFmtId="4" fontId="9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</xf>
    <xf numFmtId="168" fontId="5" fillId="0" borderId="0" xfId="0" quotePrefix="1" applyNumberFormat="1" applyFont="1" applyBorder="1" applyAlignment="1" applyProtection="1">
      <alignment horizontal="center"/>
    </xf>
    <xf numFmtId="4" fontId="8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2" fontId="5" fillId="0" borderId="13" xfId="0" quotePrefix="1" applyNumberFormat="1" applyFont="1" applyBorder="1" applyAlignment="1" applyProtection="1">
      <alignment horizontal="center"/>
      <protection locked="0"/>
    </xf>
    <xf numFmtId="22" fontId="5" fillId="0" borderId="2" xfId="0" applyNumberFormat="1" applyFont="1" applyFill="1" applyBorder="1" applyAlignment="1" applyProtection="1">
      <alignment horizontal="center"/>
      <protection locked="0"/>
    </xf>
    <xf numFmtId="168" fontId="5" fillId="0" borderId="2" xfId="0" applyNumberFormat="1" applyFont="1" applyFill="1" applyBorder="1" applyAlignment="1" applyProtection="1">
      <alignment horizontal="center"/>
      <protection locked="0"/>
    </xf>
    <xf numFmtId="166" fontId="5" fillId="0" borderId="13" xfId="0" quotePrefix="1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13" fillId="0" borderId="0" xfId="0" applyFont="1" applyFill="1" applyBorder="1"/>
    <xf numFmtId="164" fontId="6" fillId="0" borderId="15" xfId="0" applyNumberFormat="1" applyFont="1" applyBorder="1" applyAlignment="1">
      <alignment horizontal="center"/>
    </xf>
    <xf numFmtId="0" fontId="20" fillId="0" borderId="0" xfId="0" applyFont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1" xfId="0" applyFont="1" applyBorder="1"/>
    <xf numFmtId="0" fontId="15" fillId="0" borderId="0" xfId="0" applyFont="1"/>
    <xf numFmtId="0" fontId="15" fillId="0" borderId="1" xfId="0" applyFont="1" applyBorder="1"/>
    <xf numFmtId="0" fontId="25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0" xfId="0" applyNumberFormat="1" applyFont="1" applyAlignment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3" fillId="0" borderId="0" xfId="0" applyFont="1" applyBorder="1"/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/>
    <xf numFmtId="0" fontId="19" fillId="0" borderId="0" xfId="0" applyFont="1" applyBorder="1"/>
    <xf numFmtId="0" fontId="19" fillId="0" borderId="7" xfId="0" applyFont="1" applyBorder="1"/>
    <xf numFmtId="0" fontId="19" fillId="0" borderId="8" xfId="0" applyFont="1" applyBorder="1"/>
    <xf numFmtId="0" fontId="14" fillId="0" borderId="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9" xfId="0" applyFont="1" applyBorder="1"/>
    <xf numFmtId="0" fontId="6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/>
    <xf numFmtId="0" fontId="6" fillId="0" borderId="16" xfId="0" applyFont="1" applyBorder="1" applyAlignment="1">
      <alignment horizontal="center"/>
    </xf>
    <xf numFmtId="0" fontId="19" fillId="0" borderId="10" xfId="0" applyFont="1" applyBorder="1"/>
    <xf numFmtId="0" fontId="19" fillId="0" borderId="11" xfId="0" applyNumberFormat="1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164" fontId="19" fillId="0" borderId="0" xfId="0" applyNumberFormat="1" applyFont="1" applyBorder="1"/>
    <xf numFmtId="168" fontId="19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0" fontId="30" fillId="0" borderId="0" xfId="0" applyFont="1"/>
    <xf numFmtId="0" fontId="5" fillId="0" borderId="0" xfId="0" applyFont="1" applyBorder="1" applyProtection="1"/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17" xfId="0" applyFont="1" applyBorder="1"/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3" fillId="0" borderId="0" xfId="0" applyFont="1" applyBorder="1" applyProtection="1"/>
    <xf numFmtId="0" fontId="20" fillId="0" borderId="9" xfId="0" applyFont="1" applyBorder="1"/>
    <xf numFmtId="0" fontId="20" fillId="0" borderId="0" xfId="0" applyFont="1" applyBorder="1" applyProtection="1"/>
    <xf numFmtId="0" fontId="7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4" fillId="0" borderId="0" xfId="0" quotePrefix="1" applyFont="1" applyFill="1" applyBorder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</xf>
    <xf numFmtId="0" fontId="30" fillId="0" borderId="16" xfId="0" applyFont="1" applyBorder="1" applyAlignment="1" applyProtection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5" fillId="0" borderId="18" xfId="0" applyFont="1" applyBorder="1"/>
    <xf numFmtId="0" fontId="5" fillId="0" borderId="2" xfId="0" applyFont="1" applyBorder="1" applyAlignment="1">
      <alignment horizontal="center"/>
    </xf>
    <xf numFmtId="164" fontId="9" fillId="0" borderId="19" xfId="0" applyNumberFormat="1" applyFont="1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0" xfId="0" applyFont="1" applyBorder="1" applyAlignment="1" applyProtection="1">
      <alignment horizontal="center" vertical="center"/>
    </xf>
    <xf numFmtId="0" fontId="32" fillId="0" borderId="20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</xf>
    <xf numFmtId="16" fontId="32" fillId="0" borderId="20" xfId="0" quotePrefix="1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Continuous"/>
    </xf>
    <xf numFmtId="0" fontId="5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Continuous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20" fillId="0" borderId="0" xfId="0" applyFont="1" applyFill="1" applyBorder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5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22" fontId="5" fillId="0" borderId="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22" fillId="0" borderId="0" xfId="0" applyFont="1" applyFill="1"/>
    <xf numFmtId="0" fontId="20" fillId="0" borderId="0" xfId="0" applyFont="1" applyFill="1"/>
    <xf numFmtId="0" fontId="20" fillId="0" borderId="9" xfId="0" applyFont="1" applyFill="1" applyBorder="1"/>
    <xf numFmtId="0" fontId="33" fillId="0" borderId="0" xfId="0" applyFont="1" applyFill="1" applyBorder="1"/>
    <xf numFmtId="0" fontId="20" fillId="0" borderId="1" xfId="0" applyFont="1" applyFill="1" applyBorder="1"/>
    <xf numFmtId="0" fontId="20" fillId="0" borderId="0" xfId="0" applyFont="1" applyFill="1" applyBorder="1" applyProtection="1"/>
    <xf numFmtId="0" fontId="15" fillId="0" borderId="0" xfId="0" applyFont="1" applyFill="1"/>
    <xf numFmtId="0" fontId="14" fillId="0" borderId="0" xfId="0" quotePrefix="1" applyFont="1" applyFill="1" applyBorder="1" applyAlignment="1">
      <alignment horizontal="centerContinuous"/>
    </xf>
    <xf numFmtId="0" fontId="14" fillId="0" borderId="9" xfId="0" applyFont="1" applyFill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14" fillId="0" borderId="1" xfId="0" applyFont="1" applyFill="1" applyBorder="1" applyAlignment="1">
      <alignment horizontal="centerContinuous"/>
    </xf>
    <xf numFmtId="0" fontId="10" fillId="0" borderId="0" xfId="0" applyFont="1" applyFill="1"/>
    <xf numFmtId="0" fontId="30" fillId="0" borderId="16" xfId="0" applyFont="1" applyFill="1" applyBorder="1" applyAlignment="1" applyProtection="1">
      <alignment horizontal="left"/>
    </xf>
    <xf numFmtId="0" fontId="30" fillId="0" borderId="21" xfId="0" applyFont="1" applyFill="1" applyBorder="1" applyAlignment="1" applyProtection="1">
      <alignment horizontal="center"/>
    </xf>
    <xf numFmtId="0" fontId="30" fillId="0" borderId="21" xfId="0" applyFont="1" applyFill="1" applyBorder="1"/>
    <xf numFmtId="0" fontId="30" fillId="0" borderId="16" xfId="0" quotePrefix="1" applyFont="1" applyFill="1" applyBorder="1" applyAlignment="1" applyProtection="1">
      <alignment horizontal="left"/>
    </xf>
    <xf numFmtId="0" fontId="30" fillId="0" borderId="22" xfId="0" applyFont="1" applyFill="1" applyBorder="1" applyAlignment="1" applyProtection="1">
      <alignment horizontal="center"/>
    </xf>
    <xf numFmtId="165" fontId="30" fillId="0" borderId="20" xfId="0" applyNumberFormat="1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2" fillId="0" borderId="20" xfId="0" quotePrefix="1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16" fontId="32" fillId="0" borderId="20" xfId="0" quotePrefix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/>
    <xf numFmtId="164" fontId="9" fillId="0" borderId="19" xfId="0" applyNumberFormat="1" applyFont="1" applyFill="1" applyBorder="1" applyAlignment="1">
      <alignment horizontal="right"/>
    </xf>
    <xf numFmtId="0" fontId="30" fillId="0" borderId="0" xfId="0" applyFont="1" applyAlignment="1" applyProtection="1"/>
    <xf numFmtId="0" fontId="22" fillId="0" borderId="9" xfId="0" applyFont="1" applyBorder="1"/>
    <xf numFmtId="0" fontId="21" fillId="0" borderId="0" xfId="0" applyNumberFormat="1" applyFont="1" applyBorder="1" applyAlignment="1">
      <alignment horizontal="right"/>
    </xf>
    <xf numFmtId="0" fontId="35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1" xfId="0" applyFont="1" applyBorder="1"/>
    <xf numFmtId="0" fontId="19" fillId="0" borderId="9" xfId="0" applyFont="1" applyBorder="1"/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/>
    <xf numFmtId="0" fontId="36" fillId="0" borderId="0" xfId="0" applyFont="1" applyBorder="1"/>
    <xf numFmtId="164" fontId="12" fillId="0" borderId="0" xfId="0" applyNumberFormat="1" applyFont="1" applyBorder="1" applyAlignment="1">
      <alignment horizontal="right"/>
    </xf>
    <xf numFmtId="0" fontId="19" fillId="0" borderId="1" xfId="0" applyFont="1" applyBorder="1"/>
    <xf numFmtId="164" fontId="6" fillId="0" borderId="0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</xf>
    <xf numFmtId="0" fontId="38" fillId="0" borderId="0" xfId="0" applyFont="1" applyBorder="1"/>
    <xf numFmtId="0" fontId="38" fillId="0" borderId="9" xfId="0" applyFont="1" applyBorder="1"/>
    <xf numFmtId="0" fontId="38" fillId="0" borderId="0" xfId="0" applyFont="1" applyBorder="1" applyAlignment="1" applyProtection="1">
      <alignment horizontal="center"/>
    </xf>
    <xf numFmtId="2" fontId="38" fillId="0" borderId="0" xfId="0" applyNumberFormat="1" applyFont="1" applyBorder="1" applyAlignment="1" applyProtection="1">
      <alignment horizontal="center"/>
    </xf>
    <xf numFmtId="168" fontId="38" fillId="0" borderId="0" xfId="0" applyNumberFormat="1" applyFont="1" applyBorder="1" applyAlignment="1" applyProtection="1">
      <alignment horizontal="center"/>
    </xf>
    <xf numFmtId="168" fontId="38" fillId="0" borderId="0" xfId="0" quotePrefix="1" applyNumberFormat="1" applyFont="1" applyBorder="1" applyAlignment="1" applyProtection="1">
      <alignment horizontal="center"/>
    </xf>
    <xf numFmtId="2" fontId="41" fillId="0" borderId="0" xfId="0" applyNumberFormat="1" applyFont="1" applyBorder="1" applyAlignment="1">
      <alignment horizontal="center"/>
    </xf>
    <xf numFmtId="168" fontId="42" fillId="0" borderId="0" xfId="0" quotePrefix="1" applyNumberFormat="1" applyFont="1" applyBorder="1" applyAlignment="1" applyProtection="1">
      <alignment horizontal="center"/>
    </xf>
    <xf numFmtId="4" fontId="42" fillId="0" borderId="0" xfId="0" applyNumberFormat="1" applyFont="1" applyBorder="1" applyAlignment="1">
      <alignment horizontal="center"/>
    </xf>
    <xf numFmtId="164" fontId="43" fillId="0" borderId="0" xfId="0" applyNumberFormat="1" applyFont="1" applyBorder="1" applyAlignment="1">
      <alignment horizontal="right"/>
    </xf>
    <xf numFmtId="2" fontId="38" fillId="0" borderId="1" xfId="0" applyNumberFormat="1" applyFont="1" applyBorder="1" applyAlignment="1">
      <alignment horizontal="center"/>
    </xf>
    <xf numFmtId="0" fontId="38" fillId="0" borderId="0" xfId="0" applyFont="1"/>
    <xf numFmtId="0" fontId="3" fillId="0" borderId="15" xfId="0" applyFont="1" applyBorder="1" applyAlignment="1" applyProtection="1">
      <alignment horizontal="centerContinuous"/>
    </xf>
    <xf numFmtId="167" fontId="5" fillId="0" borderId="15" xfId="0" applyNumberFormat="1" applyFont="1" applyBorder="1" applyAlignment="1">
      <alignment horizontal="centerContinuous"/>
    </xf>
    <xf numFmtId="0" fontId="38" fillId="0" borderId="0" xfId="0" applyFont="1" applyFill="1"/>
    <xf numFmtId="0" fontId="38" fillId="0" borderId="9" xfId="0" applyFont="1" applyFill="1" applyBorder="1"/>
    <xf numFmtId="0" fontId="38" fillId="0" borderId="0" xfId="0" applyFont="1" applyFill="1" applyBorder="1"/>
    <xf numFmtId="164" fontId="38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right"/>
    </xf>
    <xf numFmtId="0" fontId="38" fillId="0" borderId="1" xfId="0" applyFont="1" applyFill="1" applyBorder="1"/>
    <xf numFmtId="0" fontId="32" fillId="0" borderId="2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Continuous"/>
    </xf>
    <xf numFmtId="0" fontId="44" fillId="2" borderId="20" xfId="0" applyFont="1" applyFill="1" applyBorder="1" applyAlignment="1" applyProtection="1">
      <alignment horizontal="center" vertical="center"/>
    </xf>
    <xf numFmtId="4" fontId="5" fillId="0" borderId="18" xfId="0" applyNumberFormat="1" applyFont="1" applyBorder="1" applyAlignment="1" applyProtection="1">
      <alignment horizontal="center"/>
      <protection locked="0"/>
    </xf>
    <xf numFmtId="0" fontId="46" fillId="2" borderId="16" xfId="0" applyFont="1" applyFill="1" applyBorder="1" applyAlignment="1" applyProtection="1">
      <alignment horizontal="centerContinuous" vertical="center" wrapText="1"/>
    </xf>
    <xf numFmtId="0" fontId="47" fillId="2" borderId="22" xfId="0" applyFont="1" applyFill="1" applyBorder="1" applyAlignment="1">
      <alignment horizontal="centerContinuous"/>
    </xf>
    <xf numFmtId="0" fontId="46" fillId="2" borderId="15" xfId="0" applyFont="1" applyFill="1" applyBorder="1" applyAlignment="1">
      <alignment horizontal="centerContinuous" vertical="center"/>
    </xf>
    <xf numFmtId="164" fontId="12" fillId="0" borderId="20" xfId="0" applyNumberFormat="1" applyFont="1" applyBorder="1" applyAlignment="1">
      <alignment horizontal="right"/>
    </xf>
    <xf numFmtId="164" fontId="12" fillId="0" borderId="20" xfId="0" applyNumberFormat="1" applyFont="1" applyFill="1" applyBorder="1" applyAlignment="1">
      <alignment horizontal="right"/>
    </xf>
    <xf numFmtId="0" fontId="50" fillId="0" borderId="6" xfId="0" applyFont="1" applyBorder="1"/>
    <xf numFmtId="0" fontId="51" fillId="2" borderId="4" xfId="0" applyFont="1" applyFill="1" applyBorder="1"/>
    <xf numFmtId="0" fontId="51" fillId="2" borderId="2" xfId="0" applyFont="1" applyFill="1" applyBorder="1"/>
    <xf numFmtId="168" fontId="51" fillId="2" borderId="2" xfId="0" applyNumberFormat="1" applyFont="1" applyFill="1" applyBorder="1" applyAlignment="1" applyProtection="1">
      <alignment horizontal="center"/>
    </xf>
    <xf numFmtId="168" fontId="51" fillId="2" borderId="3" xfId="0" applyNumberFormat="1" applyFont="1" applyFill="1" applyBorder="1" applyAlignment="1" applyProtection="1">
      <alignment horizontal="center"/>
    </xf>
    <xf numFmtId="2" fontId="5" fillId="0" borderId="13" xfId="0" applyNumberFormat="1" applyFont="1" applyBorder="1" applyAlignment="1" applyProtection="1">
      <alignment horizontal="center"/>
      <protection locked="0"/>
    </xf>
    <xf numFmtId="0" fontId="5" fillId="0" borderId="3" xfId="0" applyFont="1" applyBorder="1"/>
    <xf numFmtId="0" fontId="9" fillId="0" borderId="2" xfId="0" applyFont="1" applyBorder="1" applyAlignment="1">
      <alignment horizontal="right"/>
    </xf>
    <xf numFmtId="0" fontId="52" fillId="3" borderId="20" xfId="0" applyFont="1" applyFill="1" applyBorder="1" applyAlignment="1">
      <alignment horizontal="center" vertical="center" wrapText="1"/>
    </xf>
    <xf numFmtId="0" fontId="53" fillId="3" borderId="20" xfId="0" applyFont="1" applyFill="1" applyBorder="1"/>
    <xf numFmtId="2" fontId="53" fillId="3" borderId="20" xfId="0" applyNumberFormat="1" applyFont="1" applyFill="1" applyBorder="1" applyAlignment="1">
      <alignment horizontal="center"/>
    </xf>
    <xf numFmtId="168" fontId="53" fillId="3" borderId="20" xfId="0" quotePrefix="1" applyNumberFormat="1" applyFont="1" applyFill="1" applyBorder="1" applyAlignment="1" applyProtection="1">
      <alignment horizontal="center"/>
    </xf>
    <xf numFmtId="0" fontId="54" fillId="4" borderId="20" xfId="0" applyFont="1" applyFill="1" applyBorder="1" applyAlignment="1">
      <alignment horizontal="center" vertical="center" wrapText="1"/>
    </xf>
    <xf numFmtId="168" fontId="55" fillId="4" borderId="20" xfId="0" quotePrefix="1" applyNumberFormat="1" applyFont="1" applyFill="1" applyBorder="1" applyAlignment="1" applyProtection="1">
      <alignment horizontal="center"/>
    </xf>
    <xf numFmtId="0" fontId="55" fillId="4" borderId="13" xfId="0" applyFont="1" applyFill="1" applyBorder="1"/>
    <xf numFmtId="2" fontId="55" fillId="4" borderId="13" xfId="0" applyNumberFormat="1" applyFont="1" applyFill="1" applyBorder="1" applyAlignment="1">
      <alignment horizontal="center"/>
    </xf>
    <xf numFmtId="0" fontId="55" fillId="4" borderId="4" xfId="0" applyFont="1" applyFill="1" applyBorder="1"/>
    <xf numFmtId="168" fontId="55" fillId="4" borderId="23" xfId="0" quotePrefix="1" applyNumberFormat="1" applyFont="1" applyFill="1" applyBorder="1" applyAlignment="1" applyProtection="1">
      <alignment horizontal="center"/>
    </xf>
    <xf numFmtId="0" fontId="49" fillId="2" borderId="24" xfId="0" applyFont="1" applyFill="1" applyBorder="1" applyAlignment="1">
      <alignment horizontal="center"/>
    </xf>
    <xf numFmtId="0" fontId="49" fillId="2" borderId="25" xfId="0" applyFont="1" applyFill="1" applyBorder="1"/>
    <xf numFmtId="0" fontId="49" fillId="2" borderId="17" xfId="0" applyFont="1" applyFill="1" applyBorder="1"/>
    <xf numFmtId="0" fontId="49" fillId="2" borderId="26" xfId="0" applyFont="1" applyFill="1" applyBorder="1" applyAlignment="1">
      <alignment horizontal="center"/>
    </xf>
    <xf numFmtId="0" fontId="49" fillId="2" borderId="27" xfId="0" applyFont="1" applyFill="1" applyBorder="1"/>
    <xf numFmtId="0" fontId="49" fillId="2" borderId="18" xfId="0" applyFont="1" applyFill="1" applyBorder="1"/>
    <xf numFmtId="168" fontId="49" fillId="2" borderId="26" xfId="0" quotePrefix="1" applyNumberFormat="1" applyFont="1" applyFill="1" applyBorder="1" applyAlignment="1" applyProtection="1">
      <alignment horizontal="center"/>
    </xf>
    <xf numFmtId="168" fontId="49" fillId="2" borderId="27" xfId="0" quotePrefix="1" applyNumberFormat="1" applyFont="1" applyFill="1" applyBorder="1" applyAlignment="1" applyProtection="1">
      <alignment horizontal="center"/>
    </xf>
    <xf numFmtId="4" fontId="49" fillId="2" borderId="18" xfId="0" applyNumberFormat="1" applyFont="1" applyFill="1" applyBorder="1" applyAlignment="1">
      <alignment horizontal="center"/>
    </xf>
    <xf numFmtId="168" fontId="49" fillId="2" borderId="28" xfId="0" quotePrefix="1" applyNumberFormat="1" applyFont="1" applyFill="1" applyBorder="1" applyAlignment="1" applyProtection="1">
      <alignment horizontal="center"/>
    </xf>
    <xf numFmtId="4" fontId="49" fillId="2" borderId="29" xfId="0" applyNumberFormat="1" applyFont="1" applyFill="1" applyBorder="1" applyAlignment="1">
      <alignment horizontal="center"/>
    </xf>
    <xf numFmtId="4" fontId="49" fillId="2" borderId="30" xfId="0" applyNumberFormat="1" applyFont="1" applyFill="1" applyBorder="1" applyAlignment="1">
      <alignment horizontal="center"/>
    </xf>
    <xf numFmtId="168" fontId="49" fillId="2" borderId="20" xfId="0" quotePrefix="1" applyNumberFormat="1" applyFont="1" applyFill="1" applyBorder="1" applyAlignment="1" applyProtection="1">
      <alignment horizontal="center"/>
    </xf>
    <xf numFmtId="0" fontId="56" fillId="5" borderId="16" xfId="0" applyFont="1" applyFill="1" applyBorder="1" applyAlignment="1" applyProtection="1">
      <alignment horizontal="centerContinuous" vertical="center" wrapText="1"/>
    </xf>
    <xf numFmtId="0" fontId="56" fillId="5" borderId="22" xfId="0" applyFont="1" applyFill="1" applyBorder="1" applyAlignment="1">
      <alignment horizontal="centerContinuous" vertical="center"/>
    </xf>
    <xf numFmtId="0" fontId="56" fillId="5" borderId="15" xfId="0" applyFont="1" applyFill="1" applyBorder="1" applyAlignment="1">
      <alignment horizontal="centerContinuous" vertical="center"/>
    </xf>
    <xf numFmtId="0" fontId="57" fillId="5" borderId="24" xfId="0" applyFont="1" applyFill="1" applyBorder="1"/>
    <xf numFmtId="0" fontId="57" fillId="5" borderId="31" xfId="0" applyFont="1" applyFill="1" applyBorder="1"/>
    <xf numFmtId="0" fontId="57" fillId="5" borderId="32" xfId="0" applyFont="1" applyFill="1" applyBorder="1"/>
    <xf numFmtId="0" fontId="57" fillId="5" borderId="26" xfId="0" applyFont="1" applyFill="1" applyBorder="1"/>
    <xf numFmtId="0" fontId="57" fillId="5" borderId="33" xfId="0" applyFont="1" applyFill="1" applyBorder="1"/>
    <xf numFmtId="0" fontId="57" fillId="5" borderId="34" xfId="0" applyFont="1" applyFill="1" applyBorder="1"/>
    <xf numFmtId="168" fontId="57" fillId="5" borderId="26" xfId="0" quotePrefix="1" applyNumberFormat="1" applyFont="1" applyFill="1" applyBorder="1" applyAlignment="1" applyProtection="1">
      <alignment horizontal="center"/>
    </xf>
    <xf numFmtId="168" fontId="57" fillId="5" borderId="27" xfId="0" quotePrefix="1" applyNumberFormat="1" applyFont="1" applyFill="1" applyBorder="1" applyAlignment="1" applyProtection="1">
      <alignment horizontal="center"/>
    </xf>
    <xf numFmtId="4" fontId="57" fillId="5" borderId="18" xfId="0" applyNumberFormat="1" applyFont="1" applyFill="1" applyBorder="1" applyAlignment="1">
      <alignment horizontal="center"/>
    </xf>
    <xf numFmtId="4" fontId="57" fillId="5" borderId="28" xfId="0" applyNumberFormat="1" applyFont="1" applyFill="1" applyBorder="1" applyAlignment="1">
      <alignment horizontal="center"/>
    </xf>
    <xf numFmtId="4" fontId="57" fillId="5" borderId="35" xfId="0" applyNumberFormat="1" applyFont="1" applyFill="1" applyBorder="1" applyAlignment="1">
      <alignment horizontal="center"/>
    </xf>
    <xf numFmtId="4" fontId="57" fillId="5" borderId="36" xfId="0" applyNumberFormat="1" applyFont="1" applyFill="1" applyBorder="1" applyAlignment="1">
      <alignment horizontal="center"/>
    </xf>
    <xf numFmtId="168" fontId="57" fillId="5" borderId="20" xfId="0" quotePrefix="1" applyNumberFormat="1" applyFont="1" applyFill="1" applyBorder="1" applyAlignment="1" applyProtection="1">
      <alignment horizontal="center"/>
    </xf>
    <xf numFmtId="0" fontId="58" fillId="6" borderId="20" xfId="0" applyFont="1" applyFill="1" applyBorder="1" applyAlignment="1">
      <alignment horizontal="center" vertical="center" wrapText="1"/>
    </xf>
    <xf numFmtId="0" fontId="59" fillId="6" borderId="4" xfId="0" applyFont="1" applyFill="1" applyBorder="1"/>
    <xf numFmtId="0" fontId="59" fillId="6" borderId="2" xfId="0" applyFont="1" applyFill="1" applyBorder="1"/>
    <xf numFmtId="4" fontId="59" fillId="6" borderId="2" xfId="0" applyNumberFormat="1" applyFont="1" applyFill="1" applyBorder="1" applyAlignment="1">
      <alignment horizontal="center"/>
    </xf>
    <xf numFmtId="4" fontId="59" fillId="6" borderId="3" xfId="0" applyNumberFormat="1" applyFont="1" applyFill="1" applyBorder="1" applyAlignment="1">
      <alignment horizontal="center"/>
    </xf>
    <xf numFmtId="168" fontId="59" fillId="6" borderId="20" xfId="0" quotePrefix="1" applyNumberFormat="1" applyFont="1" applyFill="1" applyBorder="1" applyAlignment="1" applyProtection="1">
      <alignment horizontal="center"/>
    </xf>
    <xf numFmtId="0" fontId="56" fillId="7" borderId="20" xfId="0" applyFont="1" applyFill="1" applyBorder="1" applyAlignment="1">
      <alignment horizontal="center" vertical="center" wrapText="1"/>
    </xf>
    <xf numFmtId="0" fontId="57" fillId="7" borderId="4" xfId="0" applyFont="1" applyFill="1" applyBorder="1"/>
    <xf numFmtId="0" fontId="57" fillId="7" borderId="2" xfId="0" applyFont="1" applyFill="1" applyBorder="1"/>
    <xf numFmtId="4" fontId="57" fillId="7" borderId="2" xfId="0" applyNumberFormat="1" applyFont="1" applyFill="1" applyBorder="1" applyAlignment="1">
      <alignment horizontal="center"/>
    </xf>
    <xf numFmtId="4" fontId="57" fillId="7" borderId="3" xfId="0" applyNumberFormat="1" applyFont="1" applyFill="1" applyBorder="1" applyAlignment="1">
      <alignment horizontal="center"/>
    </xf>
    <xf numFmtId="168" fontId="57" fillId="7" borderId="20" xfId="0" quotePrefix="1" applyNumberFormat="1" applyFont="1" applyFill="1" applyBorder="1" applyAlignment="1" applyProtection="1">
      <alignment horizontal="center"/>
    </xf>
    <xf numFmtId="0" fontId="51" fillId="2" borderId="3" xfId="0" applyFont="1" applyFill="1" applyBorder="1"/>
    <xf numFmtId="168" fontId="5" fillId="0" borderId="2" xfId="0" quotePrefix="1" applyNumberFormat="1" applyFont="1" applyFill="1" applyBorder="1" applyAlignment="1" applyProtection="1">
      <alignment horizontal="center"/>
      <protection locked="0"/>
    </xf>
    <xf numFmtId="0" fontId="45" fillId="5" borderId="20" xfId="0" applyFont="1" applyFill="1" applyBorder="1" applyAlignment="1" applyProtection="1">
      <alignment horizontal="center" vertical="center"/>
    </xf>
    <xf numFmtId="0" fontId="48" fillId="5" borderId="4" xfId="0" applyFont="1" applyFill="1" applyBorder="1"/>
    <xf numFmtId="0" fontId="48" fillId="5" borderId="2" xfId="0" applyFont="1" applyFill="1" applyBorder="1"/>
    <xf numFmtId="4" fontId="48" fillId="5" borderId="2" xfId="0" applyNumberFormat="1" applyFont="1" applyFill="1" applyBorder="1" applyAlignment="1" applyProtection="1">
      <alignment horizontal="center"/>
    </xf>
    <xf numFmtId="0" fontId="48" fillId="5" borderId="3" xfId="0" applyFont="1" applyFill="1" applyBorder="1"/>
    <xf numFmtId="0" fontId="54" fillId="8" borderId="20" xfId="0" applyFont="1" applyFill="1" applyBorder="1" applyAlignment="1">
      <alignment horizontal="center" vertical="center" wrapText="1"/>
    </xf>
    <xf numFmtId="0" fontId="55" fillId="8" borderId="4" xfId="0" applyFont="1" applyFill="1" applyBorder="1"/>
    <xf numFmtId="0" fontId="55" fillId="8" borderId="2" xfId="0" applyFont="1" applyFill="1" applyBorder="1"/>
    <xf numFmtId="2" fontId="55" fillId="8" borderId="2" xfId="0" applyNumberFormat="1" applyFont="1" applyFill="1" applyBorder="1" applyAlignment="1">
      <alignment horizontal="center"/>
    </xf>
    <xf numFmtId="0" fontId="55" fillId="8" borderId="3" xfId="0" applyFont="1" applyFill="1" applyBorder="1"/>
    <xf numFmtId="164" fontId="61" fillId="8" borderId="20" xfId="0" applyNumberFormat="1" applyFont="1" applyFill="1" applyBorder="1" applyAlignment="1">
      <alignment horizontal="center"/>
    </xf>
    <xf numFmtId="0" fontId="62" fillId="9" borderId="20" xfId="0" applyFont="1" applyFill="1" applyBorder="1" applyAlignment="1">
      <alignment horizontal="center" vertical="center" wrapText="1"/>
    </xf>
    <xf numFmtId="0" fontId="63" fillId="9" borderId="4" xfId="0" applyFont="1" applyFill="1" applyBorder="1"/>
    <xf numFmtId="0" fontId="63" fillId="9" borderId="2" xfId="0" applyFont="1" applyFill="1" applyBorder="1"/>
    <xf numFmtId="2" fontId="63" fillId="9" borderId="2" xfId="0" applyNumberFormat="1" applyFont="1" applyFill="1" applyBorder="1" applyAlignment="1">
      <alignment horizontal="center"/>
    </xf>
    <xf numFmtId="0" fontId="63" fillId="9" borderId="37" xfId="0" applyFont="1" applyFill="1" applyBorder="1"/>
    <xf numFmtId="164" fontId="64" fillId="9" borderId="20" xfId="0" applyNumberFormat="1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32" fillId="0" borderId="9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65" fillId="10" borderId="16" xfId="0" applyFont="1" applyFill="1" applyBorder="1" applyAlignment="1" applyProtection="1">
      <alignment horizontal="centerContinuous" vertical="center" wrapText="1"/>
    </xf>
    <xf numFmtId="0" fontId="65" fillId="10" borderId="15" xfId="0" applyFont="1" applyFill="1" applyBorder="1" applyAlignment="1">
      <alignment horizontal="centerContinuous" vertical="center"/>
    </xf>
    <xf numFmtId="0" fontId="66" fillId="10" borderId="24" xfId="0" applyFont="1" applyFill="1" applyBorder="1" applyAlignment="1">
      <alignment horizontal="center"/>
    </xf>
    <xf numFmtId="0" fontId="66" fillId="10" borderId="17" xfId="0" applyFont="1" applyFill="1" applyBorder="1"/>
    <xf numFmtId="0" fontId="66" fillId="10" borderId="26" xfId="0" applyFont="1" applyFill="1" applyBorder="1" applyAlignment="1">
      <alignment horizontal="center"/>
    </xf>
    <xf numFmtId="0" fontId="66" fillId="10" borderId="18" xfId="0" applyFont="1" applyFill="1" applyBorder="1"/>
    <xf numFmtId="168" fontId="66" fillId="10" borderId="26" xfId="0" quotePrefix="1" applyNumberFormat="1" applyFont="1" applyFill="1" applyBorder="1" applyAlignment="1" applyProtection="1">
      <alignment horizontal="center"/>
    </xf>
    <xf numFmtId="168" fontId="66" fillId="10" borderId="34" xfId="0" quotePrefix="1" applyNumberFormat="1" applyFont="1" applyFill="1" applyBorder="1" applyAlignment="1" applyProtection="1">
      <alignment horizontal="center"/>
    </xf>
    <xf numFmtId="164" fontId="67" fillId="10" borderId="20" xfId="0" applyNumberFormat="1" applyFont="1" applyFill="1" applyBorder="1" applyAlignment="1">
      <alignment horizontal="center"/>
    </xf>
    <xf numFmtId="0" fontId="54" fillId="11" borderId="16" xfId="0" applyFont="1" applyFill="1" applyBorder="1" applyAlignment="1" applyProtection="1">
      <alignment horizontal="centerContinuous" vertical="center" wrapText="1"/>
    </xf>
    <xf numFmtId="0" fontId="55" fillId="11" borderId="24" xfId="0" applyFont="1" applyFill="1" applyBorder="1"/>
    <xf numFmtId="0" fontId="55" fillId="11" borderId="32" xfId="0" applyFont="1" applyFill="1" applyBorder="1"/>
    <xf numFmtId="0" fontId="55" fillId="11" borderId="38" xfId="0" applyFont="1" applyFill="1" applyBorder="1"/>
    <xf numFmtId="0" fontId="55" fillId="11" borderId="39" xfId="0" applyFont="1" applyFill="1" applyBorder="1"/>
    <xf numFmtId="168" fontId="55" fillId="11" borderId="38" xfId="0" quotePrefix="1" applyNumberFormat="1" applyFont="1" applyFill="1" applyBorder="1" applyAlignment="1" applyProtection="1">
      <alignment horizontal="center"/>
    </xf>
    <xf numFmtId="168" fontId="55" fillId="11" borderId="39" xfId="0" quotePrefix="1" applyNumberFormat="1" applyFont="1" applyFill="1" applyBorder="1" applyAlignment="1" applyProtection="1">
      <alignment horizontal="center"/>
    </xf>
    <xf numFmtId="168" fontId="55" fillId="11" borderId="40" xfId="0" quotePrefix="1" applyNumberFormat="1" applyFont="1" applyFill="1" applyBorder="1" applyAlignment="1" applyProtection="1">
      <alignment horizontal="center"/>
    </xf>
    <xf numFmtId="168" fontId="55" fillId="11" borderId="41" xfId="0" quotePrefix="1" applyNumberFormat="1" applyFont="1" applyFill="1" applyBorder="1" applyAlignment="1" applyProtection="1">
      <alignment horizontal="center"/>
    </xf>
    <xf numFmtId="164" fontId="61" fillId="11" borderId="20" xfId="0" applyNumberFormat="1" applyFont="1" applyFill="1" applyBorder="1" applyAlignment="1">
      <alignment horizontal="center"/>
    </xf>
    <xf numFmtId="0" fontId="56" fillId="12" borderId="20" xfId="0" applyFont="1" applyFill="1" applyBorder="1" applyAlignment="1">
      <alignment horizontal="center" vertical="center" wrapText="1"/>
    </xf>
    <xf numFmtId="0" fontId="62" fillId="4" borderId="20" xfId="0" applyFont="1" applyFill="1" applyBorder="1" applyAlignment="1">
      <alignment horizontal="center" vertical="center" wrapText="1"/>
    </xf>
    <xf numFmtId="0" fontId="63" fillId="4" borderId="17" xfId="0" applyFont="1" applyFill="1" applyBorder="1"/>
    <xf numFmtId="0" fontId="63" fillId="4" borderId="18" xfId="0" applyFont="1" applyFill="1" applyBorder="1"/>
    <xf numFmtId="168" fontId="63" fillId="4" borderId="39" xfId="0" quotePrefix="1" applyNumberFormat="1" applyFont="1" applyFill="1" applyBorder="1" applyAlignment="1" applyProtection="1">
      <alignment horizontal="center"/>
    </xf>
    <xf numFmtId="168" fontId="63" fillId="4" borderId="30" xfId="0" quotePrefix="1" applyNumberFormat="1" applyFont="1" applyFill="1" applyBorder="1" applyAlignment="1" applyProtection="1">
      <alignment horizontal="center"/>
    </xf>
    <xf numFmtId="0" fontId="60" fillId="12" borderId="4" xfId="0" applyFont="1" applyFill="1" applyBorder="1"/>
    <xf numFmtId="0" fontId="60" fillId="12" borderId="2" xfId="0" applyFont="1" applyFill="1" applyBorder="1"/>
    <xf numFmtId="168" fontId="60" fillId="12" borderId="2" xfId="0" quotePrefix="1" applyNumberFormat="1" applyFont="1" applyFill="1" applyBorder="1" applyAlignment="1" applyProtection="1">
      <alignment horizontal="center"/>
    </xf>
    <xf numFmtId="168" fontId="60" fillId="12" borderId="3" xfId="0" quotePrefix="1" applyNumberFormat="1" applyFont="1" applyFill="1" applyBorder="1" applyAlignment="1" applyProtection="1">
      <alignment horizontal="center"/>
    </xf>
    <xf numFmtId="0" fontId="54" fillId="11" borderId="15" xfId="0" applyFont="1" applyFill="1" applyBorder="1" applyAlignment="1">
      <alignment horizontal="centerContinuous" vertical="center"/>
    </xf>
    <xf numFmtId="164" fontId="57" fillId="12" borderId="20" xfId="0" applyNumberFormat="1" applyFont="1" applyFill="1" applyBorder="1" applyAlignment="1">
      <alignment horizontal="center"/>
    </xf>
    <xf numFmtId="164" fontId="64" fillId="4" borderId="20" xfId="0" applyNumberFormat="1" applyFont="1" applyFill="1" applyBorder="1" applyAlignment="1">
      <alignment horizontal="center"/>
    </xf>
    <xf numFmtId="168" fontId="66" fillId="10" borderId="36" xfId="0" quotePrefix="1" applyNumberFormat="1" applyFont="1" applyFill="1" applyBorder="1" applyAlignment="1" applyProtection="1">
      <alignment horizontal="center"/>
    </xf>
    <xf numFmtId="168" fontId="66" fillId="10" borderId="28" xfId="0" quotePrefix="1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50" fillId="0" borderId="7" xfId="0" applyFont="1" applyBorder="1"/>
    <xf numFmtId="164" fontId="18" fillId="0" borderId="4" xfId="0" applyNumberFormat="1" applyFont="1" applyFill="1" applyBorder="1"/>
    <xf numFmtId="164" fontId="9" fillId="0" borderId="4" xfId="0" applyNumberFormat="1" applyFont="1" applyBorder="1" applyAlignment="1"/>
    <xf numFmtId="0" fontId="69" fillId="0" borderId="0" xfId="0" applyFont="1" applyAlignment="1">
      <alignment horizontal="right" vertical="top"/>
    </xf>
    <xf numFmtId="0" fontId="69" fillId="0" borderId="0" xfId="0" applyFont="1" applyFill="1" applyAlignment="1">
      <alignment horizontal="right" vertical="top"/>
    </xf>
    <xf numFmtId="169" fontId="30" fillId="0" borderId="20" xfId="0" applyNumberFormat="1" applyFont="1" applyFill="1" applyBorder="1" applyAlignment="1">
      <alignment horizontal="center"/>
    </xf>
    <xf numFmtId="169" fontId="30" fillId="0" borderId="16" xfId="0" applyNumberFormat="1" applyFont="1" applyBorder="1" applyAlignment="1" applyProtection="1">
      <alignment horizontal="centerContinuous"/>
      <protection locked="0"/>
    </xf>
    <xf numFmtId="0" fontId="14" fillId="0" borderId="9" xfId="0" applyFont="1" applyBorder="1" applyAlignment="1" applyProtection="1">
      <alignment horizontal="centerContinuous"/>
      <protection locked="0"/>
    </xf>
    <xf numFmtId="0" fontId="5" fillId="0" borderId="2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locked="0"/>
    </xf>
    <xf numFmtId="168" fontId="5" fillId="0" borderId="3" xfId="0" applyNumberFormat="1" applyFont="1" applyBorder="1" applyAlignment="1" applyProtection="1">
      <alignment horizontal="center"/>
      <protection locked="0"/>
    </xf>
    <xf numFmtId="22" fontId="5" fillId="0" borderId="3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Continuous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 horizontal="left"/>
    </xf>
    <xf numFmtId="0" fontId="30" fillId="2" borderId="42" xfId="0" applyFont="1" applyFill="1" applyBorder="1"/>
    <xf numFmtId="0" fontId="30" fillId="0" borderId="42" xfId="0" applyFont="1" applyBorder="1"/>
    <xf numFmtId="0" fontId="30" fillId="0" borderId="42" xfId="0" quotePrefix="1" applyFont="1" applyBorder="1"/>
    <xf numFmtId="0" fontId="30" fillId="13" borderId="0" xfId="0" applyFont="1" applyFill="1"/>
    <xf numFmtId="0" fontId="30" fillId="13" borderId="0" xfId="0" applyNumberFormat="1" applyFont="1" applyFill="1"/>
    <xf numFmtId="0" fontId="30" fillId="13" borderId="0" xfId="1" applyFont="1" applyFill="1" applyAlignment="1"/>
    <xf numFmtId="0" fontId="47" fillId="0" borderId="42" xfId="0" applyFont="1" applyBorder="1"/>
    <xf numFmtId="0" fontId="47" fillId="0" borderId="42" xfId="0" applyFont="1" applyFill="1" applyBorder="1"/>
    <xf numFmtId="0" fontId="47" fillId="0" borderId="33" xfId="0" applyFont="1" applyBorder="1"/>
    <xf numFmtId="0" fontId="71" fillId="0" borderId="42" xfId="0" applyFont="1" applyBorder="1"/>
    <xf numFmtId="0" fontId="21" fillId="0" borderId="0" xfId="0" applyFont="1" applyBorder="1" applyAlignment="1" applyProtection="1">
      <alignment horizontal="left"/>
    </xf>
    <xf numFmtId="0" fontId="72" fillId="0" borderId="42" xfId="0" applyFont="1" applyFill="1" applyBorder="1"/>
    <xf numFmtId="0" fontId="72" fillId="0" borderId="33" xfId="0" applyFont="1" applyFill="1" applyBorder="1"/>
    <xf numFmtId="0" fontId="30" fillId="0" borderId="0" xfId="0" applyFont="1" applyFill="1"/>
    <xf numFmtId="0" fontId="73" fillId="2" borderId="42" xfId="0" applyFont="1" applyFill="1" applyBorder="1" applyAlignment="1">
      <alignment horizontal="center"/>
    </xf>
    <xf numFmtId="0" fontId="73" fillId="0" borderId="42" xfId="0" applyFont="1" applyFill="1" applyBorder="1" applyAlignment="1">
      <alignment horizontal="center"/>
    </xf>
    <xf numFmtId="0" fontId="74" fillId="0" borderId="0" xfId="0" applyFont="1" applyFill="1" applyBorder="1"/>
    <xf numFmtId="0" fontId="74" fillId="0" borderId="0" xfId="0" applyFont="1" applyBorder="1"/>
    <xf numFmtId="0" fontId="76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center"/>
    </xf>
    <xf numFmtId="0" fontId="5" fillId="0" borderId="13" xfId="0" quotePrefix="1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Continuous"/>
    </xf>
    <xf numFmtId="0" fontId="17" fillId="0" borderId="0" xfId="0" applyFont="1"/>
    <xf numFmtId="0" fontId="14" fillId="0" borderId="1" xfId="0" applyFont="1" applyBorder="1" applyAlignment="1">
      <alignment horizontal="centerContinuous"/>
    </xf>
    <xf numFmtId="0" fontId="1" fillId="0" borderId="16" xfId="0" applyFont="1" applyBorder="1" applyAlignment="1" applyProtection="1">
      <alignment horizontal="left"/>
    </xf>
    <xf numFmtId="170" fontId="1" fillId="0" borderId="44" xfId="0" applyNumberFormat="1" applyFont="1" applyBorder="1" applyAlignment="1" applyProtection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/>
    <xf numFmtId="0" fontId="1" fillId="0" borderId="16" xfId="0" applyFont="1" applyBorder="1"/>
    <xf numFmtId="170" fontId="77" fillId="0" borderId="4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0" fontId="5" fillId="0" borderId="0" xfId="0" applyNumberFormat="1" applyFont="1" applyBorder="1"/>
    <xf numFmtId="0" fontId="5" fillId="0" borderId="0" xfId="0" quotePrefix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0" fontId="45" fillId="2" borderId="20" xfId="0" applyFont="1" applyFill="1" applyBorder="1" applyAlignment="1" applyProtection="1">
      <alignment horizontal="center" vertical="center"/>
    </xf>
    <xf numFmtId="0" fontId="56" fillId="11" borderId="20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 applyProtection="1">
      <alignment horizontal="centerContinuous" vertical="center" wrapText="1"/>
    </xf>
    <xf numFmtId="0" fontId="77" fillId="4" borderId="15" xfId="0" applyFont="1" applyFill="1" applyBorder="1" applyAlignment="1">
      <alignment horizontal="centerContinuous"/>
    </xf>
    <xf numFmtId="165" fontId="5" fillId="0" borderId="4" xfId="0" applyNumberFormat="1" applyFont="1" applyFill="1" applyBorder="1" applyAlignment="1" applyProtection="1">
      <alignment horizontal="center"/>
      <protection locked="0"/>
    </xf>
    <xf numFmtId="0" fontId="51" fillId="2" borderId="4" xfId="0" applyFont="1" applyFill="1" applyBorder="1" applyAlignment="1">
      <alignment horizontal="center"/>
    </xf>
    <xf numFmtId="22" fontId="5" fillId="0" borderId="4" xfId="0" applyNumberFormat="1" applyFont="1" applyFill="1" applyBorder="1" applyAlignment="1" applyProtection="1">
      <alignment horizontal="center"/>
      <protection locked="0"/>
    </xf>
    <xf numFmtId="0" fontId="48" fillId="2" borderId="4" xfId="0" applyFont="1" applyFill="1" applyBorder="1" applyAlignment="1">
      <alignment horizontal="center"/>
    </xf>
    <xf numFmtId="0" fontId="57" fillId="11" borderId="4" xfId="0" applyFont="1" applyFill="1" applyBorder="1" applyAlignment="1">
      <alignment horizontal="center"/>
    </xf>
    <xf numFmtId="168" fontId="55" fillId="4" borderId="24" xfId="0" quotePrefix="1" applyNumberFormat="1" applyFont="1" applyFill="1" applyBorder="1" applyAlignment="1" applyProtection="1">
      <alignment horizontal="center"/>
    </xf>
    <xf numFmtId="168" fontId="55" fillId="4" borderId="32" xfId="0" quotePrefix="1" applyNumberFormat="1" applyFont="1" applyFill="1" applyBorder="1" applyAlignment="1" applyProtection="1">
      <alignment horizontal="center"/>
    </xf>
    <xf numFmtId="168" fontId="55" fillId="8" borderId="4" xfId="0" quotePrefix="1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left"/>
    </xf>
    <xf numFmtId="164" fontId="9" fillId="0" borderId="4" xfId="0" applyNumberFormat="1" applyFont="1" applyFill="1" applyBorder="1" applyAlignment="1"/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65" fontId="5" fillId="0" borderId="13" xfId="0" applyNumberFormat="1" applyFont="1" applyFill="1" applyBorder="1" applyAlignment="1" applyProtection="1">
      <alignment horizontal="center"/>
      <protection locked="0"/>
    </xf>
    <xf numFmtId="0" fontId="51" fillId="2" borderId="13" xfId="0" applyFont="1" applyFill="1" applyBorder="1" applyAlignment="1">
      <alignment horizontal="center"/>
    </xf>
    <xf numFmtId="22" fontId="5" fillId="0" borderId="13" xfId="0" applyNumberFormat="1" applyFont="1" applyFill="1" applyBorder="1" applyAlignment="1" applyProtection="1">
      <alignment horizontal="center"/>
      <protection locked="0"/>
    </xf>
    <xf numFmtId="0" fontId="48" fillId="2" borderId="13" xfId="0" applyFont="1" applyFill="1" applyBorder="1" applyAlignment="1">
      <alignment horizontal="center"/>
    </xf>
    <xf numFmtId="0" fontId="57" fillId="11" borderId="13" xfId="0" applyFont="1" applyFill="1" applyBorder="1" applyAlignment="1">
      <alignment horizontal="center"/>
    </xf>
    <xf numFmtId="168" fontId="55" fillId="4" borderId="38" xfId="0" quotePrefix="1" applyNumberFormat="1" applyFont="1" applyFill="1" applyBorder="1" applyAlignment="1" applyProtection="1">
      <alignment horizontal="center"/>
    </xf>
    <xf numFmtId="168" fontId="55" fillId="4" borderId="39" xfId="0" quotePrefix="1" applyNumberFormat="1" applyFont="1" applyFill="1" applyBorder="1" applyAlignment="1" applyProtection="1">
      <alignment horizontal="center"/>
    </xf>
    <xf numFmtId="168" fontId="55" fillId="8" borderId="13" xfId="0" quotePrefix="1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Continuous"/>
    </xf>
    <xf numFmtId="0" fontId="11" fillId="0" borderId="13" xfId="0" applyFont="1" applyFill="1" applyBorder="1" applyAlignment="1" applyProtection="1">
      <alignment horizontal="center"/>
      <protection locked="0"/>
    </xf>
    <xf numFmtId="171" fontId="8" fillId="0" borderId="13" xfId="0" applyNumberFormat="1" applyFont="1" applyFill="1" applyBorder="1" applyAlignment="1" applyProtection="1">
      <alignment horizontal="center"/>
      <protection locked="0"/>
    </xf>
    <xf numFmtId="170" fontId="51" fillId="2" borderId="13" xfId="0" applyNumberFormat="1" applyFont="1" applyFill="1" applyBorder="1" applyAlignment="1" applyProtection="1">
      <alignment horizontal="center"/>
    </xf>
    <xf numFmtId="2" fontId="5" fillId="0" borderId="13" xfId="0" applyNumberFormat="1" applyFont="1" applyFill="1" applyBorder="1" applyAlignment="1" applyProtection="1">
      <alignment horizontal="center"/>
    </xf>
    <xf numFmtId="165" fontId="5" fillId="0" borderId="13" xfId="0" quotePrefix="1" applyNumberFormat="1" applyFont="1" applyFill="1" applyBorder="1" applyAlignment="1" applyProtection="1">
      <alignment horizontal="center"/>
    </xf>
    <xf numFmtId="168" fontId="5" fillId="0" borderId="13" xfId="0" applyNumberFormat="1" applyFont="1" applyFill="1" applyBorder="1" applyAlignment="1" applyProtection="1">
      <alignment horizontal="center"/>
      <protection locked="0"/>
    </xf>
    <xf numFmtId="168" fontId="5" fillId="0" borderId="13" xfId="0" quotePrefix="1" applyNumberFormat="1" applyFont="1" applyFill="1" applyBorder="1" applyAlignment="1" applyProtection="1">
      <alignment horizontal="center"/>
      <protection locked="0"/>
    </xf>
    <xf numFmtId="165" fontId="48" fillId="2" borderId="13" xfId="0" applyNumberFormat="1" applyFont="1" applyFill="1" applyBorder="1" applyAlignment="1" applyProtection="1">
      <alignment horizontal="center"/>
    </xf>
    <xf numFmtId="2" fontId="57" fillId="11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right"/>
    </xf>
    <xf numFmtId="0" fontId="5" fillId="0" borderId="23" xfId="0" applyFont="1" applyFill="1" applyBorder="1" applyProtection="1">
      <protection locked="0"/>
    </xf>
    <xf numFmtId="0" fontId="51" fillId="2" borderId="23" xfId="0" applyFont="1" applyFill="1" applyBorder="1"/>
    <xf numFmtId="0" fontId="5" fillId="0" borderId="23" xfId="0" applyFont="1" applyFill="1" applyBorder="1"/>
    <xf numFmtId="0" fontId="48" fillId="2" borderId="23" xfId="0" applyFont="1" applyFill="1" applyBorder="1"/>
    <xf numFmtId="0" fontId="57" fillId="11" borderId="23" xfId="0" applyFont="1" applyFill="1" applyBorder="1"/>
    <xf numFmtId="168" fontId="55" fillId="4" borderId="40" xfId="0" quotePrefix="1" applyNumberFormat="1" applyFont="1" applyFill="1" applyBorder="1" applyAlignment="1" applyProtection="1">
      <alignment horizontal="center"/>
    </xf>
    <xf numFmtId="168" fontId="55" fillId="4" borderId="41" xfId="0" quotePrefix="1" applyNumberFormat="1" applyFont="1" applyFill="1" applyBorder="1" applyAlignment="1" applyProtection="1">
      <alignment horizontal="center"/>
    </xf>
    <xf numFmtId="168" fontId="55" fillId="8" borderId="23" xfId="0" quotePrefix="1" applyNumberFormat="1" applyFont="1" applyFill="1" applyBorder="1" applyAlignment="1" applyProtection="1">
      <alignment horizontal="center"/>
    </xf>
    <xf numFmtId="0" fontId="9" fillId="0" borderId="45" xfId="0" applyFont="1" applyFill="1" applyBorder="1" applyAlignment="1">
      <alignment horizontal="right"/>
    </xf>
    <xf numFmtId="2" fontId="57" fillId="11" borderId="20" xfId="0" applyNumberFormat="1" applyFont="1" applyFill="1" applyBorder="1" applyAlignment="1">
      <alignment horizontal="center"/>
    </xf>
    <xf numFmtId="2" fontId="55" fillId="4" borderId="20" xfId="0" applyNumberFormat="1" applyFont="1" applyFill="1" applyBorder="1" applyAlignment="1">
      <alignment horizontal="center"/>
    </xf>
    <xf numFmtId="2" fontId="55" fillId="8" borderId="2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0" fillId="0" borderId="0" xfId="0" applyFont="1" applyBorder="1" applyProtection="1">
      <protection locked="0"/>
    </xf>
    <xf numFmtId="169" fontId="1" fillId="14" borderId="16" xfId="0" applyNumberFormat="1" applyFont="1" applyFill="1" applyBorder="1" applyAlignment="1" applyProtection="1">
      <alignment horizontal="centerContinuous"/>
      <protection locked="0"/>
    </xf>
    <xf numFmtId="0" fontId="3" fillId="14" borderId="15" xfId="0" applyFont="1" applyFill="1" applyBorder="1" applyAlignment="1" applyProtection="1">
      <alignment horizontal="centerContinuous"/>
    </xf>
    <xf numFmtId="169" fontId="1" fillId="0" borderId="16" xfId="0" applyNumberFormat="1" applyFont="1" applyBorder="1" applyAlignment="1" applyProtection="1">
      <alignment horizontal="centerContinuous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Continuous"/>
      <protection locked="0"/>
    </xf>
    <xf numFmtId="167" fontId="5" fillId="0" borderId="0" xfId="0" applyNumberFormat="1" applyFont="1" applyBorder="1" applyAlignment="1">
      <alignment horizontal="centerContinuous"/>
    </xf>
    <xf numFmtId="7" fontId="9" fillId="0" borderId="4" xfId="0" applyNumberFormat="1" applyFont="1" applyBorder="1" applyAlignment="1"/>
    <xf numFmtId="0" fontId="5" fillId="0" borderId="3" xfId="0" applyFont="1" applyBorder="1" applyProtection="1">
      <protection locked="0"/>
    </xf>
    <xf numFmtId="4" fontId="5" fillId="0" borderId="3" xfId="0" applyNumberFormat="1" applyFont="1" applyBorder="1" applyAlignment="1" applyProtection="1">
      <alignment horizontal="center"/>
      <protection locked="0"/>
    </xf>
    <xf numFmtId="7" fontId="9" fillId="0" borderId="19" xfId="0" applyNumberFormat="1" applyFont="1" applyBorder="1" applyAlignment="1">
      <alignment horizontal="right"/>
    </xf>
    <xf numFmtId="7" fontId="12" fillId="0" borderId="20" xfId="0" applyNumberFormat="1" applyFont="1" applyBorder="1" applyAlignment="1">
      <alignment horizontal="right"/>
    </xf>
    <xf numFmtId="7" fontId="4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/>
    <xf numFmtId="0" fontId="23" fillId="0" borderId="0" xfId="2" applyFont="1"/>
    <xf numFmtId="0" fontId="24" fillId="0" borderId="0" xfId="2" applyFont="1" applyAlignment="1" applyProtection="1">
      <alignment horizontal="centerContinuous"/>
      <protection locked="0"/>
    </xf>
    <xf numFmtId="0" fontId="24" fillId="0" borderId="0" xfId="2" applyFont="1" applyAlignment="1">
      <alignment horizontal="centerContinuous"/>
    </xf>
    <xf numFmtId="0" fontId="5" fillId="0" borderId="0" xfId="2" applyFont="1"/>
    <xf numFmtId="0" fontId="21" fillId="0" borderId="0" xfId="2" applyFont="1" applyBorder="1" applyAlignment="1" applyProtection="1">
      <alignment horizontal="centerContinuous"/>
    </xf>
    <xf numFmtId="0" fontId="22" fillId="0" borderId="0" xfId="2" applyFont="1"/>
    <xf numFmtId="0" fontId="5" fillId="0" borderId="0" xfId="2" applyFont="1" applyBorder="1"/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20" fillId="0" borderId="0" xfId="2" applyFont="1" applyBorder="1"/>
    <xf numFmtId="0" fontId="20" fillId="0" borderId="9" xfId="2" applyFont="1" applyBorder="1"/>
    <xf numFmtId="0" fontId="10" fillId="0" borderId="0" xfId="2" applyFont="1" applyBorder="1"/>
    <xf numFmtId="0" fontId="20" fillId="0" borderId="0" xfId="2" applyFont="1"/>
    <xf numFmtId="0" fontId="20" fillId="0" borderId="1" xfId="2" applyFont="1" applyBorder="1"/>
    <xf numFmtId="0" fontId="1" fillId="0" borderId="0" xfId="2" applyBorder="1"/>
    <xf numFmtId="0" fontId="9" fillId="0" borderId="9" xfId="2" applyFont="1" applyBorder="1"/>
    <xf numFmtId="0" fontId="9" fillId="0" borderId="0" xfId="2" applyFont="1" applyBorder="1"/>
    <xf numFmtId="0" fontId="78" fillId="0" borderId="0" xfId="2" applyFont="1" applyBorder="1"/>
    <xf numFmtId="0" fontId="9" fillId="0" borderId="0" xfId="2" applyFont="1"/>
    <xf numFmtId="0" fontId="1" fillId="0" borderId="1" xfId="2" applyBorder="1"/>
    <xf numFmtId="0" fontId="1" fillId="0" borderId="0" xfId="2"/>
    <xf numFmtId="0" fontId="20" fillId="0" borderId="9" xfId="2" applyFont="1" applyBorder="1" applyAlignment="1">
      <alignment horizontal="centerContinuous"/>
    </xf>
    <xf numFmtId="0" fontId="10" fillId="0" borderId="0" xfId="2" applyFont="1" applyFill="1" applyBorder="1" applyAlignment="1" applyProtection="1">
      <alignment horizontal="left"/>
      <protection locked="0"/>
    </xf>
    <xf numFmtId="0" fontId="79" fillId="0" borderId="0" xfId="2" applyFont="1" applyFill="1" applyBorder="1" applyAlignment="1">
      <alignment horizontal="centerContinuous"/>
    </xf>
    <xf numFmtId="0" fontId="79" fillId="0" borderId="0" xfId="2" applyFont="1" applyFill="1" applyAlignment="1">
      <alignment horizontal="centerContinuous"/>
    </xf>
    <xf numFmtId="0" fontId="79" fillId="0" borderId="0" xfId="2" applyFont="1" applyFill="1" applyBorder="1"/>
    <xf numFmtId="0" fontId="20" fillId="0" borderId="0" xfId="2" applyFont="1" applyFill="1" applyBorder="1"/>
    <xf numFmtId="0" fontId="5" fillId="0" borderId="9" xfId="2" applyFont="1" applyBorder="1"/>
    <xf numFmtId="0" fontId="3" fillId="0" borderId="0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13" fillId="0" borderId="0" xfId="2" applyFont="1" applyFill="1" applyBorder="1"/>
    <xf numFmtId="0" fontId="5" fillId="0" borderId="1" xfId="2" applyFont="1" applyBorder="1"/>
    <xf numFmtId="0" fontId="15" fillId="0" borderId="0" xfId="2" applyFont="1" applyBorder="1"/>
    <xf numFmtId="0" fontId="15" fillId="0" borderId="0" xfId="2" applyFont="1"/>
    <xf numFmtId="0" fontId="9" fillId="0" borderId="0" xfId="2" applyFont="1" applyFill="1" applyBorder="1"/>
    <xf numFmtId="0" fontId="80" fillId="0" borderId="0" xfId="2" applyFont="1" applyFill="1" applyBorder="1"/>
    <xf numFmtId="0" fontId="2" fillId="0" borderId="0" xfId="2" applyFont="1" applyFill="1" applyBorder="1"/>
    <xf numFmtId="0" fontId="81" fillId="0" borderId="0" xfId="2" applyFont="1" applyFill="1" applyBorder="1"/>
    <xf numFmtId="168" fontId="9" fillId="0" borderId="0" xfId="2" applyNumberFormat="1" applyFont="1" applyBorder="1" applyAlignment="1" applyProtection="1">
      <alignment horizontal="left"/>
    </xf>
    <xf numFmtId="0" fontId="78" fillId="0" borderId="0" xfId="2" applyFont="1" applyFill="1" applyBorder="1"/>
    <xf numFmtId="5" fontId="9" fillId="0" borderId="0" xfId="2" applyNumberFormat="1" applyFont="1" applyFill="1" applyBorder="1"/>
    <xf numFmtId="0" fontId="4" fillId="0" borderId="0" xfId="2" applyFont="1" applyFill="1" applyBorder="1"/>
    <xf numFmtId="172" fontId="9" fillId="0" borderId="0" xfId="2" applyNumberFormat="1" applyFont="1" applyBorder="1" applyAlignment="1">
      <alignment horizontal="center"/>
    </xf>
    <xf numFmtId="167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9" fillId="0" borderId="0" xfId="2" applyFont="1" applyBorder="1" applyAlignment="1">
      <alignment horizontal="left"/>
    </xf>
    <xf numFmtId="0" fontId="9" fillId="0" borderId="46" xfId="2" applyFont="1" applyBorder="1" applyAlignment="1">
      <alignment horizontal="center"/>
    </xf>
    <xf numFmtId="0" fontId="18" fillId="0" borderId="0" xfId="2" applyFont="1" applyFill="1" applyBorder="1" applyProtection="1">
      <protection locked="0"/>
    </xf>
    <xf numFmtId="0" fontId="9" fillId="0" borderId="47" xfId="2" applyFont="1" applyBorder="1" applyAlignment="1" applyProtection="1">
      <alignment horizontal="left"/>
    </xf>
    <xf numFmtId="0" fontId="9" fillId="0" borderId="48" xfId="2" applyFont="1" applyBorder="1" applyAlignment="1" applyProtection="1">
      <alignment horizontal="right"/>
    </xf>
    <xf numFmtId="169" fontId="9" fillId="0" borderId="49" xfId="2" applyNumberFormat="1" applyFont="1" applyBorder="1" applyAlignment="1" applyProtection="1">
      <alignment horizontal="center"/>
      <protection locked="0"/>
    </xf>
    <xf numFmtId="0" fontId="1" fillId="0" borderId="46" xfId="2" applyFont="1" applyBorder="1" applyAlignment="1">
      <alignment horizontal="center"/>
    </xf>
    <xf numFmtId="10" fontId="18" fillId="0" borderId="0" xfId="2" applyNumberFormat="1" applyFont="1" applyFill="1" applyBorder="1"/>
    <xf numFmtId="0" fontId="9" fillId="0" borderId="50" xfId="2" applyFont="1" applyBorder="1" applyAlignment="1" applyProtection="1">
      <alignment horizontal="left"/>
    </xf>
    <xf numFmtId="0" fontId="9" fillId="0" borderId="42" xfId="2" applyFont="1" applyBorder="1" applyAlignment="1" applyProtection="1">
      <alignment horizontal="right"/>
    </xf>
    <xf numFmtId="169" fontId="9" fillId="0" borderId="51" xfId="2" applyNumberFormat="1" applyFont="1" applyBorder="1" applyAlignment="1" applyProtection="1">
      <alignment horizontal="center"/>
      <protection locked="0"/>
    </xf>
    <xf numFmtId="0" fontId="1" fillId="0" borderId="52" xfId="2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horizontal="right"/>
    </xf>
    <xf numFmtId="0" fontId="9" fillId="0" borderId="53" xfId="2" applyFont="1" applyBorder="1" applyAlignment="1" applyProtection="1">
      <alignment horizontal="left"/>
    </xf>
    <xf numFmtId="0" fontId="9" fillId="0" borderId="54" xfId="2" applyFont="1" applyBorder="1" applyAlignment="1" applyProtection="1">
      <alignment horizontal="right"/>
    </xf>
    <xf numFmtId="169" fontId="9" fillId="0" borderId="55" xfId="2" applyNumberFormat="1" applyFont="1" applyBorder="1" applyAlignment="1" applyProtection="1">
      <alignment horizontal="center"/>
      <protection locked="0"/>
    </xf>
    <xf numFmtId="0" fontId="1" fillId="0" borderId="56" xfId="2" applyFont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82" fillId="0" borderId="0" xfId="2" applyFont="1" applyFill="1" applyBorder="1"/>
    <xf numFmtId="0" fontId="9" fillId="0" borderId="0" xfId="2" applyFont="1" applyBorder="1" applyAlignment="1" applyProtection="1">
      <alignment horizontal="center"/>
    </xf>
    <xf numFmtId="167" fontId="9" fillId="0" borderId="0" xfId="2" applyNumberFormat="1" applyFont="1" applyBorder="1"/>
    <xf numFmtId="0" fontId="32" fillId="0" borderId="20" xfId="2" applyFont="1" applyBorder="1" applyAlignment="1">
      <alignment horizontal="center" vertical="center"/>
    </xf>
    <xf numFmtId="0" fontId="32" fillId="0" borderId="20" xfId="2" applyFont="1" applyBorder="1" applyAlignment="1" applyProtection="1">
      <alignment horizontal="center" vertical="center"/>
    </xf>
    <xf numFmtId="0" fontId="32" fillId="0" borderId="20" xfId="2" applyFont="1" applyBorder="1" applyAlignment="1" applyProtection="1">
      <alignment horizontal="center" vertical="center" wrapText="1"/>
    </xf>
    <xf numFmtId="0" fontId="44" fillId="2" borderId="20" xfId="2" applyFont="1" applyFill="1" applyBorder="1" applyAlignment="1" applyProtection="1">
      <alignment horizontal="center" vertical="center"/>
    </xf>
    <xf numFmtId="0" fontId="52" fillId="3" borderId="20" xfId="2" applyFont="1" applyFill="1" applyBorder="1" applyAlignment="1">
      <alignment horizontal="center" vertical="center" wrapText="1"/>
    </xf>
    <xf numFmtId="0" fontId="54" fillId="4" borderId="20" xfId="2" applyFont="1" applyFill="1" applyBorder="1" applyAlignment="1">
      <alignment horizontal="center" vertical="center" wrapText="1"/>
    </xf>
    <xf numFmtId="0" fontId="46" fillId="2" borderId="16" xfId="2" applyFont="1" applyFill="1" applyBorder="1" applyAlignment="1" applyProtection="1">
      <alignment horizontal="centerContinuous" vertical="center" wrapText="1"/>
    </xf>
    <xf numFmtId="0" fontId="47" fillId="2" borderId="22" xfId="2" applyFont="1" applyFill="1" applyBorder="1" applyAlignment="1">
      <alignment horizontal="centerContinuous"/>
    </xf>
    <xf numFmtId="0" fontId="46" fillId="2" borderId="15" xfId="2" applyFont="1" applyFill="1" applyBorder="1" applyAlignment="1">
      <alignment horizontal="centerContinuous" vertical="center"/>
    </xf>
    <xf numFmtId="0" fontId="56" fillId="5" borderId="16" xfId="2" applyFont="1" applyFill="1" applyBorder="1" applyAlignment="1" applyProtection="1">
      <alignment horizontal="centerContinuous" vertical="center" wrapText="1"/>
    </xf>
    <xf numFmtId="0" fontId="56" fillId="5" borderId="22" xfId="2" applyFont="1" applyFill="1" applyBorder="1" applyAlignment="1">
      <alignment horizontal="centerContinuous" vertical="center"/>
    </xf>
    <xf numFmtId="0" fontId="56" fillId="5" borderId="15" xfId="2" applyFont="1" applyFill="1" applyBorder="1" applyAlignment="1">
      <alignment horizontal="centerContinuous" vertical="center"/>
    </xf>
    <xf numFmtId="0" fontId="58" fillId="6" borderId="20" xfId="2" applyFont="1" applyFill="1" applyBorder="1" applyAlignment="1">
      <alignment horizontal="center" vertical="center" wrapText="1"/>
    </xf>
    <xf numFmtId="0" fontId="56" fillId="7" borderId="20" xfId="2" applyFont="1" applyFill="1" applyBorder="1" applyAlignment="1">
      <alignment horizontal="center" vertical="center" wrapText="1"/>
    </xf>
    <xf numFmtId="0" fontId="32" fillId="0" borderId="20" xfId="2" applyFont="1" applyBorder="1" applyAlignment="1">
      <alignment horizontal="center" vertical="center" wrapText="1"/>
    </xf>
    <xf numFmtId="16" fontId="32" fillId="0" borderId="20" xfId="2" quotePrefix="1" applyNumberFormat="1" applyFont="1" applyBorder="1" applyAlignment="1">
      <alignment horizontal="center" vertical="center" wrapText="1"/>
    </xf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/>
    <xf numFmtId="0" fontId="51" fillId="2" borderId="4" xfId="2" applyFont="1" applyFill="1" applyBorder="1"/>
    <xf numFmtId="0" fontId="5" fillId="0" borderId="4" xfId="2" applyFont="1" applyBorder="1" applyProtection="1">
      <protection locked="0"/>
    </xf>
    <xf numFmtId="0" fontId="53" fillId="3" borderId="20" xfId="2" applyFont="1" applyFill="1" applyBorder="1"/>
    <xf numFmtId="0" fontId="55" fillId="4" borderId="4" xfId="2" applyFont="1" applyFill="1" applyBorder="1"/>
    <xf numFmtId="0" fontId="49" fillId="2" borderId="24" xfId="2" applyFont="1" applyFill="1" applyBorder="1" applyAlignment="1">
      <alignment horizontal="center"/>
    </xf>
    <xf numFmtId="0" fontId="49" fillId="2" borderId="25" xfId="2" applyFont="1" applyFill="1" applyBorder="1"/>
    <xf numFmtId="0" fontId="49" fillId="2" borderId="17" xfId="2" applyFont="1" applyFill="1" applyBorder="1"/>
    <xf numFmtId="0" fontId="57" fillId="5" borderId="24" xfId="2" applyFont="1" applyFill="1" applyBorder="1"/>
    <xf numFmtId="0" fontId="57" fillId="5" borderId="31" xfId="2" applyFont="1" applyFill="1" applyBorder="1"/>
    <xf numFmtId="0" fontId="57" fillId="5" borderId="32" xfId="2" applyFont="1" applyFill="1" applyBorder="1"/>
    <xf numFmtId="0" fontId="59" fillId="6" borderId="4" xfId="2" applyFont="1" applyFill="1" applyBorder="1"/>
    <xf numFmtId="0" fontId="57" fillId="7" borderId="4" xfId="2" applyFont="1" applyFill="1" applyBorder="1"/>
    <xf numFmtId="0" fontId="5" fillId="0" borderId="17" xfId="2" applyFont="1" applyBorder="1"/>
    <xf numFmtId="7" fontId="9" fillId="0" borderId="4" xfId="2" applyNumberFormat="1" applyFont="1" applyBorder="1" applyAlignment="1"/>
    <xf numFmtId="0" fontId="5" fillId="0" borderId="2" xfId="2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/>
      <protection locked="0"/>
    </xf>
    <xf numFmtId="2" fontId="5" fillId="0" borderId="13" xfId="2" applyNumberFormat="1" applyFont="1" applyBorder="1" applyAlignment="1" applyProtection="1">
      <alignment horizontal="center"/>
      <protection locked="0"/>
    </xf>
    <xf numFmtId="168" fontId="51" fillId="2" borderId="2" xfId="2" applyNumberFormat="1" applyFont="1" applyFill="1" applyBorder="1" applyAlignment="1" applyProtection="1">
      <alignment horizontal="center"/>
    </xf>
    <xf numFmtId="2" fontId="5" fillId="0" borderId="2" xfId="2" applyNumberFormat="1" applyFont="1" applyBorder="1" applyAlignment="1" applyProtection="1">
      <alignment horizontal="center"/>
    </xf>
    <xf numFmtId="1" fontId="5" fillId="0" borderId="2" xfId="2" applyNumberFormat="1" applyFont="1" applyBorder="1" applyAlignment="1" applyProtection="1">
      <alignment horizontal="center"/>
    </xf>
    <xf numFmtId="168" fontId="5" fillId="0" borderId="2" xfId="2" applyNumberFormat="1" applyFont="1" applyBorder="1" applyAlignment="1" applyProtection="1">
      <alignment horizontal="center"/>
      <protection locked="0"/>
    </xf>
    <xf numFmtId="168" fontId="5" fillId="0" borderId="2" xfId="2" quotePrefix="1" applyNumberFormat="1" applyFont="1" applyBorder="1" applyAlignment="1" applyProtection="1">
      <alignment horizontal="center"/>
      <protection locked="0"/>
    </xf>
    <xf numFmtId="2" fontId="53" fillId="3" borderId="20" xfId="2" applyNumberFormat="1" applyFont="1" applyFill="1" applyBorder="1" applyAlignment="1">
      <alignment horizontal="center"/>
    </xf>
    <xf numFmtId="2" fontId="55" fillId="4" borderId="13" xfId="2" applyNumberFormat="1" applyFont="1" applyFill="1" applyBorder="1" applyAlignment="1">
      <alignment horizontal="center"/>
    </xf>
    <xf numFmtId="168" fontId="49" fillId="2" borderId="26" xfId="2" quotePrefix="1" applyNumberFormat="1" applyFont="1" applyFill="1" applyBorder="1" applyAlignment="1" applyProtection="1">
      <alignment horizontal="center"/>
    </xf>
    <xf numFmtId="168" fontId="49" fillId="2" borderId="27" xfId="2" quotePrefix="1" applyNumberFormat="1" applyFont="1" applyFill="1" applyBorder="1" applyAlignment="1" applyProtection="1">
      <alignment horizontal="center"/>
    </xf>
    <xf numFmtId="4" fontId="49" fillId="2" borderId="18" xfId="2" applyNumberFormat="1" applyFont="1" applyFill="1" applyBorder="1" applyAlignment="1">
      <alignment horizontal="center"/>
    </xf>
    <xf numFmtId="168" fontId="57" fillId="5" borderId="26" xfId="2" quotePrefix="1" applyNumberFormat="1" applyFont="1" applyFill="1" applyBorder="1" applyAlignment="1" applyProtection="1">
      <alignment horizontal="center"/>
    </xf>
    <xf numFmtId="168" fontId="57" fillId="5" borderId="27" xfId="2" quotePrefix="1" applyNumberFormat="1" applyFont="1" applyFill="1" applyBorder="1" applyAlignment="1" applyProtection="1">
      <alignment horizontal="center"/>
    </xf>
    <xf numFmtId="4" fontId="57" fillId="5" borderId="18" xfId="2" applyNumberFormat="1" applyFont="1" applyFill="1" applyBorder="1" applyAlignment="1">
      <alignment horizontal="center"/>
    </xf>
    <xf numFmtId="4" fontId="59" fillId="6" borderId="2" xfId="2" applyNumberFormat="1" applyFont="1" applyFill="1" applyBorder="1" applyAlignment="1">
      <alignment horizontal="center"/>
    </xf>
    <xf numFmtId="4" fontId="57" fillId="7" borderId="2" xfId="2" applyNumberFormat="1" applyFont="1" applyFill="1" applyBorder="1" applyAlignment="1">
      <alignment horizontal="center"/>
    </xf>
    <xf numFmtId="4" fontId="5" fillId="0" borderId="18" xfId="2" applyNumberFormat="1" applyFont="1" applyBorder="1" applyAlignment="1" applyProtection="1">
      <alignment horizontal="center"/>
      <protection locked="0"/>
    </xf>
    <xf numFmtId="4" fontId="9" fillId="0" borderId="2" xfId="2" applyNumberFormat="1" applyFont="1" applyBorder="1" applyAlignment="1">
      <alignment horizontal="right"/>
    </xf>
    <xf numFmtId="22" fontId="5" fillId="0" borderId="2" xfId="2" applyNumberFormat="1" applyFont="1" applyBorder="1" applyAlignment="1" applyProtection="1">
      <alignment horizontal="center"/>
      <protection locked="0"/>
    </xf>
    <xf numFmtId="0" fontId="5" fillId="0" borderId="3" xfId="2" applyFont="1" applyBorder="1" applyAlignment="1" applyProtection="1">
      <alignment horizontal="center"/>
      <protection locked="0"/>
    </xf>
    <xf numFmtId="0" fontId="5" fillId="0" borderId="23" xfId="2" applyFont="1" applyBorder="1" applyAlignment="1" applyProtection="1">
      <alignment horizontal="center"/>
      <protection locked="0"/>
    </xf>
    <xf numFmtId="2" fontId="5" fillId="0" borderId="23" xfId="2" applyNumberFormat="1" applyFont="1" applyBorder="1" applyAlignment="1" applyProtection="1">
      <alignment horizontal="center"/>
      <protection locked="0"/>
    </xf>
    <xf numFmtId="168" fontId="51" fillId="2" borderId="3" xfId="2" applyNumberFormat="1" applyFont="1" applyFill="1" applyBorder="1" applyAlignment="1" applyProtection="1">
      <alignment horizontal="center"/>
    </xf>
    <xf numFmtId="22" fontId="5" fillId="0" borderId="3" xfId="2" applyNumberFormat="1" applyFont="1" applyBorder="1" applyAlignment="1" applyProtection="1">
      <alignment horizontal="center"/>
      <protection locked="0"/>
    </xf>
    <xf numFmtId="2" fontId="5" fillId="0" borderId="3" xfId="2" applyNumberFormat="1" applyFont="1" applyBorder="1" applyAlignment="1" applyProtection="1">
      <alignment horizontal="center"/>
    </xf>
    <xf numFmtId="1" fontId="5" fillId="0" borderId="3" xfId="2" applyNumberFormat="1" applyFont="1" applyBorder="1" applyAlignment="1" applyProtection="1">
      <alignment horizontal="center"/>
    </xf>
    <xf numFmtId="168" fontId="5" fillId="0" borderId="3" xfId="2" applyNumberFormat="1" applyFont="1" applyBorder="1" applyAlignment="1" applyProtection="1">
      <alignment horizontal="center"/>
      <protection locked="0"/>
    </xf>
    <xf numFmtId="168" fontId="5" fillId="0" borderId="3" xfId="2" quotePrefix="1" applyNumberFormat="1" applyFont="1" applyBorder="1" applyAlignment="1" applyProtection="1">
      <alignment horizontal="center"/>
      <protection locked="0"/>
    </xf>
    <xf numFmtId="0" fontId="55" fillId="4" borderId="20" xfId="2" applyFont="1" applyFill="1" applyBorder="1"/>
    <xf numFmtId="0" fontId="49" fillId="2" borderId="57" xfId="2" applyFont="1" applyFill="1" applyBorder="1" applyAlignment="1">
      <alignment horizontal="center"/>
    </xf>
    <xf numFmtId="0" fontId="49" fillId="2" borderId="58" xfId="2" applyFont="1" applyFill="1" applyBorder="1"/>
    <xf numFmtId="0" fontId="49" fillId="2" borderId="15" xfId="2" applyFont="1" applyFill="1" applyBorder="1"/>
    <xf numFmtId="0" fontId="57" fillId="5" borderId="57" xfId="2" applyFont="1" applyFill="1" applyBorder="1"/>
    <xf numFmtId="0" fontId="57" fillId="5" borderId="59" xfId="2" applyFont="1" applyFill="1" applyBorder="1"/>
    <xf numFmtId="0" fontId="57" fillId="5" borderId="44" xfId="2" applyFont="1" applyFill="1" applyBorder="1"/>
    <xf numFmtId="0" fontId="59" fillId="6" borderId="20" xfId="2" applyFont="1" applyFill="1" applyBorder="1"/>
    <xf numFmtId="0" fontId="57" fillId="7" borderId="20" xfId="2" applyFont="1" applyFill="1" applyBorder="1"/>
    <xf numFmtId="4" fontId="5" fillId="0" borderId="30" xfId="2" applyNumberFormat="1" applyFont="1" applyBorder="1" applyAlignment="1" applyProtection="1">
      <alignment horizontal="center"/>
      <protection locked="0"/>
    </xf>
    <xf numFmtId="4" fontId="9" fillId="0" borderId="3" xfId="2" applyNumberFormat="1" applyFont="1" applyBorder="1" applyAlignment="1">
      <alignment horizontal="right"/>
    </xf>
    <xf numFmtId="0" fontId="5" fillId="0" borderId="0" xfId="2" applyFont="1" applyBorder="1" applyAlignment="1" applyProtection="1">
      <alignment horizontal="center"/>
      <protection locked="0"/>
    </xf>
    <xf numFmtId="2" fontId="5" fillId="0" borderId="0" xfId="2" applyNumberFormat="1" applyFont="1" applyBorder="1" applyAlignment="1" applyProtection="1">
      <alignment horizontal="center"/>
      <protection locked="0"/>
    </xf>
    <xf numFmtId="168" fontId="51" fillId="2" borderId="0" xfId="2" applyNumberFormat="1" applyFont="1" applyFill="1" applyBorder="1" applyAlignment="1" applyProtection="1">
      <alignment horizontal="center"/>
    </xf>
    <xf numFmtId="22" fontId="5" fillId="0" borderId="0" xfId="2" applyNumberFormat="1" applyFont="1" applyBorder="1" applyAlignment="1" applyProtection="1">
      <alignment horizontal="center"/>
      <protection locked="0"/>
    </xf>
    <xf numFmtId="2" fontId="5" fillId="0" borderId="0" xfId="2" applyNumberFormat="1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center"/>
    </xf>
    <xf numFmtId="168" fontId="5" fillId="0" borderId="0" xfId="2" applyNumberFormat="1" applyFont="1" applyBorder="1" applyAlignment="1" applyProtection="1">
      <alignment horizontal="center"/>
      <protection locked="0"/>
    </xf>
    <xf numFmtId="168" fontId="5" fillId="0" borderId="0" xfId="2" quotePrefix="1" applyNumberFormat="1" applyFont="1" applyBorder="1" applyAlignment="1" applyProtection="1">
      <alignment horizontal="center"/>
      <protection locked="0"/>
    </xf>
    <xf numFmtId="0" fontId="53" fillId="3" borderId="0" xfId="2" applyFont="1" applyFill="1" applyBorder="1"/>
    <xf numFmtId="0" fontId="55" fillId="4" borderId="0" xfId="2" applyFont="1" applyFill="1" applyBorder="1"/>
    <xf numFmtId="0" fontId="49" fillId="2" borderId="0" xfId="2" applyFont="1" applyFill="1" applyBorder="1" applyAlignment="1">
      <alignment horizontal="center"/>
    </xf>
    <xf numFmtId="0" fontId="49" fillId="2" borderId="0" xfId="2" applyFont="1" applyFill="1" applyBorder="1"/>
    <xf numFmtId="0" fontId="57" fillId="5" borderId="0" xfId="2" applyFont="1" applyFill="1" applyBorder="1"/>
    <xf numFmtId="0" fontId="59" fillId="6" borderId="0" xfId="2" applyFont="1" applyFill="1" applyBorder="1"/>
    <xf numFmtId="0" fontId="57" fillId="7" borderId="0" xfId="2" applyFont="1" applyFill="1" applyBorder="1"/>
    <xf numFmtId="4" fontId="5" fillId="0" borderId="0" xfId="2" applyNumberFormat="1" applyFont="1" applyBorder="1" applyAlignment="1" applyProtection="1">
      <alignment horizontal="center"/>
      <protection locked="0"/>
    </xf>
    <xf numFmtId="173" fontId="78" fillId="0" borderId="3" xfId="2" applyNumberFormat="1" applyFont="1" applyBorder="1" applyAlignment="1" applyProtection="1">
      <alignment horizontal="right"/>
    </xf>
    <xf numFmtId="173" fontId="78" fillId="0" borderId="0" xfId="2" applyNumberFormat="1" applyFont="1" applyBorder="1" applyAlignment="1" applyProtection="1">
      <alignment horizontal="right"/>
    </xf>
    <xf numFmtId="0" fontId="32" fillId="0" borderId="20" xfId="3" applyFont="1" applyFill="1" applyBorder="1" applyAlignment="1" applyProtection="1">
      <alignment horizontal="center" vertical="center" wrapText="1"/>
    </xf>
    <xf numFmtId="0" fontId="32" fillId="0" borderId="20" xfId="3" applyFont="1" applyFill="1" applyBorder="1" applyAlignment="1" applyProtection="1">
      <alignment horizontal="center" vertical="center"/>
    </xf>
    <xf numFmtId="0" fontId="32" fillId="0" borderId="20" xfId="3" applyFont="1" applyFill="1" applyBorder="1" applyAlignment="1">
      <alignment horizontal="center" vertical="center" wrapText="1"/>
    </xf>
    <xf numFmtId="0" fontId="44" fillId="2" borderId="20" xfId="3" applyFont="1" applyFill="1" applyBorder="1" applyAlignment="1" applyProtection="1">
      <alignment horizontal="center" vertical="center"/>
    </xf>
    <xf numFmtId="0" fontId="32" fillId="0" borderId="20" xfId="3" applyFont="1" applyBorder="1" applyAlignment="1" applyProtection="1">
      <alignment horizontal="center" vertical="center" wrapText="1"/>
    </xf>
    <xf numFmtId="0" fontId="45" fillId="2" borderId="20" xfId="3" applyFont="1" applyFill="1" applyBorder="1" applyAlignment="1" applyProtection="1">
      <alignment horizontal="center" vertical="center"/>
    </xf>
    <xf numFmtId="0" fontId="83" fillId="15" borderId="20" xfId="3" applyFont="1" applyFill="1" applyBorder="1" applyAlignment="1">
      <alignment horizontal="center" vertical="center" wrapText="1"/>
    </xf>
    <xf numFmtId="0" fontId="54" fillId="16" borderId="16" xfId="3" applyFont="1" applyFill="1" applyBorder="1" applyAlignment="1" applyProtection="1">
      <alignment horizontal="centerContinuous" vertical="center" wrapText="1"/>
    </xf>
    <xf numFmtId="0" fontId="77" fillId="16" borderId="15" xfId="3" applyFont="1" applyFill="1" applyBorder="1" applyAlignment="1">
      <alignment horizontal="centerContinuous"/>
    </xf>
    <xf numFmtId="0" fontId="49" fillId="2" borderId="60" xfId="2" applyFont="1" applyFill="1" applyBorder="1"/>
    <xf numFmtId="0" fontId="57" fillId="5" borderId="21" xfId="2" applyFont="1" applyFill="1" applyBorder="1"/>
    <xf numFmtId="0" fontId="57" fillId="5" borderId="61" xfId="2" applyFont="1" applyFill="1" applyBorder="1"/>
    <xf numFmtId="0" fontId="54" fillId="8" borderId="20" xfId="3" applyFont="1" applyFill="1" applyBorder="1" applyAlignment="1">
      <alignment horizontal="center" vertical="center" wrapText="1"/>
    </xf>
    <xf numFmtId="0" fontId="57" fillId="7" borderId="43" xfId="2" applyFont="1" applyFill="1" applyBorder="1"/>
    <xf numFmtId="0" fontId="32" fillId="0" borderId="20" xfId="3" applyFont="1" applyBorder="1" applyAlignment="1">
      <alignment horizontal="center" vertical="center" wrapText="1"/>
    </xf>
    <xf numFmtId="16" fontId="32" fillId="0" borderId="20" xfId="3" quotePrefix="1" applyNumberFormat="1" applyFont="1" applyFill="1" applyBorder="1" applyAlignment="1">
      <alignment horizontal="center" vertical="center" wrapText="1"/>
    </xf>
    <xf numFmtId="0" fontId="5" fillId="0" borderId="4" xfId="3" applyFont="1" applyFill="1" applyBorder="1" applyAlignment="1" applyProtection="1">
      <alignment horizontal="center"/>
      <protection locked="0"/>
    </xf>
    <xf numFmtId="165" fontId="5" fillId="0" borderId="4" xfId="3" applyNumberFormat="1" applyFont="1" applyFill="1" applyBorder="1" applyAlignment="1" applyProtection="1">
      <alignment horizontal="center"/>
      <protection locked="0"/>
    </xf>
    <xf numFmtId="0" fontId="51" fillId="2" borderId="4" xfId="3" applyFont="1" applyFill="1" applyBorder="1" applyAlignment="1">
      <alignment horizontal="center"/>
    </xf>
    <xf numFmtId="22" fontId="5" fillId="0" borderId="4" xfId="3" applyNumberFormat="1" applyFont="1" applyFill="1" applyBorder="1" applyAlignment="1" applyProtection="1">
      <alignment horizontal="center"/>
      <protection locked="0"/>
    </xf>
    <xf numFmtId="0" fontId="5" fillId="0" borderId="4" xfId="3" applyFont="1" applyFill="1" applyBorder="1" applyAlignment="1">
      <alignment horizontal="center"/>
    </xf>
    <xf numFmtId="0" fontId="48" fillId="2" borderId="4" xfId="3" applyFont="1" applyFill="1" applyBorder="1" applyAlignment="1">
      <alignment horizontal="center"/>
    </xf>
    <xf numFmtId="0" fontId="84" fillId="15" borderId="4" xfId="3" applyFont="1" applyFill="1" applyBorder="1" applyAlignment="1">
      <alignment horizontal="center"/>
    </xf>
    <xf numFmtId="168" fontId="55" fillId="16" borderId="24" xfId="3" quotePrefix="1" applyNumberFormat="1" applyFont="1" applyFill="1" applyBorder="1" applyAlignment="1" applyProtection="1">
      <alignment horizontal="center"/>
    </xf>
    <xf numFmtId="168" fontId="55" fillId="16" borderId="32" xfId="3" quotePrefix="1" applyNumberFormat="1" applyFont="1" applyFill="1" applyBorder="1" applyAlignment="1" applyProtection="1">
      <alignment horizontal="center"/>
    </xf>
    <xf numFmtId="168" fontId="55" fillId="8" borderId="4" xfId="3" quotePrefix="1" applyNumberFormat="1" applyFont="1" applyFill="1" applyBorder="1" applyAlignment="1" applyProtection="1">
      <alignment horizontal="center"/>
    </xf>
    <xf numFmtId="0" fontId="57" fillId="7" borderId="37" xfId="2" applyFont="1" applyFill="1" applyBorder="1"/>
    <xf numFmtId="0" fontId="5" fillId="0" borderId="4" xfId="3" applyFont="1" applyFill="1" applyBorder="1" applyAlignment="1">
      <alignment horizontal="left"/>
    </xf>
    <xf numFmtId="7" fontId="9" fillId="0" borderId="4" xfId="3" applyNumberFormat="1" applyFont="1" applyFill="1" applyBorder="1" applyAlignment="1"/>
    <xf numFmtId="0" fontId="1" fillId="0" borderId="13" xfId="3" applyFont="1" applyBorder="1" applyAlignment="1">
      <alignment horizontal="center"/>
    </xf>
    <xf numFmtId="0" fontId="1" fillId="0" borderId="13" xfId="3" applyBorder="1" applyAlignment="1">
      <alignment horizontal="center"/>
    </xf>
    <xf numFmtId="170" fontId="51" fillId="2" borderId="13" xfId="3" applyNumberFormat="1" applyFont="1" applyFill="1" applyBorder="1" applyAlignment="1" applyProtection="1">
      <alignment horizontal="center"/>
    </xf>
    <xf numFmtId="22" fontId="5" fillId="0" borderId="13" xfId="3" applyNumberFormat="1" applyFont="1" applyFill="1" applyBorder="1" applyAlignment="1" applyProtection="1">
      <alignment horizontal="center"/>
      <protection locked="0"/>
    </xf>
    <xf numFmtId="2" fontId="5" fillId="0" borderId="13" xfId="3" applyNumberFormat="1" applyFont="1" applyFill="1" applyBorder="1" applyAlignment="1" applyProtection="1">
      <alignment horizontal="center"/>
    </xf>
    <xf numFmtId="165" fontId="5" fillId="0" borderId="13" xfId="3" quotePrefix="1" applyNumberFormat="1" applyFont="1" applyFill="1" applyBorder="1" applyAlignment="1" applyProtection="1">
      <alignment horizontal="center"/>
    </xf>
    <xf numFmtId="168" fontId="5" fillId="0" borderId="13" xfId="3" applyNumberFormat="1" applyFont="1" applyFill="1" applyBorder="1" applyAlignment="1" applyProtection="1">
      <alignment horizontal="center"/>
      <protection locked="0"/>
    </xf>
    <xf numFmtId="168" fontId="5" fillId="0" borderId="13" xfId="3" quotePrefix="1" applyNumberFormat="1" applyFont="1" applyFill="1" applyBorder="1" applyAlignment="1" applyProtection="1">
      <alignment horizontal="center"/>
      <protection locked="0"/>
    </xf>
    <xf numFmtId="165" fontId="48" fillId="2" borderId="13" xfId="3" applyNumberFormat="1" applyFont="1" applyFill="1" applyBorder="1" applyAlignment="1" applyProtection="1">
      <alignment horizontal="center"/>
    </xf>
    <xf numFmtId="2" fontId="84" fillId="15" borderId="13" xfId="3" applyNumberFormat="1" applyFont="1" applyFill="1" applyBorder="1" applyAlignment="1">
      <alignment horizontal="center"/>
    </xf>
    <xf numFmtId="168" fontId="55" fillId="16" borderId="38" xfId="3" quotePrefix="1" applyNumberFormat="1" applyFont="1" applyFill="1" applyBorder="1" applyAlignment="1" applyProtection="1">
      <alignment horizontal="center"/>
    </xf>
    <xf numFmtId="168" fontId="55" fillId="16" borderId="39" xfId="3" quotePrefix="1" applyNumberFormat="1" applyFont="1" applyFill="1" applyBorder="1" applyAlignment="1" applyProtection="1">
      <alignment horizontal="center"/>
    </xf>
    <xf numFmtId="168" fontId="55" fillId="8" borderId="13" xfId="3" quotePrefix="1" applyNumberFormat="1" applyFont="1" applyFill="1" applyBorder="1" applyAlignment="1" applyProtection="1">
      <alignment horizontal="center"/>
    </xf>
    <xf numFmtId="4" fontId="9" fillId="0" borderId="13" xfId="3" applyNumberFormat="1" applyFont="1" applyFill="1" applyBorder="1" applyAlignment="1">
      <alignment horizontal="right"/>
    </xf>
    <xf numFmtId="168" fontId="55" fillId="8" borderId="45" xfId="3" quotePrefix="1" applyNumberFormat="1" applyFont="1" applyFill="1" applyBorder="1" applyAlignment="1" applyProtection="1">
      <alignment horizontal="center"/>
    </xf>
    <xf numFmtId="0" fontId="5" fillId="0" borderId="62" xfId="2" applyFont="1" applyBorder="1" applyAlignment="1" applyProtection="1">
      <alignment horizontal="center"/>
      <protection locked="0"/>
    </xf>
    <xf numFmtId="168" fontId="51" fillId="2" borderId="23" xfId="2" applyNumberFormat="1" applyFont="1" applyFill="1" applyBorder="1" applyAlignment="1" applyProtection="1">
      <alignment horizontal="center"/>
    </xf>
    <xf numFmtId="22" fontId="5" fillId="0" borderId="63" xfId="2" applyNumberFormat="1" applyFont="1" applyBorder="1" applyAlignment="1" applyProtection="1">
      <alignment horizontal="center"/>
      <protection locked="0"/>
    </xf>
    <xf numFmtId="22" fontId="5" fillId="0" borderId="64" xfId="2" applyNumberFormat="1" applyFont="1" applyBorder="1" applyAlignment="1" applyProtection="1">
      <alignment horizontal="center"/>
      <protection locked="0"/>
    </xf>
    <xf numFmtId="2" fontId="5" fillId="0" borderId="23" xfId="2" applyNumberFormat="1" applyFont="1" applyBorder="1" applyAlignment="1" applyProtection="1">
      <alignment horizontal="center"/>
    </xf>
    <xf numFmtId="1" fontId="5" fillId="0" borderId="23" xfId="2" applyNumberFormat="1" applyFont="1" applyBorder="1" applyAlignment="1" applyProtection="1">
      <alignment horizontal="center"/>
    </xf>
    <xf numFmtId="168" fontId="5" fillId="0" borderId="23" xfId="2" applyNumberFormat="1" applyFont="1" applyBorder="1" applyAlignment="1" applyProtection="1">
      <alignment horizontal="center"/>
      <protection locked="0"/>
    </xf>
    <xf numFmtId="168" fontId="5" fillId="0" borderId="65" xfId="2" quotePrefix="1" applyNumberFormat="1" applyFont="1" applyBorder="1" applyAlignment="1" applyProtection="1">
      <alignment horizontal="center"/>
      <protection locked="0"/>
    </xf>
    <xf numFmtId="0" fontId="48" fillId="2" borderId="23" xfId="3" applyFont="1" applyFill="1" applyBorder="1" applyAlignment="1">
      <alignment horizontal="center"/>
    </xf>
    <xf numFmtId="0" fontId="84" fillId="4" borderId="66" xfId="2" applyFont="1" applyFill="1" applyBorder="1"/>
    <xf numFmtId="0" fontId="49" fillId="2" borderId="40" xfId="2" applyFont="1" applyFill="1" applyBorder="1" applyAlignment="1">
      <alignment horizontal="center"/>
    </xf>
    <xf numFmtId="0" fontId="49" fillId="2" borderId="66" xfId="2" applyFont="1" applyFill="1" applyBorder="1"/>
    <xf numFmtId="0" fontId="49" fillId="2" borderId="63" xfId="2" applyFont="1" applyFill="1" applyBorder="1"/>
    <xf numFmtId="0" fontId="57" fillId="5" borderId="63" xfId="2" applyFont="1" applyFill="1" applyBorder="1"/>
    <xf numFmtId="168" fontId="55" fillId="8" borderId="23" xfId="3" quotePrefix="1" applyNumberFormat="1" applyFont="1" applyFill="1" applyBorder="1" applyAlignment="1" applyProtection="1">
      <alignment horizontal="center"/>
    </xf>
    <xf numFmtId="0" fontId="57" fillId="7" borderId="3" xfId="2" applyFont="1" applyFill="1" applyBorder="1"/>
    <xf numFmtId="4" fontId="5" fillId="0" borderId="23" xfId="2" applyNumberFormat="1" applyFont="1" applyBorder="1" applyAlignment="1" applyProtection="1">
      <alignment horizontal="center"/>
      <protection locked="0"/>
    </xf>
    <xf numFmtId="173" fontId="78" fillId="0" borderId="30" xfId="2" applyNumberFormat="1" applyFont="1" applyBorder="1" applyAlignment="1" applyProtection="1">
      <alignment horizontal="right"/>
    </xf>
    <xf numFmtId="0" fontId="48" fillId="2" borderId="21" xfId="3" applyFont="1" applyFill="1" applyBorder="1" applyAlignment="1">
      <alignment horizontal="center"/>
    </xf>
    <xf numFmtId="0" fontId="84" fillId="4" borderId="0" xfId="2" applyFont="1" applyFill="1" applyBorder="1"/>
    <xf numFmtId="168" fontId="55" fillId="8" borderId="21" xfId="3" quotePrefix="1" applyNumberFormat="1" applyFont="1" applyFill="1" applyBorder="1" applyAlignment="1" applyProtection="1">
      <alignment horizontal="center"/>
    </xf>
    <xf numFmtId="5" fontId="6" fillId="0" borderId="16" xfId="2" applyNumberFormat="1" applyFont="1" applyBorder="1" applyAlignment="1" applyProtection="1">
      <alignment horizontal="center"/>
    </xf>
    <xf numFmtId="7" fontId="6" fillId="0" borderId="15" xfId="2" applyNumberFormat="1" applyFont="1" applyBorder="1" applyAlignment="1" applyProtection="1">
      <alignment horizontal="center"/>
    </xf>
    <xf numFmtId="168" fontId="9" fillId="0" borderId="0" xfId="2" applyNumberFormat="1" applyFont="1" applyBorder="1" applyAlignment="1" applyProtection="1">
      <alignment horizontal="center"/>
    </xf>
    <xf numFmtId="168" fontId="9" fillId="0" borderId="0" xfId="2" quotePrefix="1" applyNumberFormat="1" applyFont="1" applyBorder="1" applyAlignment="1" applyProtection="1">
      <alignment horizontal="center"/>
    </xf>
    <xf numFmtId="2" fontId="85" fillId="0" borderId="0" xfId="2" applyNumberFormat="1" applyFont="1" applyBorder="1" applyAlignment="1">
      <alignment horizontal="center"/>
    </xf>
    <xf numFmtId="168" fontId="86" fillId="0" borderId="0" xfId="2" quotePrefix="1" applyNumberFormat="1" applyFont="1" applyBorder="1" applyAlignment="1" applyProtection="1">
      <alignment horizontal="center"/>
    </xf>
    <xf numFmtId="4" fontId="86" fillId="0" borderId="0" xfId="2" applyNumberFormat="1" applyFont="1" applyBorder="1" applyAlignment="1">
      <alignment horizontal="center"/>
    </xf>
    <xf numFmtId="4" fontId="9" fillId="0" borderId="0" xfId="2" applyNumberFormat="1" applyFont="1" applyBorder="1" applyAlignment="1">
      <alignment horizontal="center"/>
    </xf>
    <xf numFmtId="7" fontId="78" fillId="0" borderId="0" xfId="2" applyNumberFormat="1" applyFont="1" applyBorder="1" applyAlignment="1">
      <alignment horizontal="center"/>
    </xf>
    <xf numFmtId="2" fontId="9" fillId="0" borderId="0" xfId="2" applyNumberFormat="1" applyFont="1" applyBorder="1" applyAlignment="1">
      <alignment horizontal="center"/>
    </xf>
    <xf numFmtId="2" fontId="9" fillId="0" borderId="0" xfId="2" applyNumberFormat="1" applyFont="1" applyBorder="1" applyAlignment="1" applyProtection="1">
      <alignment horizontal="center"/>
    </xf>
    <xf numFmtId="0" fontId="9" fillId="0" borderId="0" xfId="2" applyFont="1" applyBorder="1" applyAlignment="1">
      <alignment horizontal="center"/>
    </xf>
    <xf numFmtId="168" fontId="78" fillId="0" borderId="0" xfId="3" applyNumberFormat="1" applyFont="1" applyBorder="1" applyAlignment="1" applyProtection="1">
      <alignment horizontal="center"/>
    </xf>
    <xf numFmtId="0" fontId="78" fillId="0" borderId="0" xfId="3" applyFont="1" applyBorder="1" applyAlignment="1" applyProtection="1">
      <alignment horizontal="center"/>
    </xf>
    <xf numFmtId="2" fontId="9" fillId="0" borderId="0" xfId="2" applyNumberFormat="1" applyFont="1" applyBorder="1" applyAlignment="1" applyProtection="1">
      <alignment horizontal="right"/>
    </xf>
    <xf numFmtId="5" fontId="9" fillId="0" borderId="0" xfId="2" applyNumberFormat="1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right"/>
    </xf>
    <xf numFmtId="7" fontId="9" fillId="0" borderId="0" xfId="2" applyNumberFormat="1" applyFont="1" applyBorder="1" applyAlignment="1">
      <alignment horizontal="right"/>
    </xf>
    <xf numFmtId="5" fontId="87" fillId="0" borderId="0" xfId="2" applyNumberFormat="1" applyFont="1" applyAlignment="1">
      <alignment horizontal="right"/>
    </xf>
    <xf numFmtId="5" fontId="87" fillId="0" borderId="0" xfId="2" applyNumberFormat="1" applyFont="1" applyBorder="1" applyAlignment="1">
      <alignment horizontal="right"/>
    </xf>
    <xf numFmtId="168" fontId="9" fillId="0" borderId="0" xfId="3" applyNumberFormat="1" applyFont="1" applyBorder="1" applyAlignment="1" applyProtection="1">
      <alignment horizontal="right"/>
    </xf>
    <xf numFmtId="7" fontId="87" fillId="0" borderId="0" xfId="2" applyNumberFormat="1" applyFont="1" applyAlignment="1">
      <alignment horizontal="right"/>
    </xf>
    <xf numFmtId="7" fontId="78" fillId="0" borderId="0" xfId="2" applyNumberFormat="1" applyFont="1" applyBorder="1" applyAlignment="1">
      <alignment horizontal="right"/>
    </xf>
    <xf numFmtId="0" fontId="9" fillId="0" borderId="9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 applyAlignment="1" applyProtection="1">
      <alignment horizontal="center"/>
    </xf>
    <xf numFmtId="2" fontId="9" fillId="0" borderId="0" xfId="3" applyNumberFormat="1" applyFont="1" applyBorder="1" applyAlignment="1" applyProtection="1">
      <alignment horizontal="center"/>
    </xf>
    <xf numFmtId="5" fontId="9" fillId="0" borderId="0" xfId="3" applyNumberFormat="1" applyFont="1" applyBorder="1" applyAlignment="1" applyProtection="1">
      <alignment horizontal="center"/>
    </xf>
    <xf numFmtId="0" fontId="1" fillId="0" borderId="0" xfId="3"/>
    <xf numFmtId="168" fontId="9" fillId="0" borderId="0" xfId="3" applyNumberFormat="1" applyFont="1" applyBorder="1" applyAlignment="1" applyProtection="1">
      <alignment horizontal="center"/>
    </xf>
    <xf numFmtId="168" fontId="9" fillId="0" borderId="0" xfId="3" quotePrefix="1" applyNumberFormat="1" applyFont="1" applyBorder="1" applyAlignment="1" applyProtection="1">
      <alignment horizontal="center"/>
    </xf>
    <xf numFmtId="2" fontId="85" fillId="0" borderId="0" xfId="3" applyNumberFormat="1" applyFont="1" applyBorder="1" applyAlignment="1">
      <alignment horizontal="center"/>
    </xf>
    <xf numFmtId="168" fontId="86" fillId="0" borderId="0" xfId="3" quotePrefix="1" applyNumberFormat="1" applyFont="1" applyBorder="1" applyAlignment="1" applyProtection="1">
      <alignment horizontal="center"/>
    </xf>
    <xf numFmtId="7" fontId="87" fillId="0" borderId="0" xfId="3" applyNumberFormat="1" applyFont="1" applyAlignment="1">
      <alignment horizontal="right"/>
    </xf>
    <xf numFmtId="4" fontId="9" fillId="0" borderId="0" xfId="3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/>
    </xf>
    <xf numFmtId="2" fontId="9" fillId="0" borderId="0" xfId="3" applyNumberFormat="1" applyFont="1" applyBorder="1" applyAlignment="1">
      <alignment horizontal="center"/>
    </xf>
    <xf numFmtId="0" fontId="9" fillId="0" borderId="0" xfId="3" applyFont="1" applyBorder="1" applyAlignment="1" applyProtection="1">
      <alignment horizontal="left"/>
    </xf>
    <xf numFmtId="0" fontId="4" fillId="0" borderId="0" xfId="2" applyFont="1" applyBorder="1" applyAlignment="1">
      <alignment horizontal="left"/>
    </xf>
    <xf numFmtId="168" fontId="9" fillId="0" borderId="0" xfId="2" applyNumberFormat="1" applyFont="1" applyBorder="1" applyAlignment="1" applyProtection="1">
      <alignment horizontal="right"/>
    </xf>
    <xf numFmtId="1" fontId="9" fillId="0" borderId="0" xfId="2" applyNumberFormat="1" applyFont="1" applyBorder="1" applyAlignment="1" applyProtection="1">
      <alignment horizontal="right"/>
    </xf>
    <xf numFmtId="0" fontId="6" fillId="0" borderId="16" xfId="2" applyFont="1" applyBorder="1" applyAlignment="1">
      <alignment horizontal="center"/>
    </xf>
    <xf numFmtId="7" fontId="88" fillId="0" borderId="15" xfId="2" applyNumberFormat="1" applyFont="1" applyFill="1" applyBorder="1" applyAlignment="1">
      <alignment horizontal="center"/>
    </xf>
    <xf numFmtId="0" fontId="17" fillId="0" borderId="0" xfId="2" applyFont="1" applyBorder="1"/>
    <xf numFmtId="0" fontId="9" fillId="0" borderId="0" xfId="2" applyFont="1" applyFill="1" applyBorder="1" applyAlignment="1">
      <alignment horizontal="center"/>
    </xf>
    <xf numFmtId="7" fontId="9" fillId="0" borderId="0" xfId="2" applyNumberFormat="1" applyFont="1" applyBorder="1" applyAlignment="1" applyProtection="1">
      <alignment horizontal="center"/>
    </xf>
    <xf numFmtId="2" fontId="9" fillId="0" borderId="0" xfId="2" applyNumberFormat="1" applyFont="1" applyFill="1" applyBorder="1"/>
    <xf numFmtId="0" fontId="6" fillId="0" borderId="16" xfId="2" applyFont="1" applyFill="1" applyBorder="1" applyAlignment="1">
      <alignment horizontal="center"/>
    </xf>
    <xf numFmtId="8" fontId="6" fillId="0" borderId="15" xfId="2" applyNumberFormat="1" applyFont="1" applyBorder="1" applyAlignment="1" applyProtection="1">
      <alignment horizontal="center"/>
    </xf>
    <xf numFmtId="0" fontId="9" fillId="0" borderId="10" xfId="2" applyFont="1" applyBorder="1"/>
    <xf numFmtId="0" fontId="9" fillId="0" borderId="11" xfId="2" applyFont="1" applyBorder="1"/>
    <xf numFmtId="0" fontId="1" fillId="0" borderId="11" xfId="2" applyBorder="1"/>
    <xf numFmtId="0" fontId="1" fillId="0" borderId="12" xfId="2" applyBorder="1"/>
    <xf numFmtId="0" fontId="14" fillId="0" borderId="9" xfId="2" applyFont="1" applyBorder="1" applyAlignment="1" applyProtection="1">
      <alignment horizontal="center"/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3"/>
    <cellStyle name="Normal_A0101 ANEXO I NEA 2" xfId="2"/>
    <cellStyle name="Normal_Comahu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717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233366</xdr:colOff>
      <xdr:row>0</xdr:row>
      <xdr:rowOff>0</xdr:rowOff>
    </xdr:from>
    <xdr:to>
      <xdr:col>3</xdr:col>
      <xdr:colOff>264322</xdr:colOff>
      <xdr:row>2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10" y="0"/>
          <a:ext cx="578643" cy="854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43</xdr:row>
          <xdr:rowOff>0</xdr:rowOff>
        </xdr:from>
        <xdr:to>
          <xdr:col>2</xdr:col>
          <xdr:colOff>0</xdr:colOff>
          <xdr:row>44</xdr:row>
          <xdr:rowOff>9525</xdr:rowOff>
        </xdr:to>
        <xdr:sp macro="" textlink="">
          <xdr:nvSpPr>
            <xdr:cNvPr id="52225" name="Button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233360</xdr:colOff>
      <xdr:row>0</xdr:row>
      <xdr:rowOff>0</xdr:rowOff>
    </xdr:from>
    <xdr:to>
      <xdr:col>3</xdr:col>
      <xdr:colOff>261935</xdr:colOff>
      <xdr:row>2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4" y="0"/>
          <a:ext cx="576262" cy="854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43</xdr:row>
          <xdr:rowOff>9525</xdr:rowOff>
        </xdr:from>
        <xdr:to>
          <xdr:col>2</xdr:col>
          <xdr:colOff>0</xdr:colOff>
          <xdr:row>44</xdr:row>
          <xdr:rowOff>38100</xdr:rowOff>
        </xdr:to>
        <xdr:sp macro="" textlink="">
          <xdr:nvSpPr>
            <xdr:cNvPr id="73729" name="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42864</xdr:colOff>
      <xdr:row>0</xdr:row>
      <xdr:rowOff>0</xdr:rowOff>
    </xdr:from>
    <xdr:to>
      <xdr:col>3</xdr:col>
      <xdr:colOff>347664</xdr:colOff>
      <xdr:row>2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0"/>
          <a:ext cx="578643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42</xdr:row>
          <xdr:rowOff>9525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53249" name="Button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264460</xdr:colOff>
      <xdr:row>0</xdr:row>
      <xdr:rowOff>0</xdr:rowOff>
    </xdr:from>
    <xdr:to>
      <xdr:col>3</xdr:col>
      <xdr:colOff>283510</xdr:colOff>
      <xdr:row>2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607" y="0"/>
          <a:ext cx="579344" cy="86341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42</xdr:row>
          <xdr:rowOff>9525</xdr:rowOff>
        </xdr:from>
        <xdr:to>
          <xdr:col>2</xdr:col>
          <xdr:colOff>0</xdr:colOff>
          <xdr:row>43</xdr:row>
          <xdr:rowOff>28575</xdr:rowOff>
        </xdr:to>
        <xdr:sp macro="" textlink="">
          <xdr:nvSpPr>
            <xdr:cNvPr id="72705" name="Button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MS Sans Serif"/>
                </a:rPr>
                <a:t>Actualizar &gt;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1705536</xdr:colOff>
      <xdr:row>0</xdr:row>
      <xdr:rowOff>0</xdr:rowOff>
    </xdr:from>
    <xdr:to>
      <xdr:col>0</xdr:col>
      <xdr:colOff>2286561</xdr:colOff>
      <xdr:row>2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536" y="0"/>
          <a:ext cx="581025" cy="8269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9</xdr:col>
      <xdr:colOff>142875</xdr:colOff>
      <xdr:row>15</xdr:row>
      <xdr:rowOff>200025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838450"/>
          <a:ext cx="23050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/Transporte/ARCHIVOS.XLS/P-TRSNEA/2015/F0715N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/Transporte/ARCHIVOS.XLS/P-TRSNEA/2015/F1215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-0715"/>
      <sheetName val="LI-07 (1)"/>
      <sheetName val="T-07 (1)"/>
      <sheetName val="SA-07 (1)"/>
      <sheetName val="LI-DPEC-07 (1)"/>
      <sheetName val="CAUSAS-VST-07 (1)"/>
      <sheetName val="CAUSAS-VST-07 (2)"/>
      <sheetName val="CAUSAS-VST-07 (3)"/>
      <sheetName val="SUP-DPEC"/>
      <sheetName val="DATO"/>
      <sheetName val="F0715NEA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-1215"/>
      <sheetName val="LI-12 (1)"/>
      <sheetName val="T-12 (1)"/>
      <sheetName val="SA-12 (1)"/>
      <sheetName val="CAUSAS-VST-12 (1)"/>
      <sheetName val="CAUSAS-VST-12 (2)"/>
      <sheetName val="CAUSAS-VST-12 (3)"/>
      <sheetName val="CAUSAS-VST-12 (4)"/>
      <sheetName val="CAUSAS-VST-12 (5)"/>
      <sheetName val="CAUSAS-VST-12 (6)"/>
      <sheetName val="CAUSAS-VST-12 (7)"/>
      <sheetName val="CAUSAS-VST-12 (8)"/>
      <sheetName val="CAUSAS-VST-12 (9)"/>
      <sheetName val="CAUSAS-VST-12 (10)"/>
      <sheetName val="CAUSAS-VST-12 (11)"/>
      <sheetName val="CAUSAS-VST-12 (12)"/>
      <sheetName val="DATO"/>
      <sheetName val="F1215NEA"/>
    </sheetNames>
    <definedNames>
      <definedName name="Actualizar_Referenci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S50"/>
  <sheetViews>
    <sheetView tabSelected="1" zoomScale="80" zoomScaleNormal="80" workbookViewId="0">
      <selection activeCell="B3" sqref="B3"/>
    </sheetView>
  </sheetViews>
  <sheetFormatPr baseColWidth="10" defaultRowHeight="12.75" x14ac:dyDescent="0.2"/>
  <cols>
    <col min="1" max="1" width="25.7109375" style="7" customWidth="1"/>
    <col min="2" max="2" width="7.7109375" style="7" customWidth="1"/>
    <col min="3" max="3" width="12.42578125" style="7" customWidth="1"/>
    <col min="4" max="4" width="10.7109375" style="7" customWidth="1"/>
    <col min="5" max="5" width="13.5703125" style="7" customWidth="1"/>
    <col min="6" max="7" width="20.7109375" style="7" customWidth="1"/>
    <col min="8" max="8" width="12" style="7" customWidth="1"/>
    <col min="9" max="9" width="18.7109375" style="7" customWidth="1"/>
    <col min="10" max="10" width="17.7109375" style="7" customWidth="1"/>
    <col min="11" max="11" width="15.7109375" style="7" customWidth="1"/>
    <col min="12" max="13" width="11.42578125" style="7"/>
    <col min="14" max="14" width="14.140625" style="7" customWidth="1"/>
    <col min="15" max="15" width="11.42578125" style="7"/>
    <col min="16" max="16" width="14.7109375" style="7" customWidth="1"/>
    <col min="17" max="17" width="11.42578125" style="7"/>
    <col min="18" max="18" width="12" style="7" customWidth="1"/>
    <col min="19" max="16384" width="11.42578125" style="7"/>
  </cols>
  <sheetData>
    <row r="1" spans="1:19" s="59" customFormat="1" ht="26.25" x14ac:dyDescent="0.4">
      <c r="B1" s="72"/>
      <c r="K1" s="351"/>
    </row>
    <row r="2" spans="1:19" s="59" customFormat="1" ht="26.25" x14ac:dyDescent="0.4">
      <c r="B2" s="72" t="s">
        <v>232</v>
      </c>
      <c r="C2" s="73"/>
      <c r="D2" s="60"/>
      <c r="E2" s="60"/>
      <c r="F2" s="60"/>
      <c r="G2" s="60"/>
      <c r="H2" s="60"/>
      <c r="I2" s="60"/>
      <c r="J2" s="60"/>
    </row>
    <row r="3" spans="1:19" x14ac:dyDescent="0.2">
      <c r="C3"/>
      <c r="D3" s="27"/>
      <c r="E3" s="27"/>
      <c r="F3" s="27"/>
      <c r="G3" s="27"/>
      <c r="H3" s="27"/>
      <c r="I3" s="27"/>
      <c r="J3" s="27"/>
      <c r="P3" s="5"/>
      <c r="Q3" s="5"/>
      <c r="R3" s="5"/>
      <c r="S3" s="5"/>
    </row>
    <row r="4" spans="1:19" s="57" customFormat="1" ht="11.25" x14ac:dyDescent="0.2">
      <c r="A4" s="74" t="s">
        <v>2</v>
      </c>
      <c r="B4" s="7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s="57" customFormat="1" ht="11.25" x14ac:dyDescent="0.2">
      <c r="A5" s="74" t="s">
        <v>3</v>
      </c>
      <c r="B5" s="75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s="59" customFormat="1" ht="8.25" customHeight="1" x14ac:dyDescent="0.4">
      <c r="B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s="61" customFormat="1" ht="20.25" x14ac:dyDescent="0.3">
      <c r="B7" s="120" t="s">
        <v>0</v>
      </c>
      <c r="C7" s="78"/>
      <c r="D7" s="62"/>
      <c r="E7" s="62"/>
      <c r="F7" s="63"/>
      <c r="G7" s="63"/>
      <c r="H7" s="63"/>
      <c r="I7" s="63"/>
      <c r="J7" s="63"/>
      <c r="K7" s="56"/>
      <c r="L7" s="56"/>
      <c r="M7" s="56"/>
      <c r="N7" s="56"/>
      <c r="O7" s="56"/>
      <c r="P7" s="56"/>
      <c r="Q7" s="56"/>
      <c r="R7" s="56"/>
      <c r="S7" s="56"/>
    </row>
    <row r="8" spans="1:19" x14ac:dyDescent="0.2"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61" customFormat="1" ht="20.25" x14ac:dyDescent="0.3">
      <c r="B9" s="120" t="s">
        <v>1</v>
      </c>
      <c r="C9" s="78"/>
      <c r="D9" s="62"/>
      <c r="E9" s="62"/>
      <c r="F9" s="62"/>
      <c r="G9" s="62"/>
      <c r="H9" s="62"/>
      <c r="I9" s="63"/>
      <c r="J9" s="63"/>
      <c r="K9" s="56"/>
      <c r="L9" s="56"/>
      <c r="M9" s="56"/>
      <c r="N9" s="56"/>
      <c r="O9" s="56"/>
      <c r="P9" s="56"/>
      <c r="Q9" s="56"/>
      <c r="R9" s="56"/>
      <c r="S9" s="56"/>
    </row>
    <row r="10" spans="1:19" x14ac:dyDescent="0.2">
      <c r="D10" s="67"/>
      <c r="E10" s="6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1" customFormat="1" ht="20.25" x14ac:dyDescent="0.3">
      <c r="B11" s="120" t="s">
        <v>229</v>
      </c>
      <c r="C11" s="79"/>
      <c r="D11" s="28"/>
      <c r="E11" s="28"/>
      <c r="F11" s="62"/>
      <c r="G11" s="62"/>
      <c r="H11" s="62"/>
      <c r="I11" s="63"/>
      <c r="J11" s="63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80" customFormat="1" ht="16.5" thickBot="1" x14ac:dyDescent="0.3">
      <c r="D12" s="4"/>
      <c r="E12" s="4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s="80" customFormat="1" ht="16.5" thickTop="1" x14ac:dyDescent="0.25">
      <c r="B13" s="229">
        <v>2</v>
      </c>
      <c r="C13" s="348"/>
      <c r="D13" s="82"/>
      <c r="E13" s="82"/>
      <c r="F13" s="82"/>
      <c r="G13" s="82"/>
      <c r="H13" s="82"/>
      <c r="I13" s="82"/>
      <c r="J13" s="83"/>
      <c r="K13" s="81"/>
      <c r="L13" s="81"/>
      <c r="M13" s="81"/>
      <c r="N13" s="81"/>
      <c r="O13" s="81"/>
      <c r="P13" s="81"/>
      <c r="Q13" s="81"/>
      <c r="R13" s="81"/>
      <c r="S13" s="81"/>
    </row>
    <row r="14" spans="1:19" s="65" customFormat="1" ht="19.5" x14ac:dyDescent="0.35">
      <c r="B14" s="84" t="s">
        <v>220</v>
      </c>
      <c r="C14" s="85"/>
      <c r="D14" s="86"/>
      <c r="E14" s="87"/>
      <c r="F14" s="87"/>
      <c r="G14" s="87"/>
      <c r="H14" s="87"/>
      <c r="I14" s="88"/>
      <c r="J14" s="89"/>
      <c r="K14" s="33"/>
      <c r="L14" s="33"/>
      <c r="M14" s="33"/>
      <c r="N14" s="33"/>
      <c r="O14" s="33"/>
      <c r="P14" s="33"/>
      <c r="Q14" s="33"/>
      <c r="R14" s="33"/>
      <c r="S14" s="33"/>
    </row>
    <row r="15" spans="1:19" s="65" customFormat="1" ht="19.5" x14ac:dyDescent="0.35">
      <c r="B15" s="90"/>
      <c r="C15" s="91"/>
      <c r="D15" s="91"/>
      <c r="E15" s="33"/>
      <c r="F15" s="92"/>
      <c r="G15" s="92"/>
      <c r="H15" s="92"/>
      <c r="I15" s="33"/>
      <c r="J15" s="66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65" customFormat="1" ht="19.5" x14ac:dyDescent="0.35">
      <c r="B16" s="84" t="s">
        <v>4</v>
      </c>
      <c r="C16" s="221"/>
      <c r="D16" s="221"/>
      <c r="E16" s="88"/>
      <c r="F16" s="87"/>
      <c r="G16" s="87"/>
      <c r="H16" s="88"/>
      <c r="I16" s="79"/>
      <c r="J16" s="89"/>
      <c r="K16" s="33"/>
      <c r="L16" s="33"/>
      <c r="M16" s="33"/>
      <c r="N16" s="33"/>
      <c r="O16" s="33"/>
      <c r="P16" s="33"/>
      <c r="Q16" s="33"/>
      <c r="R16" s="33"/>
    </row>
    <row r="17" spans="2:19" s="65" customFormat="1" ht="19.5" x14ac:dyDescent="0.35">
      <c r="B17" s="90"/>
      <c r="C17" s="91"/>
      <c r="D17" s="91"/>
      <c r="E17" s="33"/>
      <c r="F17" s="92"/>
      <c r="G17" s="92"/>
      <c r="H17" s="33"/>
      <c r="I17"/>
      <c r="J17" s="66"/>
      <c r="K17" s="33"/>
      <c r="L17" s="33"/>
      <c r="M17" s="33"/>
      <c r="N17" s="33"/>
      <c r="O17" s="33"/>
      <c r="P17" s="33"/>
      <c r="Q17" s="33"/>
      <c r="R17" s="33"/>
    </row>
    <row r="18" spans="2:19" s="65" customFormat="1" ht="19.5" x14ac:dyDescent="0.35">
      <c r="B18" s="90"/>
      <c r="C18" s="93" t="s">
        <v>5</v>
      </c>
      <c r="D18" s="94" t="s">
        <v>6</v>
      </c>
      <c r="E18" s="33"/>
      <c r="F18" s="92"/>
      <c r="G18" s="92"/>
      <c r="H18" s="92"/>
      <c r="I18" s="34"/>
      <c r="J18" s="66"/>
      <c r="K18" s="33"/>
      <c r="L18" s="33"/>
      <c r="M18" s="33"/>
      <c r="N18" s="33"/>
      <c r="O18" s="33"/>
      <c r="P18" s="33"/>
      <c r="Q18" s="33"/>
      <c r="R18" s="33"/>
      <c r="S18" s="33"/>
    </row>
    <row r="19" spans="2:19" s="57" customFormat="1" ht="11.25" x14ac:dyDescent="0.2">
      <c r="B19" s="184"/>
      <c r="C19" s="185"/>
      <c r="D19" s="185"/>
      <c r="E19" s="58"/>
      <c r="F19" s="186"/>
      <c r="G19" s="186"/>
      <c r="H19" s="186"/>
      <c r="I19" s="187"/>
      <c r="J19" s="188"/>
      <c r="K19" s="58"/>
      <c r="L19" s="58"/>
      <c r="M19" s="58"/>
      <c r="N19" s="58"/>
      <c r="O19" s="58"/>
      <c r="P19" s="58"/>
      <c r="Q19" s="58"/>
      <c r="R19" s="58"/>
      <c r="S19" s="58"/>
    </row>
    <row r="20" spans="2:19" s="65" customFormat="1" ht="19.5" x14ac:dyDescent="0.35">
      <c r="B20" s="90"/>
      <c r="C20" s="93"/>
      <c r="D20" s="93" t="s">
        <v>7</v>
      </c>
      <c r="E20" s="6" t="s">
        <v>8</v>
      </c>
      <c r="F20" s="92"/>
      <c r="G20" s="92"/>
      <c r="H20" s="92"/>
      <c r="I20" s="34">
        <f>'LI-03 (1)'!AA44</f>
        <v>1320090.44</v>
      </c>
      <c r="J20" s="66"/>
      <c r="K20" s="33"/>
      <c r="L20" s="33"/>
      <c r="M20" s="33"/>
      <c r="N20" s="33"/>
      <c r="O20" s="33"/>
      <c r="P20" s="33"/>
      <c r="Q20" s="33"/>
      <c r="R20" s="33"/>
      <c r="S20" s="33"/>
    </row>
    <row r="21" spans="2:19" s="65" customFormat="1" ht="19.5" x14ac:dyDescent="0.35">
      <c r="B21" s="90"/>
      <c r="C21" s="93"/>
      <c r="D21" s="91" t="s">
        <v>178</v>
      </c>
      <c r="E21" s="6" t="s">
        <v>179</v>
      </c>
      <c r="F21" s="92"/>
      <c r="G21" s="92"/>
      <c r="H21" s="92"/>
      <c r="I21" s="34">
        <f>'LI-DPEC-03 (1)'!AA44</f>
        <v>11258.76</v>
      </c>
      <c r="J21" s="66"/>
      <c r="K21" s="33"/>
      <c r="L21" s="33"/>
      <c r="M21" s="33"/>
      <c r="N21" s="33"/>
      <c r="O21" s="33"/>
      <c r="P21" s="33"/>
      <c r="Q21" s="33"/>
      <c r="R21" s="33"/>
      <c r="S21" s="33"/>
    </row>
    <row r="22" spans="2:19" s="80" customFormat="1" ht="15.75" x14ac:dyDescent="0.25">
      <c r="B22" s="189"/>
      <c r="C22" s="190"/>
      <c r="D22" s="191"/>
      <c r="E22" s="81"/>
      <c r="F22" s="192"/>
      <c r="G22" s="192"/>
      <c r="H22" s="192"/>
      <c r="I22" s="193"/>
      <c r="J22" s="194"/>
      <c r="K22" s="81"/>
      <c r="L22" s="81"/>
      <c r="M22" s="81"/>
      <c r="N22" s="81"/>
      <c r="O22" s="81"/>
      <c r="P22" s="81"/>
      <c r="Q22" s="81"/>
      <c r="R22" s="81"/>
      <c r="S22" s="81"/>
    </row>
    <row r="23" spans="2:19" s="65" customFormat="1" ht="19.5" x14ac:dyDescent="0.35">
      <c r="B23" s="90"/>
      <c r="C23" s="93" t="s">
        <v>9</v>
      </c>
      <c r="D23" s="94" t="s">
        <v>10</v>
      </c>
      <c r="E23" s="33"/>
      <c r="F23" s="92"/>
      <c r="G23" s="92"/>
      <c r="H23" s="92"/>
      <c r="I23" s="34"/>
      <c r="J23" s="66"/>
      <c r="K23" s="33"/>
      <c r="L23" s="33"/>
      <c r="M23" s="33"/>
      <c r="N23" s="33"/>
      <c r="O23" s="33"/>
      <c r="P23" s="33"/>
      <c r="Q23" s="33"/>
      <c r="R23" s="33"/>
      <c r="S23" s="33"/>
    </row>
    <row r="24" spans="2:19" s="57" customFormat="1" ht="10.5" customHeight="1" x14ac:dyDescent="0.2">
      <c r="B24" s="184"/>
      <c r="C24" s="185"/>
      <c r="D24" s="185"/>
      <c r="E24" s="58"/>
      <c r="F24" s="186"/>
      <c r="G24" s="186"/>
      <c r="H24" s="186"/>
      <c r="I24" s="187"/>
      <c r="J24" s="188"/>
      <c r="K24" s="58"/>
      <c r="L24" s="58"/>
      <c r="M24" s="58"/>
      <c r="N24" s="58"/>
      <c r="O24" s="58"/>
      <c r="P24" s="58"/>
      <c r="Q24" s="58"/>
      <c r="R24" s="58"/>
      <c r="S24" s="58"/>
    </row>
    <row r="25" spans="2:19" s="65" customFormat="1" ht="19.5" x14ac:dyDescent="0.35">
      <c r="B25" s="90"/>
      <c r="C25" s="93"/>
      <c r="D25" s="93" t="s">
        <v>11</v>
      </c>
      <c r="E25" s="6" t="s">
        <v>12</v>
      </c>
      <c r="F25" s="92"/>
      <c r="G25" s="92"/>
      <c r="H25" s="92"/>
      <c r="I25" s="34"/>
      <c r="J25" s="66"/>
      <c r="K25" s="33"/>
      <c r="L25" s="33"/>
      <c r="M25" s="33"/>
      <c r="N25" s="33"/>
      <c r="O25" s="33"/>
      <c r="P25" s="33"/>
      <c r="Q25" s="33"/>
      <c r="R25" s="33"/>
      <c r="S25" s="33"/>
    </row>
    <row r="26" spans="2:19" s="65" customFormat="1" ht="19.5" x14ac:dyDescent="0.35">
      <c r="B26" s="90"/>
      <c r="C26" s="93"/>
      <c r="E26" s="93" t="s">
        <v>109</v>
      </c>
      <c r="F26" s="6" t="s">
        <v>8</v>
      </c>
      <c r="G26" s="92"/>
      <c r="H26" s="92"/>
      <c r="I26" s="34">
        <f>'T-03 (1)'!AC43</f>
        <v>71705.350000000006</v>
      </c>
      <c r="J26" s="66"/>
      <c r="K26" s="33"/>
      <c r="L26" s="33"/>
      <c r="M26" s="33"/>
      <c r="N26" s="33"/>
      <c r="O26" s="33"/>
      <c r="P26" s="33"/>
      <c r="Q26" s="33"/>
      <c r="R26" s="33"/>
      <c r="S26" s="33"/>
    </row>
    <row r="27" spans="2:19" s="57" customFormat="1" ht="19.5" customHeight="1" x14ac:dyDescent="0.3">
      <c r="B27" s="184"/>
      <c r="C27" s="185"/>
      <c r="D27" s="91" t="s">
        <v>226</v>
      </c>
      <c r="E27" s="6" t="s">
        <v>227</v>
      </c>
      <c r="F27" s="186"/>
      <c r="G27" s="186"/>
      <c r="H27" s="186"/>
      <c r="I27" s="34"/>
      <c r="J27" s="188"/>
      <c r="K27" s="58"/>
      <c r="L27" s="58"/>
      <c r="M27" s="58"/>
      <c r="N27" s="58"/>
      <c r="O27" s="58"/>
      <c r="P27" s="58"/>
      <c r="Q27" s="58"/>
      <c r="R27" s="58"/>
      <c r="S27" s="58"/>
    </row>
    <row r="28" spans="2:19" s="57" customFormat="1" ht="19.5" customHeight="1" x14ac:dyDescent="0.3">
      <c r="B28" s="184"/>
      <c r="C28" s="185"/>
      <c r="D28" s="65"/>
      <c r="E28" s="91" t="s">
        <v>228</v>
      </c>
      <c r="F28" s="6" t="s">
        <v>8</v>
      </c>
      <c r="G28" s="186"/>
      <c r="H28" s="186"/>
      <c r="I28" s="34">
        <f>'SA-03 (1)'!V43</f>
        <v>10534.4</v>
      </c>
      <c r="J28" s="188"/>
      <c r="K28" s="58"/>
      <c r="L28" s="58"/>
      <c r="M28" s="58"/>
      <c r="N28" s="58"/>
      <c r="O28" s="58"/>
      <c r="P28" s="58"/>
      <c r="Q28" s="58"/>
      <c r="R28" s="58"/>
      <c r="S28" s="58"/>
    </row>
    <row r="29" spans="2:19" s="57" customFormat="1" ht="19.5" customHeight="1" x14ac:dyDescent="0.3">
      <c r="B29" s="184"/>
      <c r="C29" s="185"/>
      <c r="D29" s="185"/>
      <c r="E29" s="58"/>
      <c r="F29" s="186"/>
      <c r="G29" s="186"/>
      <c r="H29" s="186"/>
      <c r="I29" s="34"/>
      <c r="J29" s="188"/>
      <c r="K29" s="58"/>
      <c r="L29" s="58"/>
      <c r="M29" s="58"/>
      <c r="N29" s="58"/>
      <c r="O29" s="58"/>
      <c r="P29" s="58"/>
      <c r="Q29" s="58"/>
      <c r="R29" s="58"/>
      <c r="S29" s="58"/>
    </row>
    <row r="30" spans="2:19" s="57" customFormat="1" ht="19.5" customHeight="1" x14ac:dyDescent="0.3">
      <c r="B30" s="184"/>
      <c r="C30" s="91" t="s">
        <v>180</v>
      </c>
      <c r="D30" s="469" t="s">
        <v>181</v>
      </c>
      <c r="E30" s="58"/>
      <c r="F30" s="186"/>
      <c r="G30" s="186"/>
      <c r="H30" s="186"/>
      <c r="I30" s="34"/>
      <c r="J30" s="188"/>
      <c r="K30" s="58"/>
      <c r="L30" s="58"/>
      <c r="M30" s="58"/>
      <c r="N30" s="58"/>
      <c r="O30" s="58"/>
      <c r="P30" s="58"/>
      <c r="Q30" s="58"/>
      <c r="R30" s="58"/>
      <c r="S30" s="58"/>
    </row>
    <row r="31" spans="2:19" s="57" customFormat="1" ht="8.25" customHeight="1" x14ac:dyDescent="0.3">
      <c r="B31" s="184"/>
      <c r="C31" s="91"/>
      <c r="D31" s="469"/>
      <c r="E31" s="58"/>
      <c r="F31" s="186"/>
      <c r="G31" s="186"/>
      <c r="H31" s="186"/>
      <c r="I31" s="34"/>
      <c r="J31" s="188"/>
      <c r="K31" s="58"/>
      <c r="L31" s="58"/>
      <c r="M31" s="58"/>
      <c r="N31" s="58"/>
      <c r="O31" s="58"/>
      <c r="P31" s="58"/>
      <c r="Q31" s="58"/>
      <c r="R31" s="58"/>
      <c r="S31" s="58"/>
    </row>
    <row r="32" spans="2:19" s="57" customFormat="1" ht="19.5" customHeight="1" x14ac:dyDescent="0.3">
      <c r="B32" s="184"/>
      <c r="C32" s="91"/>
      <c r="D32" s="91" t="s">
        <v>182</v>
      </c>
      <c r="E32" s="6" t="s">
        <v>179</v>
      </c>
      <c r="F32" s="186"/>
      <c r="G32" s="186"/>
      <c r="H32" s="186"/>
      <c r="I32" s="34">
        <f>'SUP-DPEC'!I63</f>
        <v>2813.847338545771</v>
      </c>
      <c r="J32" s="188"/>
      <c r="K32" s="58"/>
      <c r="L32" s="58"/>
      <c r="M32" s="58"/>
      <c r="N32" s="58"/>
      <c r="O32" s="58"/>
      <c r="P32" s="58"/>
      <c r="Q32" s="58"/>
      <c r="R32" s="58"/>
      <c r="S32" s="58"/>
    </row>
    <row r="33" spans="2:19" s="57" customFormat="1" ht="19.5" customHeight="1" x14ac:dyDescent="0.3">
      <c r="B33" s="184"/>
      <c r="C33" s="185"/>
      <c r="D33" s="185"/>
      <c r="E33" s="58"/>
      <c r="F33" s="186"/>
      <c r="G33" s="186"/>
      <c r="H33" s="186"/>
      <c r="I33" s="34"/>
      <c r="J33" s="188"/>
      <c r="K33" s="58"/>
      <c r="L33" s="58"/>
      <c r="M33" s="58"/>
      <c r="N33" s="58"/>
      <c r="O33" s="58"/>
      <c r="P33" s="58"/>
      <c r="Q33" s="58"/>
      <c r="R33" s="58"/>
      <c r="S33" s="58"/>
    </row>
    <row r="34" spans="2:19" s="65" customFormat="1" ht="19.5" x14ac:dyDescent="0.35">
      <c r="B34" s="90"/>
      <c r="C34" s="93"/>
      <c r="D34" s="93"/>
      <c r="E34" s="6"/>
      <c r="F34" s="92"/>
      <c r="G34" s="92"/>
      <c r="H34" s="92"/>
      <c r="I34" s="34"/>
      <c r="J34" s="66"/>
      <c r="K34" s="33"/>
      <c r="L34" s="33"/>
      <c r="M34" s="33"/>
      <c r="N34" s="33"/>
      <c r="O34" s="33"/>
      <c r="P34" s="33"/>
      <c r="Q34" s="33"/>
      <c r="R34" s="33"/>
      <c r="S34" s="33"/>
    </row>
    <row r="35" spans="2:19" s="65" customFormat="1" ht="20.25" thickBot="1" x14ac:dyDescent="0.4">
      <c r="B35" s="90"/>
      <c r="C35" s="91"/>
      <c r="D35" s="91"/>
      <c r="E35" s="33"/>
      <c r="F35" s="92"/>
      <c r="G35" s="92"/>
      <c r="H35" s="92"/>
      <c r="I35" s="33"/>
      <c r="J35" s="66"/>
      <c r="K35" s="33"/>
      <c r="L35" s="33"/>
      <c r="M35" s="33"/>
      <c r="N35" s="33"/>
      <c r="O35" s="33"/>
      <c r="P35" s="33"/>
      <c r="Q35" s="33"/>
      <c r="R35" s="33"/>
      <c r="S35" s="33"/>
    </row>
    <row r="36" spans="2:19" s="65" customFormat="1" ht="20.25" thickTop="1" thickBot="1" x14ac:dyDescent="0.35">
      <c r="B36" s="90"/>
      <c r="C36" s="93"/>
      <c r="D36" s="93"/>
      <c r="F36" s="95" t="s">
        <v>13</v>
      </c>
      <c r="G36" s="55">
        <f>SUM(I20:I32)</f>
        <v>1416402.7973385458</v>
      </c>
      <c r="H36" s="195"/>
      <c r="J36" s="66"/>
      <c r="K36" s="33"/>
      <c r="L36" s="33"/>
      <c r="M36" s="33"/>
      <c r="N36" s="33"/>
      <c r="O36" s="33"/>
      <c r="P36" s="33"/>
      <c r="Q36" s="33"/>
      <c r="R36" s="33"/>
      <c r="S36" s="33"/>
    </row>
    <row r="37" spans="2:19" s="65" customFormat="1" ht="19.5" thickTop="1" x14ac:dyDescent="0.3">
      <c r="B37" s="90"/>
      <c r="C37" s="93"/>
      <c r="D37" s="93"/>
      <c r="F37" s="367"/>
      <c r="G37" s="195"/>
      <c r="H37" s="195"/>
      <c r="J37" s="66"/>
      <c r="K37" s="33"/>
      <c r="L37" s="33"/>
      <c r="M37" s="33"/>
      <c r="N37" s="33"/>
      <c r="O37" s="33"/>
      <c r="P37" s="33"/>
      <c r="Q37" s="33"/>
      <c r="R37" s="33"/>
      <c r="S37" s="33"/>
    </row>
    <row r="38" spans="2:19" s="65" customFormat="1" ht="18.75" x14ac:dyDescent="0.3">
      <c r="B38" s="90"/>
      <c r="C38" s="368"/>
      <c r="D38" s="93"/>
      <c r="F38" s="367"/>
      <c r="G38" s="195"/>
      <c r="H38" s="195"/>
      <c r="J38" s="66"/>
      <c r="K38" s="33"/>
      <c r="L38" s="33"/>
      <c r="M38" s="33"/>
      <c r="N38" s="33"/>
      <c r="O38" s="33"/>
      <c r="P38" s="33"/>
      <c r="Q38" s="33"/>
      <c r="R38" s="33"/>
      <c r="S38" s="33"/>
    </row>
    <row r="39" spans="2:19" s="80" customFormat="1" ht="16.5" thickBot="1" x14ac:dyDescent="0.3">
      <c r="B39" s="96"/>
      <c r="C39" s="97"/>
      <c r="D39" s="97"/>
      <c r="E39" s="98"/>
      <c r="F39" s="98"/>
      <c r="G39" s="98"/>
      <c r="H39" s="98"/>
      <c r="I39" s="98"/>
      <c r="J39" s="99"/>
      <c r="K39" s="81"/>
      <c r="L39" s="81"/>
      <c r="M39" s="100"/>
      <c r="N39" s="101"/>
      <c r="O39" s="101"/>
      <c r="P39" s="102"/>
      <c r="Q39" s="103"/>
      <c r="R39" s="81"/>
      <c r="S39" s="81"/>
    </row>
    <row r="40" spans="2:19" ht="13.5" thickTop="1" x14ac:dyDescent="0.2">
      <c r="D40" s="5"/>
      <c r="F40" s="5"/>
      <c r="G40" s="5"/>
      <c r="H40" s="5"/>
      <c r="I40" s="5"/>
      <c r="J40" s="5"/>
      <c r="K40" s="5"/>
      <c r="L40" s="5"/>
      <c r="M40" s="23"/>
      <c r="N40" s="104"/>
      <c r="O40" s="104"/>
      <c r="P40" s="5"/>
      <c r="Q40" s="26"/>
      <c r="R40" s="5"/>
      <c r="S40" s="5"/>
    </row>
    <row r="41" spans="2:19" x14ac:dyDescent="0.2">
      <c r="D41" s="5"/>
      <c r="F41" s="5"/>
      <c r="G41" s="5"/>
      <c r="H41" s="5"/>
      <c r="I41" s="5"/>
      <c r="J41" s="5"/>
      <c r="K41" s="5"/>
      <c r="L41" s="5"/>
      <c r="M41" s="5"/>
      <c r="N41" s="70"/>
      <c r="O41" s="70"/>
      <c r="P41" s="71"/>
      <c r="Q41" s="26"/>
      <c r="R41" s="5"/>
      <c r="S41" s="5"/>
    </row>
    <row r="42" spans="2:19" x14ac:dyDescent="0.2">
      <c r="D42" s="5"/>
      <c r="E42" s="5"/>
      <c r="F42" s="5"/>
      <c r="G42" s="5"/>
      <c r="H42" s="5"/>
      <c r="I42" s="5"/>
      <c r="J42" s="5"/>
      <c r="K42" s="5"/>
      <c r="L42" s="5"/>
      <c r="M42" s="5"/>
      <c r="N42" s="70"/>
      <c r="O42" s="70"/>
      <c r="P42" s="71"/>
      <c r="Q42" s="26"/>
      <c r="R42" s="5"/>
      <c r="S42" s="5"/>
    </row>
    <row r="43" spans="2:19" x14ac:dyDescent="0.2">
      <c r="D43" s="5"/>
      <c r="E43" s="5"/>
      <c r="L43" s="5"/>
      <c r="M43" s="5"/>
      <c r="N43" s="5"/>
      <c r="O43" s="5"/>
      <c r="P43" s="5"/>
      <c r="Q43" s="5"/>
      <c r="R43" s="5"/>
      <c r="S43" s="5"/>
    </row>
    <row r="44" spans="2:19" x14ac:dyDescent="0.2">
      <c r="D44" s="5"/>
      <c r="E44" s="5"/>
      <c r="P44" s="5"/>
      <c r="Q44" s="5"/>
      <c r="R44" s="5"/>
      <c r="S44" s="5"/>
    </row>
    <row r="45" spans="2:19" x14ac:dyDescent="0.2">
      <c r="D45" s="5"/>
      <c r="E45" s="5"/>
      <c r="P45" s="5"/>
      <c r="Q45" s="5"/>
      <c r="R45" s="5"/>
      <c r="S45" s="5"/>
    </row>
    <row r="46" spans="2:19" x14ac:dyDescent="0.2">
      <c r="D46" s="5"/>
      <c r="E46" s="5"/>
      <c r="P46" s="5"/>
      <c r="Q46" s="5"/>
      <c r="R46" s="5"/>
      <c r="S46" s="5"/>
    </row>
    <row r="47" spans="2:19" x14ac:dyDescent="0.2">
      <c r="D47" s="5"/>
      <c r="E47" s="5"/>
      <c r="P47" s="5"/>
      <c r="Q47" s="5"/>
      <c r="R47" s="5"/>
      <c r="S47" s="5"/>
    </row>
    <row r="48" spans="2:19" x14ac:dyDescent="0.2">
      <c r="D48" s="5"/>
      <c r="E48" s="5"/>
      <c r="P48" s="5"/>
      <c r="Q48" s="5"/>
      <c r="R48" s="5"/>
      <c r="S48" s="5"/>
    </row>
    <row r="49" spans="16:19" x14ac:dyDescent="0.2">
      <c r="P49" s="5"/>
      <c r="Q49" s="5"/>
      <c r="R49" s="5"/>
      <c r="S49" s="5"/>
    </row>
    <row r="50" spans="16:19" x14ac:dyDescent="0.2">
      <c r="P50" s="5"/>
      <c r="Q50" s="5"/>
      <c r="R50" s="5"/>
      <c r="S50" s="5"/>
    </row>
  </sheetData>
  <phoneticPr fontId="0" type="noConversion"/>
  <printOptions horizontalCentered="1"/>
  <pageMargins left="0.19685039370078741" right="0" top="0.39370078740157483" bottom="0.78740157480314965" header="0.51181102362204722" footer="0.51181102362204722"/>
  <pageSetup paperSize="9" scale="76" orientation="landscape" r:id="rId1"/>
  <headerFooter alignWithMargins="0">
    <oddFooter>&amp;L&amp;"Times New Roman,Normal"&amp;8&amp;Z&amp;F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pageSetUpPr fitToPage="1"/>
  </sheetPr>
  <dimension ref="A1:AB92"/>
  <sheetViews>
    <sheetView topLeftCell="A16" zoomScale="80" zoomScaleNormal="80" workbookViewId="0">
      <selection activeCell="D9" sqref="D9"/>
    </sheetView>
  </sheetViews>
  <sheetFormatPr baseColWidth="10" defaultRowHeight="12.75" x14ac:dyDescent="0.2"/>
  <cols>
    <col min="1" max="3" width="4.140625" customWidth="1"/>
    <col min="4" max="5" width="13.7109375" customWidth="1"/>
    <col min="6" max="6" width="46.42578125" customWidth="1"/>
    <col min="7" max="7" width="8.7109375" customWidth="1"/>
    <col min="8" max="8" width="9.7109375" customWidth="1"/>
    <col min="9" max="9" width="12.7109375" hidden="1" customWidth="1"/>
    <col min="10" max="11" width="16.42578125" customWidth="1"/>
    <col min="12" max="14" width="9.7109375" customWidth="1"/>
    <col min="15" max="15" width="7.7109375" customWidth="1"/>
    <col min="16" max="17" width="15.140625" hidden="1" customWidth="1"/>
    <col min="18" max="18" width="12.5703125" hidden="1" customWidth="1"/>
    <col min="19" max="19" width="15.28515625" hidden="1" customWidth="1"/>
    <col min="20" max="23" width="12.5703125" hidden="1" customWidth="1"/>
    <col min="24" max="24" width="14.42578125" hidden="1" customWidth="1"/>
    <col min="25" max="25" width="14.7109375" hidden="1" customWidth="1"/>
    <col min="26" max="26" width="9.7109375" customWidth="1"/>
    <col min="27" max="27" width="15.7109375" customWidth="1"/>
    <col min="28" max="28" width="4.140625" customWidth="1"/>
  </cols>
  <sheetData>
    <row r="1" spans="1:28" s="59" customFormat="1" ht="29.25" customHeight="1" x14ac:dyDescent="0.4">
      <c r="AB1" s="351"/>
    </row>
    <row r="2" spans="1:28" s="59" customFormat="1" ht="26.25" x14ac:dyDescent="0.4">
      <c r="B2" s="361" t="str">
        <f>+'TOT-0316'!B2</f>
        <v>ANEXO III al Memorandum D.T.E.E. N°  294  / 2017</v>
      </c>
      <c r="C2" s="60"/>
      <c r="D2" s="60"/>
      <c r="E2" s="60"/>
      <c r="F2" s="60"/>
      <c r="G2" s="7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7" customFormat="1" x14ac:dyDescent="0.2"/>
    <row r="4" spans="1:28" s="57" customFormat="1" ht="11.25" x14ac:dyDescent="0.2">
      <c r="A4" s="379" t="s">
        <v>117</v>
      </c>
      <c r="B4" s="124"/>
      <c r="C4" s="379"/>
    </row>
    <row r="5" spans="1:28" s="57" customFormat="1" ht="11.25" x14ac:dyDescent="0.2">
      <c r="A5" s="379" t="s">
        <v>231</v>
      </c>
      <c r="B5" s="124"/>
      <c r="C5" s="124"/>
    </row>
    <row r="6" spans="1:28" s="7" customFormat="1" ht="13.5" thickBot="1" x14ac:dyDescent="0.25"/>
    <row r="7" spans="1:28" s="7" customFormat="1" ht="13.5" thickTop="1" x14ac:dyDescent="0.2">
      <c r="A7" s="5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s="61" customFormat="1" ht="20.25" x14ac:dyDescent="0.3">
      <c r="A8" s="56"/>
      <c r="B8" s="118"/>
      <c r="F8" s="16" t="s">
        <v>14</v>
      </c>
      <c r="G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64"/>
    </row>
    <row r="9" spans="1:28" s="7" customFormat="1" x14ac:dyDescent="0.2">
      <c r="A9" s="5"/>
      <c r="B9" s="32"/>
      <c r="C9" s="68"/>
      <c r="D9" s="68"/>
      <c r="E9" s="68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</row>
    <row r="10" spans="1:28" s="61" customFormat="1" ht="20.25" x14ac:dyDescent="0.3">
      <c r="A10" s="56"/>
      <c r="B10" s="118"/>
      <c r="F10" s="16" t="s">
        <v>15</v>
      </c>
      <c r="G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4"/>
    </row>
    <row r="11" spans="1:28" s="7" customFormat="1" x14ac:dyDescent="0.2">
      <c r="A11" s="5"/>
      <c r="B11" s="32"/>
      <c r="C11" s="68"/>
      <c r="D11" s="68"/>
      <c r="E11" s="68"/>
      <c r="G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</row>
    <row r="12" spans="1:28" s="61" customFormat="1" ht="20.25" x14ac:dyDescent="0.3">
      <c r="A12" s="56"/>
      <c r="B12" s="118"/>
      <c r="F12" s="16" t="s">
        <v>16</v>
      </c>
      <c r="G12" s="16"/>
      <c r="H12" s="56"/>
      <c r="I12" s="119"/>
      <c r="J12" s="119"/>
      <c r="K12" s="119"/>
      <c r="L12" s="119"/>
      <c r="M12" s="119"/>
      <c r="N12" s="119"/>
      <c r="O12" s="11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4"/>
    </row>
    <row r="13" spans="1:28" s="7" customFormat="1" x14ac:dyDescent="0.2">
      <c r="A13" s="5"/>
      <c r="B13" s="32"/>
      <c r="C13" s="5"/>
      <c r="D13" s="5"/>
      <c r="E13" s="5"/>
      <c r="F13" s="116"/>
      <c r="G13" s="115"/>
      <c r="H13" s="5"/>
      <c r="I13" s="106"/>
      <c r="J13" s="106"/>
      <c r="K13" s="106"/>
      <c r="L13" s="106"/>
      <c r="M13" s="106"/>
      <c r="N13" s="106"/>
      <c r="O13" s="10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</row>
    <row r="14" spans="1:28" s="65" customFormat="1" ht="19.5" x14ac:dyDescent="0.35">
      <c r="A14" s="33"/>
      <c r="B14" s="355" t="str">
        <f>+'TOT-0316'!B14</f>
        <v>Desde el 01 al 31 de Marzo de 2016</v>
      </c>
      <c r="C14" s="88"/>
      <c r="D14" s="88"/>
      <c r="E14" s="88"/>
      <c r="F14" s="88"/>
      <c r="G14" s="120"/>
      <c r="H14" s="121"/>
      <c r="I14" s="122"/>
      <c r="J14" s="123"/>
      <c r="K14" s="122"/>
      <c r="L14" s="122"/>
      <c r="M14" s="122"/>
      <c r="N14" s="122"/>
      <c r="O14" s="122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</row>
    <row r="15" spans="1:28" s="7" customFormat="1" ht="13.5" thickBot="1" x14ac:dyDescent="0.25">
      <c r="A15" s="5"/>
      <c r="B15" s="32"/>
      <c r="C15" s="5"/>
      <c r="D15" s="5"/>
      <c r="E15" s="5"/>
      <c r="F15" s="5"/>
      <c r="G15" s="115"/>
      <c r="H15" s="117"/>
      <c r="I15" s="106"/>
      <c r="J15" s="106"/>
      <c r="K15" s="106"/>
      <c r="L15" s="106"/>
      <c r="M15" s="106"/>
      <c r="N15" s="106"/>
      <c r="O15" s="10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</row>
    <row r="16" spans="1:28" s="7" customFormat="1" ht="14.25" thickTop="1" thickBot="1" x14ac:dyDescent="0.25">
      <c r="A16" s="5"/>
      <c r="B16" s="32"/>
      <c r="C16" s="5"/>
      <c r="D16" s="5"/>
      <c r="E16" s="5"/>
      <c r="F16" s="125" t="s">
        <v>17</v>
      </c>
      <c r="G16" s="354">
        <v>360.92500000000001</v>
      </c>
      <c r="H16" s="212"/>
      <c r="I16" s="106"/>
      <c r="J16" s="106"/>
      <c r="K16" s="106"/>
      <c r="L16" s="106"/>
      <c r="M16" s="106"/>
      <c r="N16" s="106"/>
      <c r="O16" s="10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</row>
    <row r="17" spans="1:28" s="7" customFormat="1" ht="14.25" thickTop="1" thickBot="1" x14ac:dyDescent="0.25">
      <c r="A17" s="5"/>
      <c r="B17" s="32"/>
      <c r="C17" s="5"/>
      <c r="D17" s="5"/>
      <c r="E17" s="5"/>
      <c r="F17" s="125" t="s">
        <v>18</v>
      </c>
      <c r="G17" s="354">
        <v>345.49299999999999</v>
      </c>
      <c r="H17" s="213"/>
      <c r="I17" s="5"/>
      <c r="J17" s="105"/>
      <c r="K17" s="126" t="s">
        <v>19</v>
      </c>
      <c r="L17" s="127">
        <f>30*'TOT-0316'!B13</f>
        <v>60</v>
      </c>
      <c r="M17" s="183" t="str">
        <f>IF(L17=30," ",IF(L17=60,"Coeficiente duplicado por tasa de falla &gt;4 Sal. x año/100 km.","REVISAR COEFICIENTE"))</f>
        <v>Coeficiente duplicado por tasa de falla &gt;4 Sal. x año/100 km.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</row>
    <row r="18" spans="1:28" s="7" customFormat="1" ht="14.25" thickTop="1" thickBot="1" x14ac:dyDescent="0.25">
      <c r="A18" s="5"/>
      <c r="B18" s="32"/>
      <c r="C18" s="5"/>
      <c r="D18" s="5"/>
      <c r="E18" s="5"/>
      <c r="F18" s="388" t="s">
        <v>161</v>
      </c>
      <c r="G18" s="354">
        <v>345.49299999999999</v>
      </c>
      <c r="H18" s="213"/>
      <c r="I18" s="5"/>
      <c r="J18" s="5"/>
      <c r="K18" s="5"/>
      <c r="L18" s="69"/>
      <c r="M18" s="10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</row>
    <row r="19" spans="1:28" s="7" customFormat="1" ht="14.25" thickTop="1" thickBot="1" x14ac:dyDescent="0.25">
      <c r="A19" s="5"/>
      <c r="B19" s="32"/>
      <c r="C19" s="386">
        <v>3</v>
      </c>
      <c r="D19" s="386">
        <v>4</v>
      </c>
      <c r="E19" s="386">
        <v>5</v>
      </c>
      <c r="F19" s="386">
        <v>6</v>
      </c>
      <c r="G19" s="386">
        <v>7</v>
      </c>
      <c r="H19" s="386">
        <v>8</v>
      </c>
      <c r="I19" s="386">
        <v>9</v>
      </c>
      <c r="J19" s="386">
        <v>10</v>
      </c>
      <c r="K19" s="386">
        <v>11</v>
      </c>
      <c r="L19" s="386">
        <v>12</v>
      </c>
      <c r="M19" s="386">
        <v>13</v>
      </c>
      <c r="N19" s="386">
        <v>14</v>
      </c>
      <c r="O19" s="386">
        <v>15</v>
      </c>
      <c r="P19" s="386">
        <v>16</v>
      </c>
      <c r="Q19" s="386">
        <v>17</v>
      </c>
      <c r="R19" s="386">
        <v>18</v>
      </c>
      <c r="S19" s="386">
        <v>19</v>
      </c>
      <c r="T19" s="386">
        <v>20</v>
      </c>
      <c r="U19" s="386">
        <v>21</v>
      </c>
      <c r="V19" s="386">
        <v>22</v>
      </c>
      <c r="W19" s="386">
        <v>23</v>
      </c>
      <c r="X19" s="386">
        <v>24</v>
      </c>
      <c r="Y19" s="386">
        <v>25</v>
      </c>
      <c r="Z19" s="386">
        <v>26</v>
      </c>
      <c r="AA19" s="386">
        <v>27</v>
      </c>
      <c r="AB19" s="8"/>
    </row>
    <row r="20" spans="1:28" s="7" customFormat="1" ht="33.950000000000003" customHeight="1" thickTop="1" thickBot="1" x14ac:dyDescent="0.25">
      <c r="A20" s="5"/>
      <c r="B20" s="32"/>
      <c r="C20" s="131" t="s">
        <v>20</v>
      </c>
      <c r="D20" s="131" t="s">
        <v>115</v>
      </c>
      <c r="E20" s="131" t="s">
        <v>116</v>
      </c>
      <c r="F20" s="132" t="s">
        <v>6</v>
      </c>
      <c r="G20" s="133" t="s">
        <v>21</v>
      </c>
      <c r="H20" s="133" t="s">
        <v>22</v>
      </c>
      <c r="I20" s="222" t="s">
        <v>23</v>
      </c>
      <c r="J20" s="132" t="s">
        <v>24</v>
      </c>
      <c r="K20" s="132" t="s">
        <v>25</v>
      </c>
      <c r="L20" s="133" t="s">
        <v>26</v>
      </c>
      <c r="M20" s="133" t="s">
        <v>27</v>
      </c>
      <c r="N20" s="133" t="s">
        <v>28</v>
      </c>
      <c r="O20" s="133" t="s">
        <v>29</v>
      </c>
      <c r="P20" s="237" t="s">
        <v>30</v>
      </c>
      <c r="Q20" s="241" t="s">
        <v>31</v>
      </c>
      <c r="R20" s="224" t="s">
        <v>32</v>
      </c>
      <c r="S20" s="225"/>
      <c r="T20" s="226"/>
      <c r="U20" s="260" t="s">
        <v>33</v>
      </c>
      <c r="V20" s="261"/>
      <c r="W20" s="262"/>
      <c r="X20" s="276" t="s">
        <v>34</v>
      </c>
      <c r="Y20" s="282" t="s">
        <v>35</v>
      </c>
      <c r="Z20" s="220" t="s">
        <v>36</v>
      </c>
      <c r="AA20" s="135" t="s">
        <v>37</v>
      </c>
      <c r="AB20" s="8"/>
    </row>
    <row r="21" spans="1:28" s="7" customFormat="1" ht="16.5" thickTop="1" thickBot="1" x14ac:dyDescent="0.3">
      <c r="A21" s="5"/>
      <c r="B21" s="32"/>
      <c r="C21" s="108"/>
      <c r="D21" s="108"/>
      <c r="E21" s="108"/>
      <c r="F21" s="110"/>
      <c r="G21" s="109"/>
      <c r="H21" s="109"/>
      <c r="I21" s="230"/>
      <c r="J21" s="109"/>
      <c r="K21" s="110"/>
      <c r="L21" s="110"/>
      <c r="M21" s="110"/>
      <c r="N21" s="109"/>
      <c r="O21" s="109"/>
      <c r="P21" s="238"/>
      <c r="Q21" s="245"/>
      <c r="R21" s="247"/>
      <c r="S21" s="248"/>
      <c r="T21" s="249"/>
      <c r="U21" s="263"/>
      <c r="V21" s="264"/>
      <c r="W21" s="265"/>
      <c r="X21" s="277"/>
      <c r="Y21" s="283"/>
      <c r="Z21" s="111"/>
      <c r="AA21" s="350"/>
      <c r="AB21" s="8"/>
    </row>
    <row r="22" spans="1:28" s="7" customFormat="1" ht="16.5" thickTop="1" thickBot="1" x14ac:dyDescent="0.3">
      <c r="A22" s="5"/>
      <c r="B22" s="32"/>
      <c r="C22" s="108"/>
      <c r="D22" s="108"/>
      <c r="E22" s="108"/>
      <c r="F22" s="356"/>
      <c r="G22" s="356"/>
      <c r="H22" s="356"/>
      <c r="I22" s="231"/>
      <c r="J22" s="356"/>
      <c r="K22" s="38"/>
      <c r="L22" s="129"/>
      <c r="M22" s="129"/>
      <c r="N22" s="356"/>
      <c r="O22" s="356"/>
      <c r="P22" s="238"/>
      <c r="Q22" s="243"/>
      <c r="R22" s="250"/>
      <c r="S22" s="251"/>
      <c r="T22" s="252"/>
      <c r="U22" s="266"/>
      <c r="V22" s="267"/>
      <c r="W22" s="268"/>
      <c r="X22" s="278"/>
      <c r="Y22" s="284"/>
      <c r="Z22" s="128"/>
      <c r="AA22" s="236"/>
      <c r="AB22" s="8"/>
    </row>
    <row r="23" spans="1:28" s="7" customFormat="1" ht="16.5" thickTop="1" thickBot="1" x14ac:dyDescent="0.3">
      <c r="A23" s="5"/>
      <c r="B23" s="32"/>
      <c r="C23" s="38">
        <v>1</v>
      </c>
      <c r="D23" s="38">
        <v>261606</v>
      </c>
      <c r="E23" s="38">
        <v>748</v>
      </c>
      <c r="F23" s="39" t="s">
        <v>138</v>
      </c>
      <c r="G23" s="39">
        <v>132</v>
      </c>
      <c r="H23" s="234">
        <v>42</v>
      </c>
      <c r="I23" s="232">
        <f>IF(H23&gt;25,H23,25)*IF(G23=220,$G$16,IF(G23=132,$G$17,$G$18))/100</f>
        <v>145.10705999999999</v>
      </c>
      <c r="J23" s="40">
        <v>42430</v>
      </c>
      <c r="K23" s="40">
        <v>42460.999988425923</v>
      </c>
      <c r="L23" s="9">
        <f>IF(F23="","",(K23-J23)*24)</f>
        <v>743.99972222215729</v>
      </c>
      <c r="M23" s="10">
        <f>IF(F23="","",ROUND((K23-J23)*24*60,0))</f>
        <v>44640</v>
      </c>
      <c r="N23" s="41" t="s">
        <v>139</v>
      </c>
      <c r="O23" s="42" t="str">
        <f>IF(F23="","","--")</f>
        <v>--</v>
      </c>
      <c r="P23" s="239">
        <f>IF(N23="P",ROUND(M23/60,2)*I23*$L$17*0.01,"--")</f>
        <v>64775.791583999991</v>
      </c>
      <c r="Q23" s="244" t="str">
        <f>IF(N23="RP",ROUND(M23/60,2)*I23*$L$17*0.01*O23/100,"--")</f>
        <v>--</v>
      </c>
      <c r="R23" s="253" t="str">
        <f>IF(N23="F",I23*$L$17,"--")</f>
        <v>--</v>
      </c>
      <c r="S23" s="254" t="str">
        <f>IF(AND(M23&gt;10,N23="F"),I23*$L$17*IF(M23&gt;180,3,ROUND(M23/60,2)),"--")</f>
        <v>--</v>
      </c>
      <c r="T23" s="255" t="str">
        <f>IF(AND(N23="F",M23&gt;180),(ROUND(M23/60,2)-3)*I23*$L$17*0.1,"--")</f>
        <v>--</v>
      </c>
      <c r="U23" s="269" t="str">
        <f>IF(N23="R",I23*$L$17*O23/100,"--")</f>
        <v>--</v>
      </c>
      <c r="V23" s="270" t="str">
        <f>IF(AND(M23&gt;10,N23="R"),I23*$L$17*O23/100*IF(M23&gt;180,3,ROUND(M23/60,2)),"--")</f>
        <v>--</v>
      </c>
      <c r="W23" s="271" t="str">
        <f>IF(AND(N23="R",M23&gt;180),(ROUND(M23/60,2)-3)*I23*$L$17*0.1*O23/100,"--")</f>
        <v>--</v>
      </c>
      <c r="X23" s="279" t="str">
        <f>IF(N23="RF",ROUND(M23/60,2)*I23*$L$17*0.1,"--")</f>
        <v>--</v>
      </c>
      <c r="Y23" s="285" t="str">
        <f>IF(N23="RR",ROUND(M23/60,2)*I23*$L$17*0.1*O23/100,"--")</f>
        <v>--</v>
      </c>
      <c r="Z23" s="223" t="s">
        <v>140</v>
      </c>
      <c r="AA23" s="43">
        <f>IF(F23="","",SUM(P23:Y23)*IF(Z23="SI",1,2))</f>
        <v>64775.791583999991</v>
      </c>
      <c r="AB23" s="346"/>
    </row>
    <row r="24" spans="1:28" s="7" customFormat="1" ht="16.5" thickTop="1" thickBot="1" x14ac:dyDescent="0.3">
      <c r="A24" s="5"/>
      <c r="B24" s="32"/>
      <c r="C24" s="38">
        <v>2</v>
      </c>
      <c r="D24" s="38">
        <v>289100</v>
      </c>
      <c r="E24" s="38">
        <v>1002</v>
      </c>
      <c r="F24" s="39" t="s">
        <v>141</v>
      </c>
      <c r="G24" s="39">
        <v>33</v>
      </c>
      <c r="H24" s="234">
        <v>11.800000190734863</v>
      </c>
      <c r="I24" s="232">
        <f t="shared" ref="I24:I40" si="0">IF(H24&gt;25,H24,25)*IF(G24=220,$G$16,IF(G24=132,$G$17,$G$18))/100</f>
        <v>86.373250000000013</v>
      </c>
      <c r="J24" s="40">
        <v>42430</v>
      </c>
      <c r="K24" s="40">
        <v>42460.489583333336</v>
      </c>
      <c r="L24" s="9">
        <f t="shared" ref="L24:L40" si="1">IF(F24="","",(K24-J24)*24)</f>
        <v>731.75000000005821</v>
      </c>
      <c r="M24" s="10">
        <f t="shared" ref="M24:M40" si="2">IF(F24="","",ROUND((K24-J24)*24*60,0))</f>
        <v>43905</v>
      </c>
      <c r="N24" s="41" t="s">
        <v>159</v>
      </c>
      <c r="O24" s="42" t="str">
        <f t="shared" ref="O24:O40" si="3">IF(F24="","","--")</f>
        <v>--</v>
      </c>
      <c r="P24" s="239" t="str">
        <f t="shared" ref="P24:P40" si="4">IF(N24="P",ROUND(M24/60,2)*I24*$L$17*0.01,"--")</f>
        <v>--</v>
      </c>
      <c r="Q24" s="244" t="str">
        <f t="shared" ref="Q24:Q40" si="5">IF(N24="RP",ROUND(M24/60,2)*I24*$L$17*0.01*O24/100,"--")</f>
        <v>--</v>
      </c>
      <c r="R24" s="253" t="str">
        <f t="shared" ref="R24:R40" si="6">IF(N24="F",I24*$L$17,"--")</f>
        <v>--</v>
      </c>
      <c r="S24" s="254" t="str">
        <f t="shared" ref="S24:S40" si="7">IF(AND(M24&gt;10,N24="F"),I24*$L$17*IF(M24&gt;180,3,ROUND(M24/60,2)),"--")</f>
        <v>--</v>
      </c>
      <c r="T24" s="255" t="str">
        <f t="shared" ref="T24:T40" si="8">IF(AND(N24="F",M24&gt;180),(ROUND(M24/60,2)-3)*I24*$L$17*0.1,"--")</f>
        <v>--</v>
      </c>
      <c r="U24" s="269" t="str">
        <f t="shared" ref="U24:U40" si="9">IF(N24="R",I24*$L$17*O24/100,"--")</f>
        <v>--</v>
      </c>
      <c r="V24" s="270" t="str">
        <f t="shared" ref="V24:V40" si="10">IF(AND(M24&gt;10,N24="R"),I24*$L$17*O24/100*IF(M24&gt;180,3,ROUND(M24/60,2)),"--")</f>
        <v>--</v>
      </c>
      <c r="W24" s="271" t="str">
        <f t="shared" ref="W24:W40" si="11">IF(AND(N24="R",M24&gt;180),(ROUND(M24/60,2)-3)*I24*$L$17*0.1*O24/100,"--")</f>
        <v>--</v>
      </c>
      <c r="X24" s="279">
        <f t="shared" ref="X24:X40" si="12">IF(N24="RF",ROUND(M24/60,2)*I24*$L$17*0.1,"--")</f>
        <v>379221.75412500009</v>
      </c>
      <c r="Y24" s="285" t="str">
        <f t="shared" ref="Y24:Y40" si="13">IF(N24="RR",ROUND(M24/60,2)*I24*$L$17*0.1*O24/100,"--")</f>
        <v>--</v>
      </c>
      <c r="Z24" s="223" t="s">
        <v>140</v>
      </c>
      <c r="AA24" s="43">
        <f t="shared" ref="AA24:AA42" si="14">IF(F24="","",SUM(P24:Y24)*IF(Z24="SI",1,2))</f>
        <v>379221.75412500009</v>
      </c>
      <c r="AB24" s="346"/>
    </row>
    <row r="25" spans="1:28" s="7" customFormat="1" ht="16.5" thickTop="1" thickBot="1" x14ac:dyDescent="0.3">
      <c r="A25" s="5"/>
      <c r="B25" s="32"/>
      <c r="C25" s="38">
        <v>3</v>
      </c>
      <c r="D25" s="38">
        <v>291181</v>
      </c>
      <c r="E25" s="38">
        <v>946</v>
      </c>
      <c r="F25" s="39" t="s">
        <v>143</v>
      </c>
      <c r="G25" s="39">
        <v>132</v>
      </c>
      <c r="H25" s="234">
        <v>3.9000000953674316</v>
      </c>
      <c r="I25" s="232">
        <f t="shared" si="0"/>
        <v>86.373250000000013</v>
      </c>
      <c r="J25" s="40">
        <v>42430</v>
      </c>
      <c r="K25" s="40">
        <v>42460.999988425923</v>
      </c>
      <c r="L25" s="9">
        <f t="shared" si="1"/>
        <v>743.99972222215729</v>
      </c>
      <c r="M25" s="10">
        <f t="shared" si="2"/>
        <v>44640</v>
      </c>
      <c r="N25" s="41" t="s">
        <v>159</v>
      </c>
      <c r="O25" s="42" t="str">
        <f t="shared" si="3"/>
        <v>--</v>
      </c>
      <c r="P25" s="239" t="str">
        <f t="shared" si="4"/>
        <v>--</v>
      </c>
      <c r="Q25" s="244" t="str">
        <f t="shared" si="5"/>
        <v>--</v>
      </c>
      <c r="R25" s="253" t="str">
        <f t="shared" si="6"/>
        <v>--</v>
      </c>
      <c r="S25" s="254" t="str">
        <f t="shared" si="7"/>
        <v>--</v>
      </c>
      <c r="T25" s="255" t="str">
        <f t="shared" si="8"/>
        <v>--</v>
      </c>
      <c r="U25" s="269" t="str">
        <f t="shared" si="9"/>
        <v>--</v>
      </c>
      <c r="V25" s="270" t="str">
        <f t="shared" si="10"/>
        <v>--</v>
      </c>
      <c r="W25" s="271" t="str">
        <f t="shared" si="11"/>
        <v>--</v>
      </c>
      <c r="X25" s="279">
        <f t="shared" si="12"/>
        <v>385570.18800000008</v>
      </c>
      <c r="Y25" s="285" t="str">
        <f t="shared" si="13"/>
        <v>--</v>
      </c>
      <c r="Z25" s="223" t="s">
        <v>140</v>
      </c>
      <c r="AA25" s="43">
        <f t="shared" si="14"/>
        <v>385570.18800000008</v>
      </c>
      <c r="AB25" s="346"/>
    </row>
    <row r="26" spans="1:28" s="7" customFormat="1" ht="16.5" thickTop="1" thickBot="1" x14ac:dyDescent="0.3">
      <c r="A26" s="5"/>
      <c r="B26" s="32"/>
      <c r="C26" s="38">
        <v>4</v>
      </c>
      <c r="D26" s="38">
        <v>296379</v>
      </c>
      <c r="E26" s="38">
        <v>1003</v>
      </c>
      <c r="F26" s="39" t="s">
        <v>144</v>
      </c>
      <c r="G26" s="39">
        <v>33</v>
      </c>
      <c r="H26" s="234">
        <v>11.800000190734863</v>
      </c>
      <c r="I26" s="232">
        <f t="shared" si="0"/>
        <v>86.373250000000013</v>
      </c>
      <c r="J26" s="40">
        <v>42430</v>
      </c>
      <c r="K26" s="40">
        <v>42451.368055555555</v>
      </c>
      <c r="L26" s="9">
        <f t="shared" si="1"/>
        <v>512.83333333331393</v>
      </c>
      <c r="M26" s="10">
        <f t="shared" si="2"/>
        <v>30770</v>
      </c>
      <c r="N26" s="41" t="s">
        <v>159</v>
      </c>
      <c r="O26" s="42" t="str">
        <f t="shared" si="3"/>
        <v>--</v>
      </c>
      <c r="P26" s="239" t="str">
        <f t="shared" si="4"/>
        <v>--</v>
      </c>
      <c r="Q26" s="244" t="str">
        <f t="shared" si="5"/>
        <v>--</v>
      </c>
      <c r="R26" s="253" t="str">
        <f t="shared" si="6"/>
        <v>--</v>
      </c>
      <c r="S26" s="254" t="str">
        <f t="shared" si="7"/>
        <v>--</v>
      </c>
      <c r="T26" s="255" t="str">
        <f t="shared" si="8"/>
        <v>--</v>
      </c>
      <c r="U26" s="269" t="str">
        <f t="shared" si="9"/>
        <v>--</v>
      </c>
      <c r="V26" s="270" t="str">
        <f t="shared" si="10"/>
        <v>--</v>
      </c>
      <c r="W26" s="271" t="str">
        <f t="shared" si="11"/>
        <v>--</v>
      </c>
      <c r="X26" s="279">
        <f t="shared" si="12"/>
        <v>265768.76278500009</v>
      </c>
      <c r="Y26" s="285" t="str">
        <f t="shared" si="13"/>
        <v>--</v>
      </c>
      <c r="Z26" s="223" t="s">
        <v>140</v>
      </c>
      <c r="AA26" s="43">
        <f t="shared" si="14"/>
        <v>265768.76278500009</v>
      </c>
      <c r="AB26" s="346"/>
    </row>
    <row r="27" spans="1:28" s="7" customFormat="1" ht="16.5" thickTop="1" thickBot="1" x14ac:dyDescent="0.3">
      <c r="A27" s="5"/>
      <c r="B27" s="32"/>
      <c r="C27" s="38">
        <v>5</v>
      </c>
      <c r="D27" s="38">
        <v>299845</v>
      </c>
      <c r="E27" s="38">
        <v>739</v>
      </c>
      <c r="F27" s="39" t="s">
        <v>164</v>
      </c>
      <c r="G27" s="39">
        <v>132</v>
      </c>
      <c r="H27" s="234">
        <v>31.4</v>
      </c>
      <c r="I27" s="232">
        <f t="shared" si="0"/>
        <v>108.484802</v>
      </c>
      <c r="J27" s="40">
        <v>42431.343055555553</v>
      </c>
      <c r="K27" s="40">
        <v>42431.497916666667</v>
      </c>
      <c r="L27" s="9">
        <f t="shared" si="1"/>
        <v>3.7166666667326353</v>
      </c>
      <c r="M27" s="10">
        <f t="shared" si="2"/>
        <v>223</v>
      </c>
      <c r="N27" s="41" t="s">
        <v>139</v>
      </c>
      <c r="O27" s="42" t="str">
        <f t="shared" si="3"/>
        <v>--</v>
      </c>
      <c r="P27" s="239">
        <f t="shared" si="4"/>
        <v>242.13807806400001</v>
      </c>
      <c r="Q27" s="244" t="str">
        <f t="shared" si="5"/>
        <v>--</v>
      </c>
      <c r="R27" s="253" t="str">
        <f t="shared" si="6"/>
        <v>--</v>
      </c>
      <c r="S27" s="254" t="str">
        <f t="shared" si="7"/>
        <v>--</v>
      </c>
      <c r="T27" s="255" t="str">
        <f t="shared" si="8"/>
        <v>--</v>
      </c>
      <c r="U27" s="269" t="str">
        <f t="shared" si="9"/>
        <v>--</v>
      </c>
      <c r="V27" s="270" t="str">
        <f t="shared" si="10"/>
        <v>--</v>
      </c>
      <c r="W27" s="271" t="str">
        <f t="shared" si="11"/>
        <v>--</v>
      </c>
      <c r="X27" s="279" t="str">
        <f t="shared" si="12"/>
        <v>--</v>
      </c>
      <c r="Y27" s="285" t="str">
        <f t="shared" si="13"/>
        <v>--</v>
      </c>
      <c r="Z27" s="223" t="s">
        <v>140</v>
      </c>
      <c r="AA27" s="43">
        <f t="shared" si="14"/>
        <v>242.13807806400001</v>
      </c>
      <c r="AB27" s="346"/>
    </row>
    <row r="28" spans="1:28" s="7" customFormat="1" ht="16.5" thickTop="1" thickBot="1" x14ac:dyDescent="0.3">
      <c r="A28" s="5"/>
      <c r="B28" s="32"/>
      <c r="C28" s="38">
        <v>6</v>
      </c>
      <c r="D28" s="38">
        <v>299846</v>
      </c>
      <c r="E28" s="38">
        <v>5556</v>
      </c>
      <c r="F28" s="39" t="s">
        <v>162</v>
      </c>
      <c r="G28" s="39">
        <v>132</v>
      </c>
      <c r="H28" s="234">
        <v>60.6</v>
      </c>
      <c r="I28" s="232">
        <f t="shared" si="0"/>
        <v>209.36875800000001</v>
      </c>
      <c r="J28" s="40">
        <v>42432.287499999999</v>
      </c>
      <c r="K28" s="40">
        <v>42432.504861111112</v>
      </c>
      <c r="L28" s="9">
        <f t="shared" si="1"/>
        <v>5.2166666667326353</v>
      </c>
      <c r="M28" s="10">
        <f t="shared" si="2"/>
        <v>313</v>
      </c>
      <c r="N28" s="41" t="s">
        <v>139</v>
      </c>
      <c r="O28" s="42" t="str">
        <f t="shared" si="3"/>
        <v>--</v>
      </c>
      <c r="P28" s="239">
        <f t="shared" si="4"/>
        <v>655.74295005600015</v>
      </c>
      <c r="Q28" s="244" t="str">
        <f t="shared" si="5"/>
        <v>--</v>
      </c>
      <c r="R28" s="253" t="str">
        <f t="shared" si="6"/>
        <v>--</v>
      </c>
      <c r="S28" s="254" t="str">
        <f t="shared" si="7"/>
        <v>--</v>
      </c>
      <c r="T28" s="255" t="str">
        <f t="shared" si="8"/>
        <v>--</v>
      </c>
      <c r="U28" s="269" t="str">
        <f t="shared" si="9"/>
        <v>--</v>
      </c>
      <c r="V28" s="270" t="str">
        <f t="shared" si="10"/>
        <v>--</v>
      </c>
      <c r="W28" s="271" t="str">
        <f t="shared" si="11"/>
        <v>--</v>
      </c>
      <c r="X28" s="279" t="str">
        <f t="shared" si="12"/>
        <v>--</v>
      </c>
      <c r="Y28" s="285" t="str">
        <f t="shared" si="13"/>
        <v>--</v>
      </c>
      <c r="Z28" s="223" t="s">
        <v>140</v>
      </c>
      <c r="AA28" s="43">
        <f t="shared" si="14"/>
        <v>655.74295005600015</v>
      </c>
      <c r="AB28" s="346"/>
    </row>
    <row r="29" spans="1:28" s="7" customFormat="1" ht="16.5" thickTop="1" thickBot="1" x14ac:dyDescent="0.3">
      <c r="A29" s="5"/>
      <c r="B29" s="32"/>
      <c r="C29" s="38">
        <v>7</v>
      </c>
      <c r="D29" s="38">
        <v>299849</v>
      </c>
      <c r="E29" s="38">
        <v>5047</v>
      </c>
      <c r="F29" s="39" t="s">
        <v>163</v>
      </c>
      <c r="G29" s="39">
        <v>132</v>
      </c>
      <c r="H29" s="234">
        <v>103.5</v>
      </c>
      <c r="I29" s="232">
        <f t="shared" si="0"/>
        <v>357.58525499999996</v>
      </c>
      <c r="J29" s="40">
        <v>42435.438194444447</v>
      </c>
      <c r="K29" s="40">
        <v>42435.443055555559</v>
      </c>
      <c r="L29" s="9">
        <f t="shared" si="1"/>
        <v>0.11666666669771075</v>
      </c>
      <c r="M29" s="10">
        <f t="shared" si="2"/>
        <v>7</v>
      </c>
      <c r="N29" s="41" t="s">
        <v>142</v>
      </c>
      <c r="O29" s="42" t="str">
        <f t="shared" si="3"/>
        <v>--</v>
      </c>
      <c r="P29" s="239" t="str">
        <f t="shared" si="4"/>
        <v>--</v>
      </c>
      <c r="Q29" s="244" t="str">
        <f t="shared" si="5"/>
        <v>--</v>
      </c>
      <c r="R29" s="253">
        <f t="shared" si="6"/>
        <v>21455.115299999998</v>
      </c>
      <c r="S29" s="254" t="str">
        <f t="shared" si="7"/>
        <v>--</v>
      </c>
      <c r="T29" s="255" t="str">
        <f t="shared" si="8"/>
        <v>--</v>
      </c>
      <c r="U29" s="269" t="str">
        <f t="shared" si="9"/>
        <v>--</v>
      </c>
      <c r="V29" s="270" t="str">
        <f t="shared" si="10"/>
        <v>--</v>
      </c>
      <c r="W29" s="271" t="str">
        <f t="shared" si="11"/>
        <v>--</v>
      </c>
      <c r="X29" s="279" t="str">
        <f t="shared" si="12"/>
        <v>--</v>
      </c>
      <c r="Y29" s="285" t="str">
        <f t="shared" si="13"/>
        <v>--</v>
      </c>
      <c r="Z29" s="223" t="s">
        <v>140</v>
      </c>
      <c r="AA29" s="43">
        <f t="shared" si="14"/>
        <v>21455.115299999998</v>
      </c>
      <c r="AB29" s="346"/>
    </row>
    <row r="30" spans="1:28" s="7" customFormat="1" ht="16.5" thickTop="1" thickBot="1" x14ac:dyDescent="0.3">
      <c r="A30" s="5"/>
      <c r="B30" s="32"/>
      <c r="C30" s="38">
        <v>8</v>
      </c>
      <c r="D30" s="38">
        <v>300126</v>
      </c>
      <c r="E30" s="38">
        <v>743</v>
      </c>
      <c r="F30" s="39" t="s">
        <v>145</v>
      </c>
      <c r="G30" s="39">
        <v>132</v>
      </c>
      <c r="H30" s="234">
        <v>60.900001525878906</v>
      </c>
      <c r="I30" s="232">
        <f t="shared" si="0"/>
        <v>210.40524227180481</v>
      </c>
      <c r="J30" s="40">
        <v>42436.21875</v>
      </c>
      <c r="K30" s="40">
        <v>42436.424305555556</v>
      </c>
      <c r="L30" s="9">
        <f t="shared" si="1"/>
        <v>4.9333333333488554</v>
      </c>
      <c r="M30" s="10">
        <f t="shared" si="2"/>
        <v>296</v>
      </c>
      <c r="N30" s="41" t="s">
        <v>142</v>
      </c>
      <c r="O30" s="42" t="str">
        <f t="shared" si="3"/>
        <v>--</v>
      </c>
      <c r="P30" s="239" t="str">
        <f t="shared" si="4"/>
        <v>--</v>
      </c>
      <c r="Q30" s="244" t="str">
        <f t="shared" si="5"/>
        <v>--</v>
      </c>
      <c r="R30" s="253">
        <f t="shared" si="6"/>
        <v>12624.314536308288</v>
      </c>
      <c r="S30" s="254">
        <f t="shared" si="7"/>
        <v>37872.943608924863</v>
      </c>
      <c r="T30" s="255">
        <f t="shared" si="8"/>
        <v>2436.4927055074995</v>
      </c>
      <c r="U30" s="269" t="str">
        <f t="shared" si="9"/>
        <v>--</v>
      </c>
      <c r="V30" s="270" t="str">
        <f t="shared" si="10"/>
        <v>--</v>
      </c>
      <c r="W30" s="271" t="str">
        <f t="shared" si="11"/>
        <v>--</v>
      </c>
      <c r="X30" s="279" t="str">
        <f t="shared" si="12"/>
        <v>--</v>
      </c>
      <c r="Y30" s="285" t="str">
        <f t="shared" si="13"/>
        <v>--</v>
      </c>
      <c r="Z30" s="223" t="s">
        <v>140</v>
      </c>
      <c r="AA30" s="43">
        <f t="shared" si="14"/>
        <v>52933.750850740653</v>
      </c>
      <c r="AB30" s="346"/>
    </row>
    <row r="31" spans="1:28" s="7" customFormat="1" ht="16.5" thickTop="1" thickBot="1" x14ac:dyDescent="0.3">
      <c r="A31" s="5"/>
      <c r="B31" s="32"/>
      <c r="C31" s="38">
        <v>9</v>
      </c>
      <c r="D31" s="38">
        <v>300143</v>
      </c>
      <c r="E31" s="38">
        <v>5556</v>
      </c>
      <c r="F31" s="39" t="s">
        <v>162</v>
      </c>
      <c r="G31" s="39">
        <v>132</v>
      </c>
      <c r="H31" s="234">
        <v>60.6</v>
      </c>
      <c r="I31" s="232">
        <f t="shared" si="0"/>
        <v>209.36875800000001</v>
      </c>
      <c r="J31" s="40">
        <v>42436.282638888886</v>
      </c>
      <c r="K31" s="40">
        <v>42436.545138888891</v>
      </c>
      <c r="L31" s="9">
        <f t="shared" si="1"/>
        <v>6.3000000001047738</v>
      </c>
      <c r="M31" s="10">
        <f t="shared" si="2"/>
        <v>378</v>
      </c>
      <c r="N31" s="41" t="s">
        <v>139</v>
      </c>
      <c r="O31" s="42" t="str">
        <f t="shared" si="3"/>
        <v>--</v>
      </c>
      <c r="P31" s="239">
        <f t="shared" si="4"/>
        <v>791.41390524000008</v>
      </c>
      <c r="Q31" s="244" t="str">
        <f t="shared" si="5"/>
        <v>--</v>
      </c>
      <c r="R31" s="253" t="str">
        <f t="shared" si="6"/>
        <v>--</v>
      </c>
      <c r="S31" s="254" t="str">
        <f t="shared" si="7"/>
        <v>--</v>
      </c>
      <c r="T31" s="255" t="str">
        <f t="shared" si="8"/>
        <v>--</v>
      </c>
      <c r="U31" s="269" t="str">
        <f t="shared" si="9"/>
        <v>--</v>
      </c>
      <c r="V31" s="270" t="str">
        <f t="shared" si="10"/>
        <v>--</v>
      </c>
      <c r="W31" s="271" t="str">
        <f t="shared" si="11"/>
        <v>--</v>
      </c>
      <c r="X31" s="279" t="str">
        <f t="shared" si="12"/>
        <v>--</v>
      </c>
      <c r="Y31" s="285" t="str">
        <f t="shared" si="13"/>
        <v>--</v>
      </c>
      <c r="Z31" s="223" t="s">
        <v>140</v>
      </c>
      <c r="AA31" s="43">
        <f t="shared" si="14"/>
        <v>791.41390524000008</v>
      </c>
      <c r="AB31" s="346"/>
    </row>
    <row r="32" spans="1:28" s="7" customFormat="1" ht="16.5" thickTop="1" thickBot="1" x14ac:dyDescent="0.3">
      <c r="A32" s="5"/>
      <c r="B32" s="32"/>
      <c r="C32" s="38">
        <v>10</v>
      </c>
      <c r="D32" s="38">
        <v>300146</v>
      </c>
      <c r="E32" s="38">
        <v>743</v>
      </c>
      <c r="F32" s="39" t="s">
        <v>145</v>
      </c>
      <c r="G32" s="39">
        <v>132</v>
      </c>
      <c r="H32" s="234">
        <v>60.900001525878906</v>
      </c>
      <c r="I32" s="232">
        <f t="shared" si="0"/>
        <v>210.40524227180481</v>
      </c>
      <c r="J32" s="40">
        <v>42442.911805555559</v>
      </c>
      <c r="K32" s="40">
        <v>42443.032638888886</v>
      </c>
      <c r="L32" s="9">
        <f t="shared" si="1"/>
        <v>2.8999999998486601</v>
      </c>
      <c r="M32" s="10">
        <f t="shared" si="2"/>
        <v>174</v>
      </c>
      <c r="N32" s="41" t="s">
        <v>142</v>
      </c>
      <c r="O32" s="42" t="str">
        <f t="shared" si="3"/>
        <v>--</v>
      </c>
      <c r="P32" s="239" t="str">
        <f t="shared" si="4"/>
        <v>--</v>
      </c>
      <c r="Q32" s="244" t="str">
        <f t="shared" si="5"/>
        <v>--</v>
      </c>
      <c r="R32" s="253">
        <f t="shared" si="6"/>
        <v>12624.314536308288</v>
      </c>
      <c r="S32" s="254">
        <f t="shared" si="7"/>
        <v>36610.512155294033</v>
      </c>
      <c r="T32" s="255" t="str">
        <f t="shared" si="8"/>
        <v>--</v>
      </c>
      <c r="U32" s="269" t="str">
        <f t="shared" si="9"/>
        <v>--</v>
      </c>
      <c r="V32" s="270" t="str">
        <f t="shared" si="10"/>
        <v>--</v>
      </c>
      <c r="W32" s="271" t="str">
        <f t="shared" si="11"/>
        <v>--</v>
      </c>
      <c r="X32" s="279" t="str">
        <f t="shared" si="12"/>
        <v>--</v>
      </c>
      <c r="Y32" s="285" t="str">
        <f t="shared" si="13"/>
        <v>--</v>
      </c>
      <c r="Z32" s="223" t="s">
        <v>140</v>
      </c>
      <c r="AA32" s="43">
        <f t="shared" si="14"/>
        <v>49234.82669160232</v>
      </c>
      <c r="AB32" s="346"/>
    </row>
    <row r="33" spans="1:28" s="7" customFormat="1" ht="16.5" thickTop="1" thickBot="1" x14ac:dyDescent="0.3">
      <c r="A33" s="5"/>
      <c r="B33" s="32"/>
      <c r="C33" s="38">
        <v>11</v>
      </c>
      <c r="D33" s="38">
        <v>300389</v>
      </c>
      <c r="E33" s="38">
        <v>5556</v>
      </c>
      <c r="F33" s="39" t="s">
        <v>162</v>
      </c>
      <c r="G33" s="39">
        <v>132</v>
      </c>
      <c r="H33" s="234">
        <v>60.6</v>
      </c>
      <c r="I33" s="232">
        <f t="shared" si="0"/>
        <v>209.36875800000001</v>
      </c>
      <c r="J33" s="40">
        <v>42444.299305555556</v>
      </c>
      <c r="K33" s="40">
        <v>42444.574305555558</v>
      </c>
      <c r="L33" s="9">
        <f t="shared" si="1"/>
        <v>6.6000000000349246</v>
      </c>
      <c r="M33" s="10">
        <f t="shared" si="2"/>
        <v>396</v>
      </c>
      <c r="N33" s="41" t="s">
        <v>139</v>
      </c>
      <c r="O33" s="42" t="str">
        <f t="shared" si="3"/>
        <v>--</v>
      </c>
      <c r="P33" s="239">
        <f t="shared" si="4"/>
        <v>829.10028168000008</v>
      </c>
      <c r="Q33" s="244" t="str">
        <f t="shared" si="5"/>
        <v>--</v>
      </c>
      <c r="R33" s="253" t="str">
        <f t="shared" si="6"/>
        <v>--</v>
      </c>
      <c r="S33" s="254" t="str">
        <f t="shared" si="7"/>
        <v>--</v>
      </c>
      <c r="T33" s="255" t="str">
        <f t="shared" si="8"/>
        <v>--</v>
      </c>
      <c r="U33" s="269" t="str">
        <f t="shared" si="9"/>
        <v>--</v>
      </c>
      <c r="V33" s="270" t="str">
        <f t="shared" si="10"/>
        <v>--</v>
      </c>
      <c r="W33" s="271" t="str">
        <f t="shared" si="11"/>
        <v>--</v>
      </c>
      <c r="X33" s="279" t="str">
        <f t="shared" si="12"/>
        <v>--</v>
      </c>
      <c r="Y33" s="285" t="str">
        <f t="shared" si="13"/>
        <v>--</v>
      </c>
      <c r="Z33" s="223" t="s">
        <v>140</v>
      </c>
      <c r="AA33" s="43">
        <f t="shared" si="14"/>
        <v>829.10028168000008</v>
      </c>
      <c r="AB33" s="346"/>
    </row>
    <row r="34" spans="1:28" s="7" customFormat="1" ht="16.5" thickTop="1" thickBot="1" x14ac:dyDescent="0.3">
      <c r="A34" s="5"/>
      <c r="B34" s="32"/>
      <c r="C34" s="38">
        <v>12</v>
      </c>
      <c r="D34" s="38">
        <v>300593</v>
      </c>
      <c r="E34" s="38">
        <v>5034</v>
      </c>
      <c r="F34" s="39" t="s">
        <v>223</v>
      </c>
      <c r="G34" s="39">
        <v>132</v>
      </c>
      <c r="H34" s="234">
        <v>59</v>
      </c>
      <c r="I34" s="232">
        <f t="shared" si="0"/>
        <v>203.84087</v>
      </c>
      <c r="J34" s="40">
        <v>42456.961111111108</v>
      </c>
      <c r="K34" s="40">
        <v>42457.107638888891</v>
      </c>
      <c r="L34" s="9">
        <f t="shared" si="1"/>
        <v>3.5166666667792015</v>
      </c>
      <c r="M34" s="10">
        <f t="shared" si="2"/>
        <v>211</v>
      </c>
      <c r="N34" s="41" t="s">
        <v>142</v>
      </c>
      <c r="O34" s="42" t="str">
        <f t="shared" si="3"/>
        <v>--</v>
      </c>
      <c r="P34" s="239" t="str">
        <f t="shared" si="4"/>
        <v>--</v>
      </c>
      <c r="Q34" s="244" t="str">
        <f t="shared" si="5"/>
        <v>--</v>
      </c>
      <c r="R34" s="253">
        <f t="shared" si="6"/>
        <v>12230.4522</v>
      </c>
      <c r="S34" s="254">
        <f t="shared" si="7"/>
        <v>36691.356599999999</v>
      </c>
      <c r="T34" s="255">
        <f t="shared" si="8"/>
        <v>635.9835144000001</v>
      </c>
      <c r="U34" s="269" t="str">
        <f t="shared" si="9"/>
        <v>--</v>
      </c>
      <c r="V34" s="270" t="str">
        <f t="shared" si="10"/>
        <v>--</v>
      </c>
      <c r="W34" s="271" t="str">
        <f t="shared" si="11"/>
        <v>--</v>
      </c>
      <c r="X34" s="279" t="str">
        <f t="shared" si="12"/>
        <v>--</v>
      </c>
      <c r="Y34" s="285" t="str">
        <f t="shared" si="13"/>
        <v>--</v>
      </c>
      <c r="Z34" s="223" t="s">
        <v>140</v>
      </c>
      <c r="AA34" s="43">
        <f t="shared" si="14"/>
        <v>49557.792314400001</v>
      </c>
      <c r="AB34" s="346"/>
    </row>
    <row r="35" spans="1:28" s="7" customFormat="1" ht="16.5" thickTop="1" thickBot="1" x14ac:dyDescent="0.3">
      <c r="A35" s="5"/>
      <c r="B35" s="32"/>
      <c r="C35" s="38">
        <v>13</v>
      </c>
      <c r="D35" s="38">
        <v>300794</v>
      </c>
      <c r="E35" s="38">
        <v>1003</v>
      </c>
      <c r="F35" s="39" t="s">
        <v>144</v>
      </c>
      <c r="G35" s="39">
        <v>33</v>
      </c>
      <c r="H35" s="234">
        <v>11.800000190734863</v>
      </c>
      <c r="I35" s="232">
        <f t="shared" si="0"/>
        <v>86.373250000000013</v>
      </c>
      <c r="J35" s="40">
        <v>42459.34097222222</v>
      </c>
      <c r="K35" s="40">
        <v>42459.5</v>
      </c>
      <c r="L35" s="9">
        <f t="shared" si="1"/>
        <v>3.8166666667093523</v>
      </c>
      <c r="M35" s="10">
        <f t="shared" si="2"/>
        <v>229</v>
      </c>
      <c r="N35" s="41" t="s">
        <v>139</v>
      </c>
      <c r="O35" s="42" t="str">
        <f t="shared" si="3"/>
        <v>--</v>
      </c>
      <c r="P35" s="239">
        <f t="shared" si="4"/>
        <v>197.96748900000003</v>
      </c>
      <c r="Q35" s="244" t="str">
        <f t="shared" si="5"/>
        <v>--</v>
      </c>
      <c r="R35" s="253" t="str">
        <f t="shared" si="6"/>
        <v>--</v>
      </c>
      <c r="S35" s="254" t="str">
        <f t="shared" si="7"/>
        <v>--</v>
      </c>
      <c r="T35" s="255" t="str">
        <f t="shared" si="8"/>
        <v>--</v>
      </c>
      <c r="U35" s="269" t="str">
        <f t="shared" si="9"/>
        <v>--</v>
      </c>
      <c r="V35" s="270" t="str">
        <f t="shared" si="10"/>
        <v>--</v>
      </c>
      <c r="W35" s="271" t="str">
        <f t="shared" si="11"/>
        <v>--</v>
      </c>
      <c r="X35" s="279" t="str">
        <f t="shared" si="12"/>
        <v>--</v>
      </c>
      <c r="Y35" s="285" t="str">
        <f t="shared" si="13"/>
        <v>--</v>
      </c>
      <c r="Z35" s="223" t="s">
        <v>140</v>
      </c>
      <c r="AA35" s="43">
        <f t="shared" si="14"/>
        <v>197.96748900000003</v>
      </c>
      <c r="AB35" s="346"/>
    </row>
    <row r="36" spans="1:28" s="7" customFormat="1" ht="16.5" thickTop="1" thickBot="1" x14ac:dyDescent="0.3">
      <c r="A36" s="5"/>
      <c r="B36" s="32"/>
      <c r="C36" s="38">
        <v>14</v>
      </c>
      <c r="D36" s="38">
        <v>300795</v>
      </c>
      <c r="E36" s="38">
        <v>743</v>
      </c>
      <c r="F36" s="39" t="s">
        <v>145</v>
      </c>
      <c r="G36" s="39">
        <v>132</v>
      </c>
      <c r="H36" s="234">
        <v>60.900001525878906</v>
      </c>
      <c r="I36" s="232">
        <f t="shared" si="0"/>
        <v>210.40524227180481</v>
      </c>
      <c r="J36" s="40">
        <v>42460.329861111109</v>
      </c>
      <c r="K36" s="40">
        <v>42460.449305555558</v>
      </c>
      <c r="L36" s="9">
        <f t="shared" si="1"/>
        <v>2.8666666667559184</v>
      </c>
      <c r="M36" s="10">
        <f t="shared" si="2"/>
        <v>172</v>
      </c>
      <c r="N36" s="41" t="s">
        <v>142</v>
      </c>
      <c r="O36" s="42" t="str">
        <f t="shared" si="3"/>
        <v>--</v>
      </c>
      <c r="P36" s="239" t="str">
        <f t="shared" si="4"/>
        <v>--</v>
      </c>
      <c r="Q36" s="244" t="str">
        <f t="shared" si="5"/>
        <v>--</v>
      </c>
      <c r="R36" s="253">
        <f t="shared" si="6"/>
        <v>12624.314536308288</v>
      </c>
      <c r="S36" s="254">
        <f t="shared" si="7"/>
        <v>36231.782719204784</v>
      </c>
      <c r="T36" s="255" t="str">
        <f t="shared" si="8"/>
        <v>--</v>
      </c>
      <c r="U36" s="269" t="str">
        <f t="shared" si="9"/>
        <v>--</v>
      </c>
      <c r="V36" s="270" t="str">
        <f t="shared" si="10"/>
        <v>--</v>
      </c>
      <c r="W36" s="271" t="str">
        <f t="shared" si="11"/>
        <v>--</v>
      </c>
      <c r="X36" s="279" t="str">
        <f t="shared" si="12"/>
        <v>--</v>
      </c>
      <c r="Y36" s="285" t="str">
        <f t="shared" si="13"/>
        <v>--</v>
      </c>
      <c r="Z36" s="223" t="s">
        <v>140</v>
      </c>
      <c r="AA36" s="43">
        <f t="shared" si="14"/>
        <v>48856.097255513072</v>
      </c>
      <c r="AB36" s="8"/>
    </row>
    <row r="37" spans="1:28" s="7" customFormat="1" ht="16.5" thickTop="1" thickBot="1" x14ac:dyDescent="0.3">
      <c r="A37" s="5"/>
      <c r="B37" s="32"/>
      <c r="C37" s="38"/>
      <c r="D37" s="38"/>
      <c r="E37" s="38"/>
      <c r="F37" s="39"/>
      <c r="G37" s="39"/>
      <c r="H37" s="234"/>
      <c r="I37" s="232">
        <f t="shared" si="0"/>
        <v>86.373250000000013</v>
      </c>
      <c r="J37" s="40"/>
      <c r="K37" s="40"/>
      <c r="L37" s="9" t="str">
        <f t="shared" si="1"/>
        <v/>
      </c>
      <c r="M37" s="10" t="str">
        <f t="shared" si="2"/>
        <v/>
      </c>
      <c r="N37" s="41"/>
      <c r="O37" s="42" t="str">
        <f t="shared" si="3"/>
        <v/>
      </c>
      <c r="P37" s="239" t="str">
        <f t="shared" si="4"/>
        <v>--</v>
      </c>
      <c r="Q37" s="244" t="str">
        <f t="shared" si="5"/>
        <v>--</v>
      </c>
      <c r="R37" s="253" t="str">
        <f t="shared" si="6"/>
        <v>--</v>
      </c>
      <c r="S37" s="254" t="str">
        <f t="shared" si="7"/>
        <v>--</v>
      </c>
      <c r="T37" s="255" t="str">
        <f t="shared" si="8"/>
        <v>--</v>
      </c>
      <c r="U37" s="269" t="str">
        <f t="shared" si="9"/>
        <v>--</v>
      </c>
      <c r="V37" s="270" t="str">
        <f t="shared" si="10"/>
        <v>--</v>
      </c>
      <c r="W37" s="271" t="str">
        <f t="shared" si="11"/>
        <v>--</v>
      </c>
      <c r="X37" s="279" t="str">
        <f t="shared" si="12"/>
        <v>--</v>
      </c>
      <c r="Y37" s="285" t="str">
        <f t="shared" si="13"/>
        <v>--</v>
      </c>
      <c r="Z37" s="223" t="str">
        <f t="shared" ref="Z37:Z40" si="15">IF(F37="","","SI")</f>
        <v/>
      </c>
      <c r="AA37" s="43" t="str">
        <f t="shared" si="14"/>
        <v/>
      </c>
      <c r="AB37" s="8"/>
    </row>
    <row r="38" spans="1:28" s="7" customFormat="1" ht="16.5" thickTop="1" thickBot="1" x14ac:dyDescent="0.3">
      <c r="A38" s="5"/>
      <c r="B38" s="112"/>
      <c r="C38" s="38"/>
      <c r="D38" s="38"/>
      <c r="E38" s="38"/>
      <c r="F38" s="39"/>
      <c r="G38" s="39"/>
      <c r="H38" s="234"/>
      <c r="I38" s="232">
        <f t="shared" si="0"/>
        <v>86.373250000000013</v>
      </c>
      <c r="J38" s="40"/>
      <c r="K38" s="40"/>
      <c r="L38" s="9" t="str">
        <f t="shared" si="1"/>
        <v/>
      </c>
      <c r="M38" s="10" t="str">
        <f t="shared" si="2"/>
        <v/>
      </c>
      <c r="N38" s="41"/>
      <c r="O38" s="42" t="str">
        <f t="shared" si="3"/>
        <v/>
      </c>
      <c r="P38" s="239" t="str">
        <f t="shared" si="4"/>
        <v>--</v>
      </c>
      <c r="Q38" s="244" t="str">
        <f t="shared" si="5"/>
        <v>--</v>
      </c>
      <c r="R38" s="253" t="str">
        <f t="shared" si="6"/>
        <v>--</v>
      </c>
      <c r="S38" s="254" t="str">
        <f t="shared" si="7"/>
        <v>--</v>
      </c>
      <c r="T38" s="255" t="str">
        <f t="shared" si="8"/>
        <v>--</v>
      </c>
      <c r="U38" s="269" t="str">
        <f t="shared" si="9"/>
        <v>--</v>
      </c>
      <c r="V38" s="270" t="str">
        <f t="shared" si="10"/>
        <v>--</v>
      </c>
      <c r="W38" s="271" t="str">
        <f t="shared" si="11"/>
        <v>--</v>
      </c>
      <c r="X38" s="279" t="str">
        <f t="shared" si="12"/>
        <v>--</v>
      </c>
      <c r="Y38" s="285" t="str">
        <f t="shared" si="13"/>
        <v>--</v>
      </c>
      <c r="Z38" s="223" t="str">
        <f t="shared" si="15"/>
        <v/>
      </c>
      <c r="AA38" s="43" t="str">
        <f t="shared" si="14"/>
        <v/>
      </c>
      <c r="AB38" s="8"/>
    </row>
    <row r="39" spans="1:28" s="7" customFormat="1" ht="16.5" thickTop="1" thickBot="1" x14ac:dyDescent="0.3">
      <c r="A39" s="5"/>
      <c r="B39" s="32"/>
      <c r="C39" s="38"/>
      <c r="D39" s="38"/>
      <c r="E39" s="38"/>
      <c r="F39" s="39"/>
      <c r="G39" s="39"/>
      <c r="H39" s="234"/>
      <c r="I39" s="232">
        <f t="shared" si="0"/>
        <v>86.373250000000013</v>
      </c>
      <c r="J39" s="40"/>
      <c r="K39" s="40"/>
      <c r="L39" s="9" t="str">
        <f t="shared" si="1"/>
        <v/>
      </c>
      <c r="M39" s="10" t="str">
        <f t="shared" si="2"/>
        <v/>
      </c>
      <c r="N39" s="41"/>
      <c r="O39" s="42" t="str">
        <f t="shared" si="3"/>
        <v/>
      </c>
      <c r="P39" s="239" t="str">
        <f t="shared" si="4"/>
        <v>--</v>
      </c>
      <c r="Q39" s="244" t="str">
        <f t="shared" si="5"/>
        <v>--</v>
      </c>
      <c r="R39" s="253" t="str">
        <f t="shared" si="6"/>
        <v>--</v>
      </c>
      <c r="S39" s="254" t="str">
        <f t="shared" si="7"/>
        <v>--</v>
      </c>
      <c r="T39" s="255" t="str">
        <f t="shared" si="8"/>
        <v>--</v>
      </c>
      <c r="U39" s="269" t="str">
        <f t="shared" si="9"/>
        <v>--</v>
      </c>
      <c r="V39" s="270" t="str">
        <f t="shared" si="10"/>
        <v>--</v>
      </c>
      <c r="W39" s="271" t="str">
        <f t="shared" si="11"/>
        <v>--</v>
      </c>
      <c r="X39" s="279" t="str">
        <f t="shared" si="12"/>
        <v>--</v>
      </c>
      <c r="Y39" s="285" t="str">
        <f t="shared" si="13"/>
        <v>--</v>
      </c>
      <c r="Z39" s="223" t="str">
        <f t="shared" si="15"/>
        <v/>
      </c>
      <c r="AA39" s="43" t="str">
        <f t="shared" si="14"/>
        <v/>
      </c>
      <c r="AB39" s="8"/>
    </row>
    <row r="40" spans="1:28" s="7" customFormat="1" ht="16.5" thickTop="1" thickBot="1" x14ac:dyDescent="0.3">
      <c r="A40" s="5"/>
      <c r="B40" s="32"/>
      <c r="C40" s="38"/>
      <c r="D40" s="38"/>
      <c r="E40" s="38"/>
      <c r="F40" s="39"/>
      <c r="G40" s="39"/>
      <c r="H40" s="234"/>
      <c r="I40" s="232">
        <f t="shared" si="0"/>
        <v>86.373250000000013</v>
      </c>
      <c r="J40" s="40"/>
      <c r="K40" s="40"/>
      <c r="L40" s="9" t="str">
        <f t="shared" si="1"/>
        <v/>
      </c>
      <c r="M40" s="10" t="str">
        <f t="shared" si="2"/>
        <v/>
      </c>
      <c r="N40" s="41"/>
      <c r="O40" s="42" t="str">
        <f t="shared" si="3"/>
        <v/>
      </c>
      <c r="P40" s="239" t="str">
        <f t="shared" si="4"/>
        <v>--</v>
      </c>
      <c r="Q40" s="244" t="str">
        <f t="shared" si="5"/>
        <v>--</v>
      </c>
      <c r="R40" s="253" t="str">
        <f t="shared" si="6"/>
        <v>--</v>
      </c>
      <c r="S40" s="254" t="str">
        <f t="shared" si="7"/>
        <v>--</v>
      </c>
      <c r="T40" s="255" t="str">
        <f t="shared" si="8"/>
        <v>--</v>
      </c>
      <c r="U40" s="269" t="str">
        <f t="shared" si="9"/>
        <v>--</v>
      </c>
      <c r="V40" s="270" t="str">
        <f t="shared" si="10"/>
        <v>--</v>
      </c>
      <c r="W40" s="271" t="str">
        <f t="shared" si="11"/>
        <v>--</v>
      </c>
      <c r="X40" s="279" t="str">
        <f t="shared" si="12"/>
        <v>--</v>
      </c>
      <c r="Y40" s="285" t="str">
        <f t="shared" si="13"/>
        <v>--</v>
      </c>
      <c r="Z40" s="223" t="str">
        <f t="shared" si="15"/>
        <v/>
      </c>
      <c r="AA40" s="43" t="str">
        <f t="shared" si="14"/>
        <v/>
      </c>
      <c r="AB40" s="8"/>
    </row>
    <row r="41" spans="1:28" s="7" customFormat="1" ht="16.5" thickTop="1" thickBot="1" x14ac:dyDescent="0.3">
      <c r="B41" s="113"/>
      <c r="C41" s="38"/>
      <c r="D41" s="38"/>
      <c r="E41" s="38"/>
      <c r="F41" s="39"/>
      <c r="G41" s="39"/>
      <c r="H41" s="234"/>
      <c r="I41" s="232">
        <f>IF(H41&gt;25,H41,25)*IF(G41=220,$G$16,IF(G41=132,$G$17,$G$18))/100</f>
        <v>86.373250000000013</v>
      </c>
      <c r="J41" s="40"/>
      <c r="K41" s="40"/>
      <c r="L41" s="9" t="str">
        <f>IF(F41="","",(K41-J41)*24)</f>
        <v/>
      </c>
      <c r="M41" s="10" t="str">
        <f>IF(F41="","",ROUND((K41-J41)*24*60,0))</f>
        <v/>
      </c>
      <c r="N41" s="41"/>
      <c r="O41" s="42" t="str">
        <f>IF(F41="","","--")</f>
        <v/>
      </c>
      <c r="P41" s="239" t="str">
        <f>IF(N41="P",ROUND(M41/60,2)*I41*$L$17*0.01,"--")</f>
        <v>--</v>
      </c>
      <c r="Q41" s="244" t="str">
        <f>IF(N41="RP",ROUND(M41/60,2)*I41*$L$17*0.01*O41/100,"--")</f>
        <v>--</v>
      </c>
      <c r="R41" s="253" t="str">
        <f>IF(N41="F",I41*$L$17,"--")</f>
        <v>--</v>
      </c>
      <c r="S41" s="254" t="str">
        <f>IF(AND(M41&gt;10,N41="F"),I41*$L$17*IF(M41&gt;180,3,ROUND(M41/60,2)),"--")</f>
        <v>--</v>
      </c>
      <c r="T41" s="255" t="str">
        <f>IF(AND(N41="F",M41&gt;180),(ROUND(M41/60,2)-3)*I41*$L$17*0.1,"--")</f>
        <v>--</v>
      </c>
      <c r="U41" s="269" t="str">
        <f>IF(N41="R",I41*$L$17*O41/100,"--")</f>
        <v>--</v>
      </c>
      <c r="V41" s="270" t="str">
        <f>IF(AND(M41&gt;10,N41="R"),I41*$L$17*O41/100*IF(M41&gt;180,3,ROUND(M41/60,2)),"--")</f>
        <v>--</v>
      </c>
      <c r="W41" s="271" t="str">
        <f>IF(AND(N41="R",M41&gt;180),(ROUND(M41/60,2)-3)*I41*$L$17*0.1*O41/100,"--")</f>
        <v>--</v>
      </c>
      <c r="X41" s="279" t="str">
        <f>IF(N41="RF",ROUND(M41/60,2)*I41*$L$17*0.1,"--")</f>
        <v>--</v>
      </c>
      <c r="Y41" s="285" t="str">
        <f>IF(N41="RR",ROUND(M41/60,2)*I41*$L$17*0.1*O41/100,"--")</f>
        <v>--</v>
      </c>
      <c r="Z41" s="223" t="str">
        <f>IF(F41="","","SI")</f>
        <v/>
      </c>
      <c r="AA41" s="43" t="str">
        <f t="shared" si="14"/>
        <v/>
      </c>
      <c r="AB41" s="8"/>
    </row>
    <row r="42" spans="1:28" s="7" customFormat="1" ht="16.5" thickTop="1" thickBot="1" x14ac:dyDescent="0.3">
      <c r="B42" s="113"/>
      <c r="C42" s="38"/>
      <c r="D42" s="38"/>
      <c r="E42" s="38"/>
      <c r="F42" s="39"/>
      <c r="G42" s="39"/>
      <c r="H42" s="234"/>
      <c r="I42" s="232">
        <f>IF(H42&gt;25,H42,25)*IF(G42=220,$G$16,IF(G42=132,$G$17,$G$18))/100</f>
        <v>86.373250000000013</v>
      </c>
      <c r="J42" s="40"/>
      <c r="K42" s="40"/>
      <c r="L42" s="9" t="str">
        <f>IF(F42="","",(K42-J42)*24)</f>
        <v/>
      </c>
      <c r="M42" s="10" t="str">
        <f>IF(F42="","",ROUND((K42-J42)*24*60,0))</f>
        <v/>
      </c>
      <c r="N42" s="41"/>
      <c r="O42" s="42" t="str">
        <f>IF(F42="","","--")</f>
        <v/>
      </c>
      <c r="P42" s="239" t="str">
        <f>IF(N42="P",ROUND(M42/60,2)*I42*$L$17*0.01,"--")</f>
        <v>--</v>
      </c>
      <c r="Q42" s="244" t="str">
        <f>IF(N42="RP",ROUND(M42/60,2)*I42*$L$17*0.01*O42/100,"--")</f>
        <v>--</v>
      </c>
      <c r="R42" s="253" t="str">
        <f>IF(N42="F",I42*$L$17,"--")</f>
        <v>--</v>
      </c>
      <c r="S42" s="254" t="str">
        <f>IF(AND(M42&gt;10,N42="F"),I42*$L$17*IF(M42&gt;180,3,ROUND(M42/60,2)),"--")</f>
        <v>--</v>
      </c>
      <c r="T42" s="255" t="str">
        <f>IF(AND(N42="F",M42&gt;180),(ROUND(M42/60,2)-3)*I42*$L$17*0.1,"--")</f>
        <v>--</v>
      </c>
      <c r="U42" s="269" t="str">
        <f>IF(N42="R",I42*$L$17*O42/100,"--")</f>
        <v>--</v>
      </c>
      <c r="V42" s="270" t="str">
        <f>IF(AND(M42&gt;10,N42="R"),I42*$L$17*O42/100*IF(M42&gt;180,3,ROUND(M42/60,2)),"--")</f>
        <v>--</v>
      </c>
      <c r="W42" s="271" t="str">
        <f>IF(AND(N42="R",M42&gt;180),(ROUND(M42/60,2)-3)*I42*$L$17*0.1*O42/100,"--")</f>
        <v>--</v>
      </c>
      <c r="X42" s="279" t="str">
        <f>IF(N42="RF",ROUND(M42/60,2)*I42*$L$17*0.1,"--")</f>
        <v>--</v>
      </c>
      <c r="Y42" s="285" t="str">
        <f>IF(N42="RR",ROUND(M42/60,2)*I42*$L$17*0.1*O42/100,"--")</f>
        <v>--</v>
      </c>
      <c r="Z42" s="223" t="str">
        <f>IF(F42="","","SI")</f>
        <v/>
      </c>
      <c r="AA42" s="43" t="str">
        <f t="shared" si="14"/>
        <v/>
      </c>
      <c r="AB42" s="8"/>
    </row>
    <row r="43" spans="1:28" s="7" customFormat="1" ht="16.5" thickTop="1" thickBot="1" x14ac:dyDescent="0.3">
      <c r="A43" s="5"/>
      <c r="B43" s="32"/>
      <c r="C43" s="235"/>
      <c r="D43" s="235"/>
      <c r="E43" s="235"/>
      <c r="F43" s="357"/>
      <c r="G43" s="358"/>
      <c r="H43" s="359"/>
      <c r="I43" s="233"/>
      <c r="J43" s="359"/>
      <c r="K43" s="359"/>
      <c r="L43" s="11"/>
      <c r="M43" s="11"/>
      <c r="N43" s="359"/>
      <c r="O43" s="360"/>
      <c r="P43" s="240"/>
      <c r="Q43" s="246"/>
      <c r="R43" s="256"/>
      <c r="S43" s="257"/>
      <c r="T43" s="258"/>
      <c r="U43" s="272"/>
      <c r="V43" s="273"/>
      <c r="W43" s="274"/>
      <c r="X43" s="280"/>
      <c r="Y43" s="286"/>
      <c r="Z43" s="44"/>
      <c r="AA43" s="130"/>
      <c r="AB43" s="8"/>
    </row>
    <row r="44" spans="1:28" s="7" customFormat="1" ht="17.25" thickTop="1" thickBot="1" x14ac:dyDescent="0.3">
      <c r="A44" s="5"/>
      <c r="B44" s="32"/>
      <c r="C44" s="196" t="s">
        <v>38</v>
      </c>
      <c r="D44" s="387" t="s">
        <v>160</v>
      </c>
      <c r="E44" s="198"/>
      <c r="F44" s="197"/>
      <c r="G44" s="12"/>
      <c r="H44" s="13"/>
      <c r="I44" s="45"/>
      <c r="J44" s="45"/>
      <c r="K44" s="45"/>
      <c r="L44" s="45"/>
      <c r="M44" s="45"/>
      <c r="N44" s="45"/>
      <c r="O44" s="46"/>
      <c r="P44" s="240">
        <f>SUM(P21:P43)</f>
        <v>67492.154288039994</v>
      </c>
      <c r="Q44" s="242">
        <f>SUM(Q21:Q43)</f>
        <v>0</v>
      </c>
      <c r="R44" s="259">
        <f t="shared" ref="R44:Y44" si="16">SUM(R21:R43)</f>
        <v>71558.511108924868</v>
      </c>
      <c r="S44" s="259">
        <f t="shared" si="16"/>
        <v>147406.59508342369</v>
      </c>
      <c r="T44" s="259">
        <f t="shared" si="16"/>
        <v>3072.4762199074994</v>
      </c>
      <c r="U44" s="275">
        <f t="shared" si="16"/>
        <v>0</v>
      </c>
      <c r="V44" s="275">
        <f t="shared" si="16"/>
        <v>0</v>
      </c>
      <c r="W44" s="275">
        <f t="shared" si="16"/>
        <v>0</v>
      </c>
      <c r="X44" s="281">
        <f t="shared" si="16"/>
        <v>1030560.7049100003</v>
      </c>
      <c r="Y44" s="287">
        <f t="shared" si="16"/>
        <v>0</v>
      </c>
      <c r="Z44" s="47"/>
      <c r="AA44" s="227">
        <f>ROUND(SUM(AA21:AA43),2)</f>
        <v>1320090.44</v>
      </c>
      <c r="AB44" s="114"/>
    </row>
    <row r="45" spans="1:28" s="211" customFormat="1" ht="9.75" thickTop="1" x14ac:dyDescent="0.15">
      <c r="A45" s="200"/>
      <c r="B45" s="201"/>
      <c r="C45" s="198"/>
      <c r="D45" s="198"/>
      <c r="E45" s="198"/>
      <c r="F45" s="199"/>
      <c r="G45" s="202"/>
      <c r="H45" s="203"/>
      <c r="I45" s="204"/>
      <c r="J45" s="204"/>
      <c r="K45" s="204"/>
      <c r="L45" s="204"/>
      <c r="M45" s="204"/>
      <c r="N45" s="204"/>
      <c r="O45" s="205"/>
      <c r="P45" s="206"/>
      <c r="Q45" s="206"/>
      <c r="R45" s="207"/>
      <c r="S45" s="207"/>
      <c r="T45" s="208"/>
      <c r="U45" s="208"/>
      <c r="V45" s="208"/>
      <c r="W45" s="208"/>
      <c r="X45" s="208"/>
      <c r="Y45" s="208"/>
      <c r="Z45" s="208"/>
      <c r="AA45" s="209"/>
      <c r="AB45" s="210"/>
    </row>
    <row r="46" spans="1:28" s="7" customFormat="1" ht="13.5" thickBot="1" x14ac:dyDescent="0.25">
      <c r="A46" s="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</row>
    <row r="47" spans="1:28" ht="13.5" thickTop="1" x14ac:dyDescent="0.2">
      <c r="A47" s="1"/>
      <c r="B47" s="1"/>
      <c r="AB47" s="1"/>
    </row>
    <row r="92" spans="1:2" x14ac:dyDescent="0.2">
      <c r="A92" s="1"/>
      <c r="B92" s="1"/>
    </row>
  </sheetData>
  <printOptions horizontalCentered="1"/>
  <pageMargins left="0.19685039370078741" right="0" top="0.39370078740157483" bottom="0.78740157480314965" header="0.51181102362204722" footer="0.51181102362204722"/>
  <pageSetup paperSize="9" scale="68" orientation="landscape" horizontalDpi="1200" verticalDpi="1200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47625</xdr:colOff>
                    <xdr:row>43</xdr:row>
                    <xdr:rowOff>0</xdr:rowOff>
                  </from>
                  <to>
                    <xdr:col>2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pageSetUpPr fitToPage="1"/>
  </sheetPr>
  <dimension ref="A1:AB92"/>
  <sheetViews>
    <sheetView topLeftCell="A13" zoomScale="80" zoomScaleNormal="80" workbookViewId="0">
      <selection activeCell="A39" sqref="A39"/>
    </sheetView>
  </sheetViews>
  <sheetFormatPr baseColWidth="10" defaultRowHeight="12.75" x14ac:dyDescent="0.2"/>
  <cols>
    <col min="1" max="3" width="4.140625" customWidth="1"/>
    <col min="4" max="5" width="13.7109375" customWidth="1"/>
    <col min="6" max="6" width="40.7109375" customWidth="1"/>
    <col min="7" max="7" width="8.7109375" customWidth="1"/>
    <col min="8" max="8" width="9.7109375" customWidth="1"/>
    <col min="9" max="9" width="12.7109375" hidden="1" customWidth="1"/>
    <col min="10" max="10" width="16.5703125" customWidth="1"/>
    <col min="11" max="11" width="16.42578125" customWidth="1"/>
    <col min="12" max="14" width="9.7109375" customWidth="1"/>
    <col min="15" max="15" width="7.7109375" customWidth="1"/>
    <col min="16" max="17" width="15.140625" hidden="1" customWidth="1"/>
    <col min="18" max="18" width="12.5703125" hidden="1" customWidth="1"/>
    <col min="19" max="19" width="15.28515625" hidden="1" customWidth="1"/>
    <col min="20" max="23" width="12.5703125" hidden="1" customWidth="1"/>
    <col min="24" max="24" width="14.42578125" hidden="1" customWidth="1"/>
    <col min="25" max="25" width="14.7109375" hidden="1" customWidth="1"/>
    <col min="26" max="26" width="9.7109375" customWidth="1"/>
    <col min="27" max="27" width="15.7109375" customWidth="1"/>
    <col min="28" max="28" width="4.140625" customWidth="1"/>
    <col min="257" max="259" width="4.140625" customWidth="1"/>
    <col min="260" max="261" width="13.7109375" customWidth="1"/>
    <col min="262" max="262" width="40.7109375" customWidth="1"/>
    <col min="263" max="263" width="8.7109375" customWidth="1"/>
    <col min="264" max="264" width="9.7109375" customWidth="1"/>
    <col min="265" max="265" width="0" hidden="1" customWidth="1"/>
    <col min="266" max="266" width="16.5703125" customWidth="1"/>
    <col min="267" max="267" width="16.42578125" customWidth="1"/>
    <col min="268" max="270" width="9.7109375" customWidth="1"/>
    <col min="271" max="271" width="7.7109375" customWidth="1"/>
    <col min="272" max="281" width="0" hidden="1" customWidth="1"/>
    <col min="282" max="282" width="9.7109375" customWidth="1"/>
    <col min="283" max="283" width="15.7109375" customWidth="1"/>
    <col min="284" max="284" width="4.140625" customWidth="1"/>
    <col min="513" max="515" width="4.140625" customWidth="1"/>
    <col min="516" max="517" width="13.7109375" customWidth="1"/>
    <col min="518" max="518" width="40.7109375" customWidth="1"/>
    <col min="519" max="519" width="8.7109375" customWidth="1"/>
    <col min="520" max="520" width="9.7109375" customWidth="1"/>
    <col min="521" max="521" width="0" hidden="1" customWidth="1"/>
    <col min="522" max="522" width="16.5703125" customWidth="1"/>
    <col min="523" max="523" width="16.42578125" customWidth="1"/>
    <col min="524" max="526" width="9.7109375" customWidth="1"/>
    <col min="527" max="527" width="7.7109375" customWidth="1"/>
    <col min="528" max="537" width="0" hidden="1" customWidth="1"/>
    <col min="538" max="538" width="9.7109375" customWidth="1"/>
    <col min="539" max="539" width="15.7109375" customWidth="1"/>
    <col min="540" max="540" width="4.140625" customWidth="1"/>
    <col min="769" max="771" width="4.140625" customWidth="1"/>
    <col min="772" max="773" width="13.7109375" customWidth="1"/>
    <col min="774" max="774" width="40.7109375" customWidth="1"/>
    <col min="775" max="775" width="8.7109375" customWidth="1"/>
    <col min="776" max="776" width="9.7109375" customWidth="1"/>
    <col min="777" max="777" width="0" hidden="1" customWidth="1"/>
    <col min="778" max="778" width="16.5703125" customWidth="1"/>
    <col min="779" max="779" width="16.42578125" customWidth="1"/>
    <col min="780" max="782" width="9.7109375" customWidth="1"/>
    <col min="783" max="783" width="7.7109375" customWidth="1"/>
    <col min="784" max="793" width="0" hidden="1" customWidth="1"/>
    <col min="794" max="794" width="9.7109375" customWidth="1"/>
    <col min="795" max="795" width="15.7109375" customWidth="1"/>
    <col min="796" max="796" width="4.140625" customWidth="1"/>
    <col min="1025" max="1027" width="4.140625" customWidth="1"/>
    <col min="1028" max="1029" width="13.7109375" customWidth="1"/>
    <col min="1030" max="1030" width="40.7109375" customWidth="1"/>
    <col min="1031" max="1031" width="8.7109375" customWidth="1"/>
    <col min="1032" max="1032" width="9.7109375" customWidth="1"/>
    <col min="1033" max="1033" width="0" hidden="1" customWidth="1"/>
    <col min="1034" max="1034" width="16.5703125" customWidth="1"/>
    <col min="1035" max="1035" width="16.42578125" customWidth="1"/>
    <col min="1036" max="1038" width="9.7109375" customWidth="1"/>
    <col min="1039" max="1039" width="7.7109375" customWidth="1"/>
    <col min="1040" max="1049" width="0" hidden="1" customWidth="1"/>
    <col min="1050" max="1050" width="9.7109375" customWidth="1"/>
    <col min="1051" max="1051" width="15.7109375" customWidth="1"/>
    <col min="1052" max="1052" width="4.140625" customWidth="1"/>
    <col min="1281" max="1283" width="4.140625" customWidth="1"/>
    <col min="1284" max="1285" width="13.7109375" customWidth="1"/>
    <col min="1286" max="1286" width="40.7109375" customWidth="1"/>
    <col min="1287" max="1287" width="8.7109375" customWidth="1"/>
    <col min="1288" max="1288" width="9.7109375" customWidth="1"/>
    <col min="1289" max="1289" width="0" hidden="1" customWidth="1"/>
    <col min="1290" max="1290" width="16.5703125" customWidth="1"/>
    <col min="1291" max="1291" width="16.42578125" customWidth="1"/>
    <col min="1292" max="1294" width="9.7109375" customWidth="1"/>
    <col min="1295" max="1295" width="7.7109375" customWidth="1"/>
    <col min="1296" max="1305" width="0" hidden="1" customWidth="1"/>
    <col min="1306" max="1306" width="9.7109375" customWidth="1"/>
    <col min="1307" max="1307" width="15.7109375" customWidth="1"/>
    <col min="1308" max="1308" width="4.140625" customWidth="1"/>
    <col min="1537" max="1539" width="4.140625" customWidth="1"/>
    <col min="1540" max="1541" width="13.7109375" customWidth="1"/>
    <col min="1542" max="1542" width="40.7109375" customWidth="1"/>
    <col min="1543" max="1543" width="8.7109375" customWidth="1"/>
    <col min="1544" max="1544" width="9.7109375" customWidth="1"/>
    <col min="1545" max="1545" width="0" hidden="1" customWidth="1"/>
    <col min="1546" max="1546" width="16.5703125" customWidth="1"/>
    <col min="1547" max="1547" width="16.42578125" customWidth="1"/>
    <col min="1548" max="1550" width="9.7109375" customWidth="1"/>
    <col min="1551" max="1551" width="7.7109375" customWidth="1"/>
    <col min="1552" max="1561" width="0" hidden="1" customWidth="1"/>
    <col min="1562" max="1562" width="9.7109375" customWidth="1"/>
    <col min="1563" max="1563" width="15.7109375" customWidth="1"/>
    <col min="1564" max="1564" width="4.140625" customWidth="1"/>
    <col min="1793" max="1795" width="4.140625" customWidth="1"/>
    <col min="1796" max="1797" width="13.7109375" customWidth="1"/>
    <col min="1798" max="1798" width="40.7109375" customWidth="1"/>
    <col min="1799" max="1799" width="8.7109375" customWidth="1"/>
    <col min="1800" max="1800" width="9.7109375" customWidth="1"/>
    <col min="1801" max="1801" width="0" hidden="1" customWidth="1"/>
    <col min="1802" max="1802" width="16.5703125" customWidth="1"/>
    <col min="1803" max="1803" width="16.42578125" customWidth="1"/>
    <col min="1804" max="1806" width="9.7109375" customWidth="1"/>
    <col min="1807" max="1807" width="7.7109375" customWidth="1"/>
    <col min="1808" max="1817" width="0" hidden="1" customWidth="1"/>
    <col min="1818" max="1818" width="9.7109375" customWidth="1"/>
    <col min="1819" max="1819" width="15.7109375" customWidth="1"/>
    <col min="1820" max="1820" width="4.140625" customWidth="1"/>
    <col min="2049" max="2051" width="4.140625" customWidth="1"/>
    <col min="2052" max="2053" width="13.7109375" customWidth="1"/>
    <col min="2054" max="2054" width="40.7109375" customWidth="1"/>
    <col min="2055" max="2055" width="8.7109375" customWidth="1"/>
    <col min="2056" max="2056" width="9.7109375" customWidth="1"/>
    <col min="2057" max="2057" width="0" hidden="1" customWidth="1"/>
    <col min="2058" max="2058" width="16.5703125" customWidth="1"/>
    <col min="2059" max="2059" width="16.42578125" customWidth="1"/>
    <col min="2060" max="2062" width="9.7109375" customWidth="1"/>
    <col min="2063" max="2063" width="7.7109375" customWidth="1"/>
    <col min="2064" max="2073" width="0" hidden="1" customWidth="1"/>
    <col min="2074" max="2074" width="9.7109375" customWidth="1"/>
    <col min="2075" max="2075" width="15.7109375" customWidth="1"/>
    <col min="2076" max="2076" width="4.140625" customWidth="1"/>
    <col min="2305" max="2307" width="4.140625" customWidth="1"/>
    <col min="2308" max="2309" width="13.7109375" customWidth="1"/>
    <col min="2310" max="2310" width="40.7109375" customWidth="1"/>
    <col min="2311" max="2311" width="8.7109375" customWidth="1"/>
    <col min="2312" max="2312" width="9.7109375" customWidth="1"/>
    <col min="2313" max="2313" width="0" hidden="1" customWidth="1"/>
    <col min="2314" max="2314" width="16.5703125" customWidth="1"/>
    <col min="2315" max="2315" width="16.42578125" customWidth="1"/>
    <col min="2316" max="2318" width="9.7109375" customWidth="1"/>
    <col min="2319" max="2319" width="7.7109375" customWidth="1"/>
    <col min="2320" max="2329" width="0" hidden="1" customWidth="1"/>
    <col min="2330" max="2330" width="9.7109375" customWidth="1"/>
    <col min="2331" max="2331" width="15.7109375" customWidth="1"/>
    <col min="2332" max="2332" width="4.140625" customWidth="1"/>
    <col min="2561" max="2563" width="4.140625" customWidth="1"/>
    <col min="2564" max="2565" width="13.7109375" customWidth="1"/>
    <col min="2566" max="2566" width="40.7109375" customWidth="1"/>
    <col min="2567" max="2567" width="8.7109375" customWidth="1"/>
    <col min="2568" max="2568" width="9.7109375" customWidth="1"/>
    <col min="2569" max="2569" width="0" hidden="1" customWidth="1"/>
    <col min="2570" max="2570" width="16.5703125" customWidth="1"/>
    <col min="2571" max="2571" width="16.42578125" customWidth="1"/>
    <col min="2572" max="2574" width="9.7109375" customWidth="1"/>
    <col min="2575" max="2575" width="7.7109375" customWidth="1"/>
    <col min="2576" max="2585" width="0" hidden="1" customWidth="1"/>
    <col min="2586" max="2586" width="9.7109375" customWidth="1"/>
    <col min="2587" max="2587" width="15.7109375" customWidth="1"/>
    <col min="2588" max="2588" width="4.140625" customWidth="1"/>
    <col min="2817" max="2819" width="4.140625" customWidth="1"/>
    <col min="2820" max="2821" width="13.7109375" customWidth="1"/>
    <col min="2822" max="2822" width="40.7109375" customWidth="1"/>
    <col min="2823" max="2823" width="8.7109375" customWidth="1"/>
    <col min="2824" max="2824" width="9.7109375" customWidth="1"/>
    <col min="2825" max="2825" width="0" hidden="1" customWidth="1"/>
    <col min="2826" max="2826" width="16.5703125" customWidth="1"/>
    <col min="2827" max="2827" width="16.42578125" customWidth="1"/>
    <col min="2828" max="2830" width="9.7109375" customWidth="1"/>
    <col min="2831" max="2831" width="7.7109375" customWidth="1"/>
    <col min="2832" max="2841" width="0" hidden="1" customWidth="1"/>
    <col min="2842" max="2842" width="9.7109375" customWidth="1"/>
    <col min="2843" max="2843" width="15.7109375" customWidth="1"/>
    <col min="2844" max="2844" width="4.140625" customWidth="1"/>
    <col min="3073" max="3075" width="4.140625" customWidth="1"/>
    <col min="3076" max="3077" width="13.7109375" customWidth="1"/>
    <col min="3078" max="3078" width="40.7109375" customWidth="1"/>
    <col min="3079" max="3079" width="8.7109375" customWidth="1"/>
    <col min="3080" max="3080" width="9.7109375" customWidth="1"/>
    <col min="3081" max="3081" width="0" hidden="1" customWidth="1"/>
    <col min="3082" max="3082" width="16.5703125" customWidth="1"/>
    <col min="3083" max="3083" width="16.42578125" customWidth="1"/>
    <col min="3084" max="3086" width="9.7109375" customWidth="1"/>
    <col min="3087" max="3087" width="7.7109375" customWidth="1"/>
    <col min="3088" max="3097" width="0" hidden="1" customWidth="1"/>
    <col min="3098" max="3098" width="9.7109375" customWidth="1"/>
    <col min="3099" max="3099" width="15.7109375" customWidth="1"/>
    <col min="3100" max="3100" width="4.140625" customWidth="1"/>
    <col min="3329" max="3331" width="4.140625" customWidth="1"/>
    <col min="3332" max="3333" width="13.7109375" customWidth="1"/>
    <col min="3334" max="3334" width="40.7109375" customWidth="1"/>
    <col min="3335" max="3335" width="8.7109375" customWidth="1"/>
    <col min="3336" max="3336" width="9.7109375" customWidth="1"/>
    <col min="3337" max="3337" width="0" hidden="1" customWidth="1"/>
    <col min="3338" max="3338" width="16.5703125" customWidth="1"/>
    <col min="3339" max="3339" width="16.42578125" customWidth="1"/>
    <col min="3340" max="3342" width="9.7109375" customWidth="1"/>
    <col min="3343" max="3343" width="7.7109375" customWidth="1"/>
    <col min="3344" max="3353" width="0" hidden="1" customWidth="1"/>
    <col min="3354" max="3354" width="9.7109375" customWidth="1"/>
    <col min="3355" max="3355" width="15.7109375" customWidth="1"/>
    <col min="3356" max="3356" width="4.140625" customWidth="1"/>
    <col min="3585" max="3587" width="4.140625" customWidth="1"/>
    <col min="3588" max="3589" width="13.7109375" customWidth="1"/>
    <col min="3590" max="3590" width="40.7109375" customWidth="1"/>
    <col min="3591" max="3591" width="8.7109375" customWidth="1"/>
    <col min="3592" max="3592" width="9.7109375" customWidth="1"/>
    <col min="3593" max="3593" width="0" hidden="1" customWidth="1"/>
    <col min="3594" max="3594" width="16.5703125" customWidth="1"/>
    <col min="3595" max="3595" width="16.42578125" customWidth="1"/>
    <col min="3596" max="3598" width="9.7109375" customWidth="1"/>
    <col min="3599" max="3599" width="7.7109375" customWidth="1"/>
    <col min="3600" max="3609" width="0" hidden="1" customWidth="1"/>
    <col min="3610" max="3610" width="9.7109375" customWidth="1"/>
    <col min="3611" max="3611" width="15.7109375" customWidth="1"/>
    <col min="3612" max="3612" width="4.140625" customWidth="1"/>
    <col min="3841" max="3843" width="4.140625" customWidth="1"/>
    <col min="3844" max="3845" width="13.7109375" customWidth="1"/>
    <col min="3846" max="3846" width="40.7109375" customWidth="1"/>
    <col min="3847" max="3847" width="8.7109375" customWidth="1"/>
    <col min="3848" max="3848" width="9.7109375" customWidth="1"/>
    <col min="3849" max="3849" width="0" hidden="1" customWidth="1"/>
    <col min="3850" max="3850" width="16.5703125" customWidth="1"/>
    <col min="3851" max="3851" width="16.42578125" customWidth="1"/>
    <col min="3852" max="3854" width="9.7109375" customWidth="1"/>
    <col min="3855" max="3855" width="7.7109375" customWidth="1"/>
    <col min="3856" max="3865" width="0" hidden="1" customWidth="1"/>
    <col min="3866" max="3866" width="9.7109375" customWidth="1"/>
    <col min="3867" max="3867" width="15.7109375" customWidth="1"/>
    <col min="3868" max="3868" width="4.140625" customWidth="1"/>
    <col min="4097" max="4099" width="4.140625" customWidth="1"/>
    <col min="4100" max="4101" width="13.7109375" customWidth="1"/>
    <col min="4102" max="4102" width="40.7109375" customWidth="1"/>
    <col min="4103" max="4103" width="8.7109375" customWidth="1"/>
    <col min="4104" max="4104" width="9.7109375" customWidth="1"/>
    <col min="4105" max="4105" width="0" hidden="1" customWidth="1"/>
    <col min="4106" max="4106" width="16.5703125" customWidth="1"/>
    <col min="4107" max="4107" width="16.42578125" customWidth="1"/>
    <col min="4108" max="4110" width="9.7109375" customWidth="1"/>
    <col min="4111" max="4111" width="7.7109375" customWidth="1"/>
    <col min="4112" max="4121" width="0" hidden="1" customWidth="1"/>
    <col min="4122" max="4122" width="9.7109375" customWidth="1"/>
    <col min="4123" max="4123" width="15.7109375" customWidth="1"/>
    <col min="4124" max="4124" width="4.140625" customWidth="1"/>
    <col min="4353" max="4355" width="4.140625" customWidth="1"/>
    <col min="4356" max="4357" width="13.7109375" customWidth="1"/>
    <col min="4358" max="4358" width="40.7109375" customWidth="1"/>
    <col min="4359" max="4359" width="8.7109375" customWidth="1"/>
    <col min="4360" max="4360" width="9.7109375" customWidth="1"/>
    <col min="4361" max="4361" width="0" hidden="1" customWidth="1"/>
    <col min="4362" max="4362" width="16.5703125" customWidth="1"/>
    <col min="4363" max="4363" width="16.42578125" customWidth="1"/>
    <col min="4364" max="4366" width="9.7109375" customWidth="1"/>
    <col min="4367" max="4367" width="7.7109375" customWidth="1"/>
    <col min="4368" max="4377" width="0" hidden="1" customWidth="1"/>
    <col min="4378" max="4378" width="9.7109375" customWidth="1"/>
    <col min="4379" max="4379" width="15.7109375" customWidth="1"/>
    <col min="4380" max="4380" width="4.140625" customWidth="1"/>
    <col min="4609" max="4611" width="4.140625" customWidth="1"/>
    <col min="4612" max="4613" width="13.7109375" customWidth="1"/>
    <col min="4614" max="4614" width="40.7109375" customWidth="1"/>
    <col min="4615" max="4615" width="8.7109375" customWidth="1"/>
    <col min="4616" max="4616" width="9.7109375" customWidth="1"/>
    <col min="4617" max="4617" width="0" hidden="1" customWidth="1"/>
    <col min="4618" max="4618" width="16.5703125" customWidth="1"/>
    <col min="4619" max="4619" width="16.42578125" customWidth="1"/>
    <col min="4620" max="4622" width="9.7109375" customWidth="1"/>
    <col min="4623" max="4623" width="7.7109375" customWidth="1"/>
    <col min="4624" max="4633" width="0" hidden="1" customWidth="1"/>
    <col min="4634" max="4634" width="9.7109375" customWidth="1"/>
    <col min="4635" max="4635" width="15.7109375" customWidth="1"/>
    <col min="4636" max="4636" width="4.140625" customWidth="1"/>
    <col min="4865" max="4867" width="4.140625" customWidth="1"/>
    <col min="4868" max="4869" width="13.7109375" customWidth="1"/>
    <col min="4870" max="4870" width="40.7109375" customWidth="1"/>
    <col min="4871" max="4871" width="8.7109375" customWidth="1"/>
    <col min="4872" max="4872" width="9.7109375" customWidth="1"/>
    <col min="4873" max="4873" width="0" hidden="1" customWidth="1"/>
    <col min="4874" max="4874" width="16.5703125" customWidth="1"/>
    <col min="4875" max="4875" width="16.42578125" customWidth="1"/>
    <col min="4876" max="4878" width="9.7109375" customWidth="1"/>
    <col min="4879" max="4879" width="7.7109375" customWidth="1"/>
    <col min="4880" max="4889" width="0" hidden="1" customWidth="1"/>
    <col min="4890" max="4890" width="9.7109375" customWidth="1"/>
    <col min="4891" max="4891" width="15.7109375" customWidth="1"/>
    <col min="4892" max="4892" width="4.140625" customWidth="1"/>
    <col min="5121" max="5123" width="4.140625" customWidth="1"/>
    <col min="5124" max="5125" width="13.7109375" customWidth="1"/>
    <col min="5126" max="5126" width="40.7109375" customWidth="1"/>
    <col min="5127" max="5127" width="8.7109375" customWidth="1"/>
    <col min="5128" max="5128" width="9.7109375" customWidth="1"/>
    <col min="5129" max="5129" width="0" hidden="1" customWidth="1"/>
    <col min="5130" max="5130" width="16.5703125" customWidth="1"/>
    <col min="5131" max="5131" width="16.42578125" customWidth="1"/>
    <col min="5132" max="5134" width="9.7109375" customWidth="1"/>
    <col min="5135" max="5135" width="7.7109375" customWidth="1"/>
    <col min="5136" max="5145" width="0" hidden="1" customWidth="1"/>
    <col min="5146" max="5146" width="9.7109375" customWidth="1"/>
    <col min="5147" max="5147" width="15.7109375" customWidth="1"/>
    <col min="5148" max="5148" width="4.140625" customWidth="1"/>
    <col min="5377" max="5379" width="4.140625" customWidth="1"/>
    <col min="5380" max="5381" width="13.7109375" customWidth="1"/>
    <col min="5382" max="5382" width="40.7109375" customWidth="1"/>
    <col min="5383" max="5383" width="8.7109375" customWidth="1"/>
    <col min="5384" max="5384" width="9.7109375" customWidth="1"/>
    <col min="5385" max="5385" width="0" hidden="1" customWidth="1"/>
    <col min="5386" max="5386" width="16.5703125" customWidth="1"/>
    <col min="5387" max="5387" width="16.42578125" customWidth="1"/>
    <col min="5388" max="5390" width="9.7109375" customWidth="1"/>
    <col min="5391" max="5391" width="7.7109375" customWidth="1"/>
    <col min="5392" max="5401" width="0" hidden="1" customWidth="1"/>
    <col min="5402" max="5402" width="9.7109375" customWidth="1"/>
    <col min="5403" max="5403" width="15.7109375" customWidth="1"/>
    <col min="5404" max="5404" width="4.140625" customWidth="1"/>
    <col min="5633" max="5635" width="4.140625" customWidth="1"/>
    <col min="5636" max="5637" width="13.7109375" customWidth="1"/>
    <col min="5638" max="5638" width="40.7109375" customWidth="1"/>
    <col min="5639" max="5639" width="8.7109375" customWidth="1"/>
    <col min="5640" max="5640" width="9.7109375" customWidth="1"/>
    <col min="5641" max="5641" width="0" hidden="1" customWidth="1"/>
    <col min="5642" max="5642" width="16.5703125" customWidth="1"/>
    <col min="5643" max="5643" width="16.42578125" customWidth="1"/>
    <col min="5644" max="5646" width="9.7109375" customWidth="1"/>
    <col min="5647" max="5647" width="7.7109375" customWidth="1"/>
    <col min="5648" max="5657" width="0" hidden="1" customWidth="1"/>
    <col min="5658" max="5658" width="9.7109375" customWidth="1"/>
    <col min="5659" max="5659" width="15.7109375" customWidth="1"/>
    <col min="5660" max="5660" width="4.140625" customWidth="1"/>
    <col min="5889" max="5891" width="4.140625" customWidth="1"/>
    <col min="5892" max="5893" width="13.7109375" customWidth="1"/>
    <col min="5894" max="5894" width="40.7109375" customWidth="1"/>
    <col min="5895" max="5895" width="8.7109375" customWidth="1"/>
    <col min="5896" max="5896" width="9.7109375" customWidth="1"/>
    <col min="5897" max="5897" width="0" hidden="1" customWidth="1"/>
    <col min="5898" max="5898" width="16.5703125" customWidth="1"/>
    <col min="5899" max="5899" width="16.42578125" customWidth="1"/>
    <col min="5900" max="5902" width="9.7109375" customWidth="1"/>
    <col min="5903" max="5903" width="7.7109375" customWidth="1"/>
    <col min="5904" max="5913" width="0" hidden="1" customWidth="1"/>
    <col min="5914" max="5914" width="9.7109375" customWidth="1"/>
    <col min="5915" max="5915" width="15.7109375" customWidth="1"/>
    <col min="5916" max="5916" width="4.140625" customWidth="1"/>
    <col min="6145" max="6147" width="4.140625" customWidth="1"/>
    <col min="6148" max="6149" width="13.7109375" customWidth="1"/>
    <col min="6150" max="6150" width="40.7109375" customWidth="1"/>
    <col min="6151" max="6151" width="8.7109375" customWidth="1"/>
    <col min="6152" max="6152" width="9.7109375" customWidth="1"/>
    <col min="6153" max="6153" width="0" hidden="1" customWidth="1"/>
    <col min="6154" max="6154" width="16.5703125" customWidth="1"/>
    <col min="6155" max="6155" width="16.42578125" customWidth="1"/>
    <col min="6156" max="6158" width="9.7109375" customWidth="1"/>
    <col min="6159" max="6159" width="7.7109375" customWidth="1"/>
    <col min="6160" max="6169" width="0" hidden="1" customWidth="1"/>
    <col min="6170" max="6170" width="9.7109375" customWidth="1"/>
    <col min="6171" max="6171" width="15.7109375" customWidth="1"/>
    <col min="6172" max="6172" width="4.140625" customWidth="1"/>
    <col min="6401" max="6403" width="4.140625" customWidth="1"/>
    <col min="6404" max="6405" width="13.7109375" customWidth="1"/>
    <col min="6406" max="6406" width="40.7109375" customWidth="1"/>
    <col min="6407" max="6407" width="8.7109375" customWidth="1"/>
    <col min="6408" max="6408" width="9.7109375" customWidth="1"/>
    <col min="6409" max="6409" width="0" hidden="1" customWidth="1"/>
    <col min="6410" max="6410" width="16.5703125" customWidth="1"/>
    <col min="6411" max="6411" width="16.42578125" customWidth="1"/>
    <col min="6412" max="6414" width="9.7109375" customWidth="1"/>
    <col min="6415" max="6415" width="7.7109375" customWidth="1"/>
    <col min="6416" max="6425" width="0" hidden="1" customWidth="1"/>
    <col min="6426" max="6426" width="9.7109375" customWidth="1"/>
    <col min="6427" max="6427" width="15.7109375" customWidth="1"/>
    <col min="6428" max="6428" width="4.140625" customWidth="1"/>
    <col min="6657" max="6659" width="4.140625" customWidth="1"/>
    <col min="6660" max="6661" width="13.7109375" customWidth="1"/>
    <col min="6662" max="6662" width="40.7109375" customWidth="1"/>
    <col min="6663" max="6663" width="8.7109375" customWidth="1"/>
    <col min="6664" max="6664" width="9.7109375" customWidth="1"/>
    <col min="6665" max="6665" width="0" hidden="1" customWidth="1"/>
    <col min="6666" max="6666" width="16.5703125" customWidth="1"/>
    <col min="6667" max="6667" width="16.42578125" customWidth="1"/>
    <col min="6668" max="6670" width="9.7109375" customWidth="1"/>
    <col min="6671" max="6671" width="7.7109375" customWidth="1"/>
    <col min="6672" max="6681" width="0" hidden="1" customWidth="1"/>
    <col min="6682" max="6682" width="9.7109375" customWidth="1"/>
    <col min="6683" max="6683" width="15.7109375" customWidth="1"/>
    <col min="6684" max="6684" width="4.140625" customWidth="1"/>
    <col min="6913" max="6915" width="4.140625" customWidth="1"/>
    <col min="6916" max="6917" width="13.7109375" customWidth="1"/>
    <col min="6918" max="6918" width="40.7109375" customWidth="1"/>
    <col min="6919" max="6919" width="8.7109375" customWidth="1"/>
    <col min="6920" max="6920" width="9.7109375" customWidth="1"/>
    <col min="6921" max="6921" width="0" hidden="1" customWidth="1"/>
    <col min="6922" max="6922" width="16.5703125" customWidth="1"/>
    <col min="6923" max="6923" width="16.42578125" customWidth="1"/>
    <col min="6924" max="6926" width="9.7109375" customWidth="1"/>
    <col min="6927" max="6927" width="7.7109375" customWidth="1"/>
    <col min="6928" max="6937" width="0" hidden="1" customWidth="1"/>
    <col min="6938" max="6938" width="9.7109375" customWidth="1"/>
    <col min="6939" max="6939" width="15.7109375" customWidth="1"/>
    <col min="6940" max="6940" width="4.140625" customWidth="1"/>
    <col min="7169" max="7171" width="4.140625" customWidth="1"/>
    <col min="7172" max="7173" width="13.7109375" customWidth="1"/>
    <col min="7174" max="7174" width="40.7109375" customWidth="1"/>
    <col min="7175" max="7175" width="8.7109375" customWidth="1"/>
    <col min="7176" max="7176" width="9.7109375" customWidth="1"/>
    <col min="7177" max="7177" width="0" hidden="1" customWidth="1"/>
    <col min="7178" max="7178" width="16.5703125" customWidth="1"/>
    <col min="7179" max="7179" width="16.42578125" customWidth="1"/>
    <col min="7180" max="7182" width="9.7109375" customWidth="1"/>
    <col min="7183" max="7183" width="7.7109375" customWidth="1"/>
    <col min="7184" max="7193" width="0" hidden="1" customWidth="1"/>
    <col min="7194" max="7194" width="9.7109375" customWidth="1"/>
    <col min="7195" max="7195" width="15.7109375" customWidth="1"/>
    <col min="7196" max="7196" width="4.140625" customWidth="1"/>
    <col min="7425" max="7427" width="4.140625" customWidth="1"/>
    <col min="7428" max="7429" width="13.7109375" customWidth="1"/>
    <col min="7430" max="7430" width="40.7109375" customWidth="1"/>
    <col min="7431" max="7431" width="8.7109375" customWidth="1"/>
    <col min="7432" max="7432" width="9.7109375" customWidth="1"/>
    <col min="7433" max="7433" width="0" hidden="1" customWidth="1"/>
    <col min="7434" max="7434" width="16.5703125" customWidth="1"/>
    <col min="7435" max="7435" width="16.42578125" customWidth="1"/>
    <col min="7436" max="7438" width="9.7109375" customWidth="1"/>
    <col min="7439" max="7439" width="7.7109375" customWidth="1"/>
    <col min="7440" max="7449" width="0" hidden="1" customWidth="1"/>
    <col min="7450" max="7450" width="9.7109375" customWidth="1"/>
    <col min="7451" max="7451" width="15.7109375" customWidth="1"/>
    <col min="7452" max="7452" width="4.140625" customWidth="1"/>
    <col min="7681" max="7683" width="4.140625" customWidth="1"/>
    <col min="7684" max="7685" width="13.7109375" customWidth="1"/>
    <col min="7686" max="7686" width="40.7109375" customWidth="1"/>
    <col min="7687" max="7687" width="8.7109375" customWidth="1"/>
    <col min="7688" max="7688" width="9.7109375" customWidth="1"/>
    <col min="7689" max="7689" width="0" hidden="1" customWidth="1"/>
    <col min="7690" max="7690" width="16.5703125" customWidth="1"/>
    <col min="7691" max="7691" width="16.42578125" customWidth="1"/>
    <col min="7692" max="7694" width="9.7109375" customWidth="1"/>
    <col min="7695" max="7695" width="7.7109375" customWidth="1"/>
    <col min="7696" max="7705" width="0" hidden="1" customWidth="1"/>
    <col min="7706" max="7706" width="9.7109375" customWidth="1"/>
    <col min="7707" max="7707" width="15.7109375" customWidth="1"/>
    <col min="7708" max="7708" width="4.140625" customWidth="1"/>
    <col min="7937" max="7939" width="4.140625" customWidth="1"/>
    <col min="7940" max="7941" width="13.7109375" customWidth="1"/>
    <col min="7942" max="7942" width="40.7109375" customWidth="1"/>
    <col min="7943" max="7943" width="8.7109375" customWidth="1"/>
    <col min="7944" max="7944" width="9.7109375" customWidth="1"/>
    <col min="7945" max="7945" width="0" hidden="1" customWidth="1"/>
    <col min="7946" max="7946" width="16.5703125" customWidth="1"/>
    <col min="7947" max="7947" width="16.42578125" customWidth="1"/>
    <col min="7948" max="7950" width="9.7109375" customWidth="1"/>
    <col min="7951" max="7951" width="7.7109375" customWidth="1"/>
    <col min="7952" max="7961" width="0" hidden="1" customWidth="1"/>
    <col min="7962" max="7962" width="9.7109375" customWidth="1"/>
    <col min="7963" max="7963" width="15.7109375" customWidth="1"/>
    <col min="7964" max="7964" width="4.140625" customWidth="1"/>
    <col min="8193" max="8195" width="4.140625" customWidth="1"/>
    <col min="8196" max="8197" width="13.7109375" customWidth="1"/>
    <col min="8198" max="8198" width="40.7109375" customWidth="1"/>
    <col min="8199" max="8199" width="8.7109375" customWidth="1"/>
    <col min="8200" max="8200" width="9.7109375" customWidth="1"/>
    <col min="8201" max="8201" width="0" hidden="1" customWidth="1"/>
    <col min="8202" max="8202" width="16.5703125" customWidth="1"/>
    <col min="8203" max="8203" width="16.42578125" customWidth="1"/>
    <col min="8204" max="8206" width="9.7109375" customWidth="1"/>
    <col min="8207" max="8207" width="7.7109375" customWidth="1"/>
    <col min="8208" max="8217" width="0" hidden="1" customWidth="1"/>
    <col min="8218" max="8218" width="9.7109375" customWidth="1"/>
    <col min="8219" max="8219" width="15.7109375" customWidth="1"/>
    <col min="8220" max="8220" width="4.140625" customWidth="1"/>
    <col min="8449" max="8451" width="4.140625" customWidth="1"/>
    <col min="8452" max="8453" width="13.7109375" customWidth="1"/>
    <col min="8454" max="8454" width="40.7109375" customWidth="1"/>
    <col min="8455" max="8455" width="8.7109375" customWidth="1"/>
    <col min="8456" max="8456" width="9.7109375" customWidth="1"/>
    <col min="8457" max="8457" width="0" hidden="1" customWidth="1"/>
    <col min="8458" max="8458" width="16.5703125" customWidth="1"/>
    <col min="8459" max="8459" width="16.42578125" customWidth="1"/>
    <col min="8460" max="8462" width="9.7109375" customWidth="1"/>
    <col min="8463" max="8463" width="7.7109375" customWidth="1"/>
    <col min="8464" max="8473" width="0" hidden="1" customWidth="1"/>
    <col min="8474" max="8474" width="9.7109375" customWidth="1"/>
    <col min="8475" max="8475" width="15.7109375" customWidth="1"/>
    <col min="8476" max="8476" width="4.140625" customWidth="1"/>
    <col min="8705" max="8707" width="4.140625" customWidth="1"/>
    <col min="8708" max="8709" width="13.7109375" customWidth="1"/>
    <col min="8710" max="8710" width="40.7109375" customWidth="1"/>
    <col min="8711" max="8711" width="8.7109375" customWidth="1"/>
    <col min="8712" max="8712" width="9.7109375" customWidth="1"/>
    <col min="8713" max="8713" width="0" hidden="1" customWidth="1"/>
    <col min="8714" max="8714" width="16.5703125" customWidth="1"/>
    <col min="8715" max="8715" width="16.42578125" customWidth="1"/>
    <col min="8716" max="8718" width="9.7109375" customWidth="1"/>
    <col min="8719" max="8719" width="7.7109375" customWidth="1"/>
    <col min="8720" max="8729" width="0" hidden="1" customWidth="1"/>
    <col min="8730" max="8730" width="9.7109375" customWidth="1"/>
    <col min="8731" max="8731" width="15.7109375" customWidth="1"/>
    <col min="8732" max="8732" width="4.140625" customWidth="1"/>
    <col min="8961" max="8963" width="4.140625" customWidth="1"/>
    <col min="8964" max="8965" width="13.7109375" customWidth="1"/>
    <col min="8966" max="8966" width="40.7109375" customWidth="1"/>
    <col min="8967" max="8967" width="8.7109375" customWidth="1"/>
    <col min="8968" max="8968" width="9.7109375" customWidth="1"/>
    <col min="8969" max="8969" width="0" hidden="1" customWidth="1"/>
    <col min="8970" max="8970" width="16.5703125" customWidth="1"/>
    <col min="8971" max="8971" width="16.42578125" customWidth="1"/>
    <col min="8972" max="8974" width="9.7109375" customWidth="1"/>
    <col min="8975" max="8975" width="7.7109375" customWidth="1"/>
    <col min="8976" max="8985" width="0" hidden="1" customWidth="1"/>
    <col min="8986" max="8986" width="9.7109375" customWidth="1"/>
    <col min="8987" max="8987" width="15.7109375" customWidth="1"/>
    <col min="8988" max="8988" width="4.140625" customWidth="1"/>
    <col min="9217" max="9219" width="4.140625" customWidth="1"/>
    <col min="9220" max="9221" width="13.7109375" customWidth="1"/>
    <col min="9222" max="9222" width="40.7109375" customWidth="1"/>
    <col min="9223" max="9223" width="8.7109375" customWidth="1"/>
    <col min="9224" max="9224" width="9.7109375" customWidth="1"/>
    <col min="9225" max="9225" width="0" hidden="1" customWidth="1"/>
    <col min="9226" max="9226" width="16.5703125" customWidth="1"/>
    <col min="9227" max="9227" width="16.42578125" customWidth="1"/>
    <col min="9228" max="9230" width="9.7109375" customWidth="1"/>
    <col min="9231" max="9231" width="7.7109375" customWidth="1"/>
    <col min="9232" max="9241" width="0" hidden="1" customWidth="1"/>
    <col min="9242" max="9242" width="9.7109375" customWidth="1"/>
    <col min="9243" max="9243" width="15.7109375" customWidth="1"/>
    <col min="9244" max="9244" width="4.140625" customWidth="1"/>
    <col min="9473" max="9475" width="4.140625" customWidth="1"/>
    <col min="9476" max="9477" width="13.7109375" customWidth="1"/>
    <col min="9478" max="9478" width="40.7109375" customWidth="1"/>
    <col min="9479" max="9479" width="8.7109375" customWidth="1"/>
    <col min="9480" max="9480" width="9.7109375" customWidth="1"/>
    <col min="9481" max="9481" width="0" hidden="1" customWidth="1"/>
    <col min="9482" max="9482" width="16.5703125" customWidth="1"/>
    <col min="9483" max="9483" width="16.42578125" customWidth="1"/>
    <col min="9484" max="9486" width="9.7109375" customWidth="1"/>
    <col min="9487" max="9487" width="7.7109375" customWidth="1"/>
    <col min="9488" max="9497" width="0" hidden="1" customWidth="1"/>
    <col min="9498" max="9498" width="9.7109375" customWidth="1"/>
    <col min="9499" max="9499" width="15.7109375" customWidth="1"/>
    <col min="9500" max="9500" width="4.140625" customWidth="1"/>
    <col min="9729" max="9731" width="4.140625" customWidth="1"/>
    <col min="9732" max="9733" width="13.7109375" customWidth="1"/>
    <col min="9734" max="9734" width="40.7109375" customWidth="1"/>
    <col min="9735" max="9735" width="8.7109375" customWidth="1"/>
    <col min="9736" max="9736" width="9.7109375" customWidth="1"/>
    <col min="9737" max="9737" width="0" hidden="1" customWidth="1"/>
    <col min="9738" max="9738" width="16.5703125" customWidth="1"/>
    <col min="9739" max="9739" width="16.42578125" customWidth="1"/>
    <col min="9740" max="9742" width="9.7109375" customWidth="1"/>
    <col min="9743" max="9743" width="7.7109375" customWidth="1"/>
    <col min="9744" max="9753" width="0" hidden="1" customWidth="1"/>
    <col min="9754" max="9754" width="9.7109375" customWidth="1"/>
    <col min="9755" max="9755" width="15.7109375" customWidth="1"/>
    <col min="9756" max="9756" width="4.140625" customWidth="1"/>
    <col min="9985" max="9987" width="4.140625" customWidth="1"/>
    <col min="9988" max="9989" width="13.7109375" customWidth="1"/>
    <col min="9990" max="9990" width="40.7109375" customWidth="1"/>
    <col min="9991" max="9991" width="8.7109375" customWidth="1"/>
    <col min="9992" max="9992" width="9.7109375" customWidth="1"/>
    <col min="9993" max="9993" width="0" hidden="1" customWidth="1"/>
    <col min="9994" max="9994" width="16.5703125" customWidth="1"/>
    <col min="9995" max="9995" width="16.42578125" customWidth="1"/>
    <col min="9996" max="9998" width="9.7109375" customWidth="1"/>
    <col min="9999" max="9999" width="7.7109375" customWidth="1"/>
    <col min="10000" max="10009" width="0" hidden="1" customWidth="1"/>
    <col min="10010" max="10010" width="9.7109375" customWidth="1"/>
    <col min="10011" max="10011" width="15.7109375" customWidth="1"/>
    <col min="10012" max="10012" width="4.140625" customWidth="1"/>
    <col min="10241" max="10243" width="4.140625" customWidth="1"/>
    <col min="10244" max="10245" width="13.7109375" customWidth="1"/>
    <col min="10246" max="10246" width="40.7109375" customWidth="1"/>
    <col min="10247" max="10247" width="8.7109375" customWidth="1"/>
    <col min="10248" max="10248" width="9.7109375" customWidth="1"/>
    <col min="10249" max="10249" width="0" hidden="1" customWidth="1"/>
    <col min="10250" max="10250" width="16.5703125" customWidth="1"/>
    <col min="10251" max="10251" width="16.42578125" customWidth="1"/>
    <col min="10252" max="10254" width="9.7109375" customWidth="1"/>
    <col min="10255" max="10255" width="7.7109375" customWidth="1"/>
    <col min="10256" max="10265" width="0" hidden="1" customWidth="1"/>
    <col min="10266" max="10266" width="9.7109375" customWidth="1"/>
    <col min="10267" max="10267" width="15.7109375" customWidth="1"/>
    <col min="10268" max="10268" width="4.140625" customWidth="1"/>
    <col min="10497" max="10499" width="4.140625" customWidth="1"/>
    <col min="10500" max="10501" width="13.7109375" customWidth="1"/>
    <col min="10502" max="10502" width="40.7109375" customWidth="1"/>
    <col min="10503" max="10503" width="8.7109375" customWidth="1"/>
    <col min="10504" max="10504" width="9.7109375" customWidth="1"/>
    <col min="10505" max="10505" width="0" hidden="1" customWidth="1"/>
    <col min="10506" max="10506" width="16.5703125" customWidth="1"/>
    <col min="10507" max="10507" width="16.42578125" customWidth="1"/>
    <col min="10508" max="10510" width="9.7109375" customWidth="1"/>
    <col min="10511" max="10511" width="7.7109375" customWidth="1"/>
    <col min="10512" max="10521" width="0" hidden="1" customWidth="1"/>
    <col min="10522" max="10522" width="9.7109375" customWidth="1"/>
    <col min="10523" max="10523" width="15.7109375" customWidth="1"/>
    <col min="10524" max="10524" width="4.140625" customWidth="1"/>
    <col min="10753" max="10755" width="4.140625" customWidth="1"/>
    <col min="10756" max="10757" width="13.7109375" customWidth="1"/>
    <col min="10758" max="10758" width="40.7109375" customWidth="1"/>
    <col min="10759" max="10759" width="8.7109375" customWidth="1"/>
    <col min="10760" max="10760" width="9.7109375" customWidth="1"/>
    <col min="10761" max="10761" width="0" hidden="1" customWidth="1"/>
    <col min="10762" max="10762" width="16.5703125" customWidth="1"/>
    <col min="10763" max="10763" width="16.42578125" customWidth="1"/>
    <col min="10764" max="10766" width="9.7109375" customWidth="1"/>
    <col min="10767" max="10767" width="7.7109375" customWidth="1"/>
    <col min="10768" max="10777" width="0" hidden="1" customWidth="1"/>
    <col min="10778" max="10778" width="9.7109375" customWidth="1"/>
    <col min="10779" max="10779" width="15.7109375" customWidth="1"/>
    <col min="10780" max="10780" width="4.140625" customWidth="1"/>
    <col min="11009" max="11011" width="4.140625" customWidth="1"/>
    <col min="11012" max="11013" width="13.7109375" customWidth="1"/>
    <col min="11014" max="11014" width="40.7109375" customWidth="1"/>
    <col min="11015" max="11015" width="8.7109375" customWidth="1"/>
    <col min="11016" max="11016" width="9.7109375" customWidth="1"/>
    <col min="11017" max="11017" width="0" hidden="1" customWidth="1"/>
    <col min="11018" max="11018" width="16.5703125" customWidth="1"/>
    <col min="11019" max="11019" width="16.42578125" customWidth="1"/>
    <col min="11020" max="11022" width="9.7109375" customWidth="1"/>
    <col min="11023" max="11023" width="7.7109375" customWidth="1"/>
    <col min="11024" max="11033" width="0" hidden="1" customWidth="1"/>
    <col min="11034" max="11034" width="9.7109375" customWidth="1"/>
    <col min="11035" max="11035" width="15.7109375" customWidth="1"/>
    <col min="11036" max="11036" width="4.140625" customWidth="1"/>
    <col min="11265" max="11267" width="4.140625" customWidth="1"/>
    <col min="11268" max="11269" width="13.7109375" customWidth="1"/>
    <col min="11270" max="11270" width="40.7109375" customWidth="1"/>
    <col min="11271" max="11271" width="8.7109375" customWidth="1"/>
    <col min="11272" max="11272" width="9.7109375" customWidth="1"/>
    <col min="11273" max="11273" width="0" hidden="1" customWidth="1"/>
    <col min="11274" max="11274" width="16.5703125" customWidth="1"/>
    <col min="11275" max="11275" width="16.42578125" customWidth="1"/>
    <col min="11276" max="11278" width="9.7109375" customWidth="1"/>
    <col min="11279" max="11279" width="7.7109375" customWidth="1"/>
    <col min="11280" max="11289" width="0" hidden="1" customWidth="1"/>
    <col min="11290" max="11290" width="9.7109375" customWidth="1"/>
    <col min="11291" max="11291" width="15.7109375" customWidth="1"/>
    <col min="11292" max="11292" width="4.140625" customWidth="1"/>
    <col min="11521" max="11523" width="4.140625" customWidth="1"/>
    <col min="11524" max="11525" width="13.7109375" customWidth="1"/>
    <col min="11526" max="11526" width="40.7109375" customWidth="1"/>
    <col min="11527" max="11527" width="8.7109375" customWidth="1"/>
    <col min="11528" max="11528" width="9.7109375" customWidth="1"/>
    <col min="11529" max="11529" width="0" hidden="1" customWidth="1"/>
    <col min="11530" max="11530" width="16.5703125" customWidth="1"/>
    <col min="11531" max="11531" width="16.42578125" customWidth="1"/>
    <col min="11532" max="11534" width="9.7109375" customWidth="1"/>
    <col min="11535" max="11535" width="7.7109375" customWidth="1"/>
    <col min="11536" max="11545" width="0" hidden="1" customWidth="1"/>
    <col min="11546" max="11546" width="9.7109375" customWidth="1"/>
    <col min="11547" max="11547" width="15.7109375" customWidth="1"/>
    <col min="11548" max="11548" width="4.140625" customWidth="1"/>
    <col min="11777" max="11779" width="4.140625" customWidth="1"/>
    <col min="11780" max="11781" width="13.7109375" customWidth="1"/>
    <col min="11782" max="11782" width="40.7109375" customWidth="1"/>
    <col min="11783" max="11783" width="8.7109375" customWidth="1"/>
    <col min="11784" max="11784" width="9.7109375" customWidth="1"/>
    <col min="11785" max="11785" width="0" hidden="1" customWidth="1"/>
    <col min="11786" max="11786" width="16.5703125" customWidth="1"/>
    <col min="11787" max="11787" width="16.42578125" customWidth="1"/>
    <col min="11788" max="11790" width="9.7109375" customWidth="1"/>
    <col min="11791" max="11791" width="7.7109375" customWidth="1"/>
    <col min="11792" max="11801" width="0" hidden="1" customWidth="1"/>
    <col min="11802" max="11802" width="9.7109375" customWidth="1"/>
    <col min="11803" max="11803" width="15.7109375" customWidth="1"/>
    <col min="11804" max="11804" width="4.140625" customWidth="1"/>
    <col min="12033" max="12035" width="4.140625" customWidth="1"/>
    <col min="12036" max="12037" width="13.7109375" customWidth="1"/>
    <col min="12038" max="12038" width="40.7109375" customWidth="1"/>
    <col min="12039" max="12039" width="8.7109375" customWidth="1"/>
    <col min="12040" max="12040" width="9.7109375" customWidth="1"/>
    <col min="12041" max="12041" width="0" hidden="1" customWidth="1"/>
    <col min="12042" max="12042" width="16.5703125" customWidth="1"/>
    <col min="12043" max="12043" width="16.42578125" customWidth="1"/>
    <col min="12044" max="12046" width="9.7109375" customWidth="1"/>
    <col min="12047" max="12047" width="7.7109375" customWidth="1"/>
    <col min="12048" max="12057" width="0" hidden="1" customWidth="1"/>
    <col min="12058" max="12058" width="9.7109375" customWidth="1"/>
    <col min="12059" max="12059" width="15.7109375" customWidth="1"/>
    <col min="12060" max="12060" width="4.140625" customWidth="1"/>
    <col min="12289" max="12291" width="4.140625" customWidth="1"/>
    <col min="12292" max="12293" width="13.7109375" customWidth="1"/>
    <col min="12294" max="12294" width="40.7109375" customWidth="1"/>
    <col min="12295" max="12295" width="8.7109375" customWidth="1"/>
    <col min="12296" max="12296" width="9.7109375" customWidth="1"/>
    <col min="12297" max="12297" width="0" hidden="1" customWidth="1"/>
    <col min="12298" max="12298" width="16.5703125" customWidth="1"/>
    <col min="12299" max="12299" width="16.42578125" customWidth="1"/>
    <col min="12300" max="12302" width="9.7109375" customWidth="1"/>
    <col min="12303" max="12303" width="7.7109375" customWidth="1"/>
    <col min="12304" max="12313" width="0" hidden="1" customWidth="1"/>
    <col min="12314" max="12314" width="9.7109375" customWidth="1"/>
    <col min="12315" max="12315" width="15.7109375" customWidth="1"/>
    <col min="12316" max="12316" width="4.140625" customWidth="1"/>
    <col min="12545" max="12547" width="4.140625" customWidth="1"/>
    <col min="12548" max="12549" width="13.7109375" customWidth="1"/>
    <col min="12550" max="12550" width="40.7109375" customWidth="1"/>
    <col min="12551" max="12551" width="8.7109375" customWidth="1"/>
    <col min="12552" max="12552" width="9.7109375" customWidth="1"/>
    <col min="12553" max="12553" width="0" hidden="1" customWidth="1"/>
    <col min="12554" max="12554" width="16.5703125" customWidth="1"/>
    <col min="12555" max="12555" width="16.42578125" customWidth="1"/>
    <col min="12556" max="12558" width="9.7109375" customWidth="1"/>
    <col min="12559" max="12559" width="7.7109375" customWidth="1"/>
    <col min="12560" max="12569" width="0" hidden="1" customWidth="1"/>
    <col min="12570" max="12570" width="9.7109375" customWidth="1"/>
    <col min="12571" max="12571" width="15.7109375" customWidth="1"/>
    <col min="12572" max="12572" width="4.140625" customWidth="1"/>
    <col min="12801" max="12803" width="4.140625" customWidth="1"/>
    <col min="12804" max="12805" width="13.7109375" customWidth="1"/>
    <col min="12806" max="12806" width="40.7109375" customWidth="1"/>
    <col min="12807" max="12807" width="8.7109375" customWidth="1"/>
    <col min="12808" max="12808" width="9.7109375" customWidth="1"/>
    <col min="12809" max="12809" width="0" hidden="1" customWidth="1"/>
    <col min="12810" max="12810" width="16.5703125" customWidth="1"/>
    <col min="12811" max="12811" width="16.42578125" customWidth="1"/>
    <col min="12812" max="12814" width="9.7109375" customWidth="1"/>
    <col min="12815" max="12815" width="7.7109375" customWidth="1"/>
    <col min="12816" max="12825" width="0" hidden="1" customWidth="1"/>
    <col min="12826" max="12826" width="9.7109375" customWidth="1"/>
    <col min="12827" max="12827" width="15.7109375" customWidth="1"/>
    <col min="12828" max="12828" width="4.140625" customWidth="1"/>
    <col min="13057" max="13059" width="4.140625" customWidth="1"/>
    <col min="13060" max="13061" width="13.7109375" customWidth="1"/>
    <col min="13062" max="13062" width="40.7109375" customWidth="1"/>
    <col min="13063" max="13063" width="8.7109375" customWidth="1"/>
    <col min="13064" max="13064" width="9.7109375" customWidth="1"/>
    <col min="13065" max="13065" width="0" hidden="1" customWidth="1"/>
    <col min="13066" max="13066" width="16.5703125" customWidth="1"/>
    <col min="13067" max="13067" width="16.42578125" customWidth="1"/>
    <col min="13068" max="13070" width="9.7109375" customWidth="1"/>
    <col min="13071" max="13071" width="7.7109375" customWidth="1"/>
    <col min="13072" max="13081" width="0" hidden="1" customWidth="1"/>
    <col min="13082" max="13082" width="9.7109375" customWidth="1"/>
    <col min="13083" max="13083" width="15.7109375" customWidth="1"/>
    <col min="13084" max="13084" width="4.140625" customWidth="1"/>
    <col min="13313" max="13315" width="4.140625" customWidth="1"/>
    <col min="13316" max="13317" width="13.7109375" customWidth="1"/>
    <col min="13318" max="13318" width="40.7109375" customWidth="1"/>
    <col min="13319" max="13319" width="8.7109375" customWidth="1"/>
    <col min="13320" max="13320" width="9.7109375" customWidth="1"/>
    <col min="13321" max="13321" width="0" hidden="1" customWidth="1"/>
    <col min="13322" max="13322" width="16.5703125" customWidth="1"/>
    <col min="13323" max="13323" width="16.42578125" customWidth="1"/>
    <col min="13324" max="13326" width="9.7109375" customWidth="1"/>
    <col min="13327" max="13327" width="7.7109375" customWidth="1"/>
    <col min="13328" max="13337" width="0" hidden="1" customWidth="1"/>
    <col min="13338" max="13338" width="9.7109375" customWidth="1"/>
    <col min="13339" max="13339" width="15.7109375" customWidth="1"/>
    <col min="13340" max="13340" width="4.140625" customWidth="1"/>
    <col min="13569" max="13571" width="4.140625" customWidth="1"/>
    <col min="13572" max="13573" width="13.7109375" customWidth="1"/>
    <col min="13574" max="13574" width="40.7109375" customWidth="1"/>
    <col min="13575" max="13575" width="8.7109375" customWidth="1"/>
    <col min="13576" max="13576" width="9.7109375" customWidth="1"/>
    <col min="13577" max="13577" width="0" hidden="1" customWidth="1"/>
    <col min="13578" max="13578" width="16.5703125" customWidth="1"/>
    <col min="13579" max="13579" width="16.42578125" customWidth="1"/>
    <col min="13580" max="13582" width="9.7109375" customWidth="1"/>
    <col min="13583" max="13583" width="7.7109375" customWidth="1"/>
    <col min="13584" max="13593" width="0" hidden="1" customWidth="1"/>
    <col min="13594" max="13594" width="9.7109375" customWidth="1"/>
    <col min="13595" max="13595" width="15.7109375" customWidth="1"/>
    <col min="13596" max="13596" width="4.140625" customWidth="1"/>
    <col min="13825" max="13827" width="4.140625" customWidth="1"/>
    <col min="13828" max="13829" width="13.7109375" customWidth="1"/>
    <col min="13830" max="13830" width="40.7109375" customWidth="1"/>
    <col min="13831" max="13831" width="8.7109375" customWidth="1"/>
    <col min="13832" max="13832" width="9.7109375" customWidth="1"/>
    <col min="13833" max="13833" width="0" hidden="1" customWidth="1"/>
    <col min="13834" max="13834" width="16.5703125" customWidth="1"/>
    <col min="13835" max="13835" width="16.42578125" customWidth="1"/>
    <col min="13836" max="13838" width="9.7109375" customWidth="1"/>
    <col min="13839" max="13839" width="7.7109375" customWidth="1"/>
    <col min="13840" max="13849" width="0" hidden="1" customWidth="1"/>
    <col min="13850" max="13850" width="9.7109375" customWidth="1"/>
    <col min="13851" max="13851" width="15.7109375" customWidth="1"/>
    <col min="13852" max="13852" width="4.140625" customWidth="1"/>
    <col min="14081" max="14083" width="4.140625" customWidth="1"/>
    <col min="14084" max="14085" width="13.7109375" customWidth="1"/>
    <col min="14086" max="14086" width="40.7109375" customWidth="1"/>
    <col min="14087" max="14087" width="8.7109375" customWidth="1"/>
    <col min="14088" max="14088" width="9.7109375" customWidth="1"/>
    <col min="14089" max="14089" width="0" hidden="1" customWidth="1"/>
    <col min="14090" max="14090" width="16.5703125" customWidth="1"/>
    <col min="14091" max="14091" width="16.42578125" customWidth="1"/>
    <col min="14092" max="14094" width="9.7109375" customWidth="1"/>
    <col min="14095" max="14095" width="7.7109375" customWidth="1"/>
    <col min="14096" max="14105" width="0" hidden="1" customWidth="1"/>
    <col min="14106" max="14106" width="9.7109375" customWidth="1"/>
    <col min="14107" max="14107" width="15.7109375" customWidth="1"/>
    <col min="14108" max="14108" width="4.140625" customWidth="1"/>
    <col min="14337" max="14339" width="4.140625" customWidth="1"/>
    <col min="14340" max="14341" width="13.7109375" customWidth="1"/>
    <col min="14342" max="14342" width="40.7109375" customWidth="1"/>
    <col min="14343" max="14343" width="8.7109375" customWidth="1"/>
    <col min="14344" max="14344" width="9.7109375" customWidth="1"/>
    <col min="14345" max="14345" width="0" hidden="1" customWidth="1"/>
    <col min="14346" max="14346" width="16.5703125" customWidth="1"/>
    <col min="14347" max="14347" width="16.42578125" customWidth="1"/>
    <col min="14348" max="14350" width="9.7109375" customWidth="1"/>
    <col min="14351" max="14351" width="7.7109375" customWidth="1"/>
    <col min="14352" max="14361" width="0" hidden="1" customWidth="1"/>
    <col min="14362" max="14362" width="9.7109375" customWidth="1"/>
    <col min="14363" max="14363" width="15.7109375" customWidth="1"/>
    <col min="14364" max="14364" width="4.140625" customWidth="1"/>
    <col min="14593" max="14595" width="4.140625" customWidth="1"/>
    <col min="14596" max="14597" width="13.7109375" customWidth="1"/>
    <col min="14598" max="14598" width="40.7109375" customWidth="1"/>
    <col min="14599" max="14599" width="8.7109375" customWidth="1"/>
    <col min="14600" max="14600" width="9.7109375" customWidth="1"/>
    <col min="14601" max="14601" width="0" hidden="1" customWidth="1"/>
    <col min="14602" max="14602" width="16.5703125" customWidth="1"/>
    <col min="14603" max="14603" width="16.42578125" customWidth="1"/>
    <col min="14604" max="14606" width="9.7109375" customWidth="1"/>
    <col min="14607" max="14607" width="7.7109375" customWidth="1"/>
    <col min="14608" max="14617" width="0" hidden="1" customWidth="1"/>
    <col min="14618" max="14618" width="9.7109375" customWidth="1"/>
    <col min="14619" max="14619" width="15.7109375" customWidth="1"/>
    <col min="14620" max="14620" width="4.140625" customWidth="1"/>
    <col min="14849" max="14851" width="4.140625" customWidth="1"/>
    <col min="14852" max="14853" width="13.7109375" customWidth="1"/>
    <col min="14854" max="14854" width="40.7109375" customWidth="1"/>
    <col min="14855" max="14855" width="8.7109375" customWidth="1"/>
    <col min="14856" max="14856" width="9.7109375" customWidth="1"/>
    <col min="14857" max="14857" width="0" hidden="1" customWidth="1"/>
    <col min="14858" max="14858" width="16.5703125" customWidth="1"/>
    <col min="14859" max="14859" width="16.42578125" customWidth="1"/>
    <col min="14860" max="14862" width="9.7109375" customWidth="1"/>
    <col min="14863" max="14863" width="7.7109375" customWidth="1"/>
    <col min="14864" max="14873" width="0" hidden="1" customWidth="1"/>
    <col min="14874" max="14874" width="9.7109375" customWidth="1"/>
    <col min="14875" max="14875" width="15.7109375" customWidth="1"/>
    <col min="14876" max="14876" width="4.140625" customWidth="1"/>
    <col min="15105" max="15107" width="4.140625" customWidth="1"/>
    <col min="15108" max="15109" width="13.7109375" customWidth="1"/>
    <col min="15110" max="15110" width="40.7109375" customWidth="1"/>
    <col min="15111" max="15111" width="8.7109375" customWidth="1"/>
    <col min="15112" max="15112" width="9.7109375" customWidth="1"/>
    <col min="15113" max="15113" width="0" hidden="1" customWidth="1"/>
    <col min="15114" max="15114" width="16.5703125" customWidth="1"/>
    <col min="15115" max="15115" width="16.42578125" customWidth="1"/>
    <col min="15116" max="15118" width="9.7109375" customWidth="1"/>
    <col min="15119" max="15119" width="7.7109375" customWidth="1"/>
    <col min="15120" max="15129" width="0" hidden="1" customWidth="1"/>
    <col min="15130" max="15130" width="9.7109375" customWidth="1"/>
    <col min="15131" max="15131" width="15.7109375" customWidth="1"/>
    <col min="15132" max="15132" width="4.140625" customWidth="1"/>
    <col min="15361" max="15363" width="4.140625" customWidth="1"/>
    <col min="15364" max="15365" width="13.7109375" customWidth="1"/>
    <col min="15366" max="15366" width="40.7109375" customWidth="1"/>
    <col min="15367" max="15367" width="8.7109375" customWidth="1"/>
    <col min="15368" max="15368" width="9.7109375" customWidth="1"/>
    <col min="15369" max="15369" width="0" hidden="1" customWidth="1"/>
    <col min="15370" max="15370" width="16.5703125" customWidth="1"/>
    <col min="15371" max="15371" width="16.42578125" customWidth="1"/>
    <col min="15372" max="15374" width="9.7109375" customWidth="1"/>
    <col min="15375" max="15375" width="7.7109375" customWidth="1"/>
    <col min="15376" max="15385" width="0" hidden="1" customWidth="1"/>
    <col min="15386" max="15386" width="9.7109375" customWidth="1"/>
    <col min="15387" max="15387" width="15.7109375" customWidth="1"/>
    <col min="15388" max="15388" width="4.140625" customWidth="1"/>
    <col min="15617" max="15619" width="4.140625" customWidth="1"/>
    <col min="15620" max="15621" width="13.7109375" customWidth="1"/>
    <col min="15622" max="15622" width="40.7109375" customWidth="1"/>
    <col min="15623" max="15623" width="8.7109375" customWidth="1"/>
    <col min="15624" max="15624" width="9.7109375" customWidth="1"/>
    <col min="15625" max="15625" width="0" hidden="1" customWidth="1"/>
    <col min="15626" max="15626" width="16.5703125" customWidth="1"/>
    <col min="15627" max="15627" width="16.42578125" customWidth="1"/>
    <col min="15628" max="15630" width="9.7109375" customWidth="1"/>
    <col min="15631" max="15631" width="7.7109375" customWidth="1"/>
    <col min="15632" max="15641" width="0" hidden="1" customWidth="1"/>
    <col min="15642" max="15642" width="9.7109375" customWidth="1"/>
    <col min="15643" max="15643" width="15.7109375" customWidth="1"/>
    <col min="15644" max="15644" width="4.140625" customWidth="1"/>
    <col min="15873" max="15875" width="4.140625" customWidth="1"/>
    <col min="15876" max="15877" width="13.7109375" customWidth="1"/>
    <col min="15878" max="15878" width="40.7109375" customWidth="1"/>
    <col min="15879" max="15879" width="8.7109375" customWidth="1"/>
    <col min="15880" max="15880" width="9.7109375" customWidth="1"/>
    <col min="15881" max="15881" width="0" hidden="1" customWidth="1"/>
    <col min="15882" max="15882" width="16.5703125" customWidth="1"/>
    <col min="15883" max="15883" width="16.42578125" customWidth="1"/>
    <col min="15884" max="15886" width="9.7109375" customWidth="1"/>
    <col min="15887" max="15887" width="7.7109375" customWidth="1"/>
    <col min="15888" max="15897" width="0" hidden="1" customWidth="1"/>
    <col min="15898" max="15898" width="9.7109375" customWidth="1"/>
    <col min="15899" max="15899" width="15.7109375" customWidth="1"/>
    <col min="15900" max="15900" width="4.140625" customWidth="1"/>
    <col min="16129" max="16131" width="4.140625" customWidth="1"/>
    <col min="16132" max="16133" width="13.7109375" customWidth="1"/>
    <col min="16134" max="16134" width="40.7109375" customWidth="1"/>
    <col min="16135" max="16135" width="8.7109375" customWidth="1"/>
    <col min="16136" max="16136" width="9.7109375" customWidth="1"/>
    <col min="16137" max="16137" width="0" hidden="1" customWidth="1"/>
    <col min="16138" max="16138" width="16.5703125" customWidth="1"/>
    <col min="16139" max="16139" width="16.42578125" customWidth="1"/>
    <col min="16140" max="16142" width="9.7109375" customWidth="1"/>
    <col min="16143" max="16143" width="7.7109375" customWidth="1"/>
    <col min="16144" max="16153" width="0" hidden="1" customWidth="1"/>
    <col min="16154" max="16154" width="9.7109375" customWidth="1"/>
    <col min="16155" max="16155" width="15.7109375" customWidth="1"/>
    <col min="16156" max="16156" width="4.140625" customWidth="1"/>
  </cols>
  <sheetData>
    <row r="1" spans="1:28" s="59" customFormat="1" ht="29.25" customHeight="1" x14ac:dyDescent="0.4">
      <c r="AB1" s="351"/>
    </row>
    <row r="2" spans="1:28" s="59" customFormat="1" ht="26.25" x14ac:dyDescent="0.4">
      <c r="B2" s="390" t="str">
        <f>'TOT-0316'!B2</f>
        <v>ANEXO III al Memorandum D.T.E.E. N°  294  / 2017</v>
      </c>
      <c r="C2" s="60"/>
      <c r="D2" s="60"/>
      <c r="E2" s="60"/>
      <c r="F2" s="60"/>
      <c r="G2" s="72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s="7" customFormat="1" x14ac:dyDescent="0.2"/>
    <row r="4" spans="1:28" s="57" customFormat="1" ht="11.25" x14ac:dyDescent="0.2">
      <c r="A4" s="379" t="s">
        <v>117</v>
      </c>
      <c r="B4" s="124"/>
      <c r="C4" s="379"/>
    </row>
    <row r="5" spans="1:28" s="57" customFormat="1" ht="11.25" x14ac:dyDescent="0.2">
      <c r="A5" s="379" t="s">
        <v>118</v>
      </c>
      <c r="B5" s="124"/>
      <c r="C5" s="124"/>
    </row>
    <row r="6" spans="1:28" s="7" customFormat="1" ht="13.5" thickBot="1" x14ac:dyDescent="0.25"/>
    <row r="7" spans="1:28" s="7" customFormat="1" ht="13.5" thickTop="1" x14ac:dyDescent="0.2">
      <c r="A7" s="5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</row>
    <row r="8" spans="1:28" s="61" customFormat="1" ht="20.25" x14ac:dyDescent="0.3">
      <c r="A8" s="56"/>
      <c r="B8" s="118"/>
      <c r="F8" s="454" t="s">
        <v>14</v>
      </c>
      <c r="G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64"/>
    </row>
    <row r="9" spans="1:28" s="7" customFormat="1" x14ac:dyDescent="0.2">
      <c r="A9" s="5"/>
      <c r="B9" s="32"/>
      <c r="C9" s="68"/>
      <c r="D9" s="68"/>
      <c r="E9" s="68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</row>
    <row r="10" spans="1:28" s="61" customFormat="1" ht="20.25" x14ac:dyDescent="0.3">
      <c r="A10" s="56"/>
      <c r="B10" s="118"/>
      <c r="F10" s="454" t="s">
        <v>175</v>
      </c>
      <c r="G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4"/>
    </row>
    <row r="11" spans="1:28" s="7" customFormat="1" x14ac:dyDescent="0.2">
      <c r="A11" s="5"/>
      <c r="B11" s="32"/>
      <c r="C11" s="68"/>
      <c r="D11" s="68"/>
      <c r="E11" s="68"/>
      <c r="G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</row>
    <row r="12" spans="1:28" s="65" customFormat="1" ht="19.5" x14ac:dyDescent="0.35">
      <c r="A12" s="33"/>
      <c r="B12" s="355" t="str">
        <f>'TOT-0316'!B14</f>
        <v>Desde el 01 al 31 de Marzo de 2016</v>
      </c>
      <c r="C12" s="88"/>
      <c r="D12" s="88"/>
      <c r="E12" s="88"/>
      <c r="F12" s="88"/>
      <c r="G12" s="120"/>
      <c r="H12" s="121"/>
      <c r="I12" s="122"/>
      <c r="J12" s="123"/>
      <c r="K12" s="122"/>
      <c r="L12" s="122"/>
      <c r="M12" s="122"/>
      <c r="N12" s="122"/>
      <c r="O12" s="122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</row>
    <row r="13" spans="1:28" s="65" customFormat="1" ht="7.5" customHeight="1" x14ac:dyDescent="0.35">
      <c r="A13" s="33"/>
      <c r="B13" s="355"/>
      <c r="C13" s="88"/>
      <c r="D13" s="88"/>
      <c r="E13" s="88"/>
      <c r="F13" s="88"/>
      <c r="G13" s="120"/>
      <c r="H13" s="121"/>
      <c r="I13" s="122"/>
      <c r="J13" s="123"/>
      <c r="K13" s="122"/>
      <c r="L13" s="122"/>
      <c r="M13" s="122"/>
      <c r="N13" s="122"/>
      <c r="O13" s="122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</row>
    <row r="14" spans="1:28" s="7" customFormat="1" ht="7.5" customHeight="1" thickBot="1" x14ac:dyDescent="0.25">
      <c r="A14" s="5"/>
      <c r="B14" s="32"/>
      <c r="C14" s="5"/>
      <c r="D14" s="5"/>
      <c r="E14" s="5"/>
      <c r="F14" s="5"/>
      <c r="G14" s="115"/>
      <c r="H14" s="117"/>
      <c r="I14" s="106"/>
      <c r="J14" s="106"/>
      <c r="K14" s="106"/>
      <c r="L14" s="106"/>
      <c r="M14" s="106"/>
      <c r="N14" s="106"/>
      <c r="O14" s="10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</row>
    <row r="15" spans="1:28" s="7" customFormat="1" ht="14.25" thickTop="1" thickBot="1" x14ac:dyDescent="0.25">
      <c r="A15" s="5"/>
      <c r="B15" s="32"/>
      <c r="C15" s="5"/>
      <c r="D15" s="5"/>
      <c r="E15" s="5"/>
      <c r="F15" s="388" t="s">
        <v>17</v>
      </c>
      <c r="G15" s="455" t="s">
        <v>169</v>
      </c>
      <c r="H15" s="456"/>
      <c r="I15" s="106"/>
      <c r="J15" s="106"/>
      <c r="K15" s="106"/>
      <c r="L15" s="106"/>
      <c r="M15" s="106"/>
      <c r="N15" s="106"/>
      <c r="O15" s="10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8"/>
    </row>
    <row r="16" spans="1:28" s="7" customFormat="1" ht="14.25" thickTop="1" thickBot="1" x14ac:dyDescent="0.25">
      <c r="A16" s="5"/>
      <c r="B16" s="32"/>
      <c r="C16" s="5"/>
      <c r="D16" s="5"/>
      <c r="E16" s="5"/>
      <c r="F16" s="388" t="s">
        <v>18</v>
      </c>
      <c r="G16" s="457">
        <v>145.14699999999999</v>
      </c>
      <c r="H16" s="213"/>
      <c r="I16" s="5"/>
      <c r="J16" s="453"/>
      <c r="K16" s="458" t="s">
        <v>19</v>
      </c>
      <c r="L16" s="459">
        <f>30*'TOT-0316'!B13</f>
        <v>60</v>
      </c>
      <c r="M16" s="396" t="str">
        <f>IF(L16=30," ",IF(L16=60,"Coeficiente duplicado por tasa de falla &gt;4 Sal. x año/100 km.","REVISAR COEFICIENTE"))</f>
        <v>Coeficiente duplicado por tasa de falla &gt;4 Sal. x año/100 km.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8"/>
    </row>
    <row r="17" spans="1:28" s="7" customFormat="1" ht="14.25" thickTop="1" thickBot="1" x14ac:dyDescent="0.25">
      <c r="A17" s="5"/>
      <c r="B17" s="32"/>
      <c r="C17" s="5"/>
      <c r="D17" s="5"/>
      <c r="E17" s="5"/>
      <c r="F17" s="388" t="s">
        <v>176</v>
      </c>
      <c r="G17" s="457" t="s">
        <v>169</v>
      </c>
      <c r="H17" s="213"/>
      <c r="I17" s="5"/>
      <c r="J17" s="5"/>
      <c r="K17" s="5"/>
      <c r="L17" s="69"/>
      <c r="M17" s="10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8"/>
    </row>
    <row r="18" spans="1:28" s="7" customFormat="1" ht="3.75" customHeight="1" thickTop="1" x14ac:dyDescent="0.2">
      <c r="A18" s="5"/>
      <c r="B18" s="32"/>
      <c r="C18" s="5"/>
      <c r="D18" s="5"/>
      <c r="E18" s="5"/>
      <c r="F18" s="460"/>
      <c r="G18" s="461"/>
      <c r="H18" s="462"/>
      <c r="I18" s="5"/>
      <c r="J18" s="5"/>
      <c r="K18" s="5"/>
      <c r="L18" s="69"/>
      <c r="M18" s="10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8"/>
    </row>
    <row r="19" spans="1:28" s="7" customFormat="1" ht="12" customHeight="1" thickBot="1" x14ac:dyDescent="0.25">
      <c r="A19" s="5"/>
      <c r="B19" s="32"/>
      <c r="C19" s="386">
        <v>3</v>
      </c>
      <c r="D19" s="386">
        <v>4</v>
      </c>
      <c r="E19" s="386">
        <v>5</v>
      </c>
      <c r="F19" s="386">
        <v>6</v>
      </c>
      <c r="G19" s="386">
        <v>7</v>
      </c>
      <c r="H19" s="386">
        <v>8</v>
      </c>
      <c r="I19" s="386">
        <v>9</v>
      </c>
      <c r="J19" s="386">
        <v>10</v>
      </c>
      <c r="K19" s="386">
        <v>11</v>
      </c>
      <c r="L19" s="386">
        <v>12</v>
      </c>
      <c r="M19" s="386">
        <v>13</v>
      </c>
      <c r="N19" s="386">
        <v>14</v>
      </c>
      <c r="O19" s="386">
        <v>15</v>
      </c>
      <c r="P19" s="386">
        <v>16</v>
      </c>
      <c r="Q19" s="386">
        <v>17</v>
      </c>
      <c r="R19" s="386">
        <v>18</v>
      </c>
      <c r="S19" s="386">
        <v>19</v>
      </c>
      <c r="T19" s="386">
        <v>20</v>
      </c>
      <c r="U19" s="386">
        <v>21</v>
      </c>
      <c r="V19" s="386">
        <v>22</v>
      </c>
      <c r="W19" s="386">
        <v>23</v>
      </c>
      <c r="X19" s="386">
        <v>24</v>
      </c>
      <c r="Y19" s="386">
        <v>25</v>
      </c>
      <c r="Z19" s="386">
        <v>26</v>
      </c>
      <c r="AA19" s="386">
        <v>27</v>
      </c>
      <c r="AB19" s="8"/>
    </row>
    <row r="20" spans="1:28" s="7" customFormat="1" ht="33.950000000000003" customHeight="1" thickTop="1" thickBot="1" x14ac:dyDescent="0.25">
      <c r="A20" s="5"/>
      <c r="B20" s="32"/>
      <c r="C20" s="131" t="s">
        <v>20</v>
      </c>
      <c r="D20" s="131" t="s">
        <v>115</v>
      </c>
      <c r="E20" s="131" t="s">
        <v>116</v>
      </c>
      <c r="F20" s="132" t="s">
        <v>6</v>
      </c>
      <c r="G20" s="133" t="s">
        <v>21</v>
      </c>
      <c r="H20" s="133" t="s">
        <v>22</v>
      </c>
      <c r="I20" s="222" t="s">
        <v>23</v>
      </c>
      <c r="J20" s="132" t="s">
        <v>24</v>
      </c>
      <c r="K20" s="132" t="s">
        <v>25</v>
      </c>
      <c r="L20" s="133" t="s">
        <v>26</v>
      </c>
      <c r="M20" s="133" t="s">
        <v>27</v>
      </c>
      <c r="N20" s="133" t="s">
        <v>28</v>
      </c>
      <c r="O20" s="133" t="s">
        <v>29</v>
      </c>
      <c r="P20" s="237" t="s">
        <v>30</v>
      </c>
      <c r="Q20" s="241" t="s">
        <v>31</v>
      </c>
      <c r="R20" s="224" t="s">
        <v>32</v>
      </c>
      <c r="S20" s="225"/>
      <c r="T20" s="226"/>
      <c r="U20" s="260" t="s">
        <v>33</v>
      </c>
      <c r="V20" s="261"/>
      <c r="W20" s="262"/>
      <c r="X20" s="276" t="s">
        <v>34</v>
      </c>
      <c r="Y20" s="282" t="s">
        <v>35</v>
      </c>
      <c r="Z20" s="220" t="s">
        <v>36</v>
      </c>
      <c r="AA20" s="135" t="s">
        <v>37</v>
      </c>
      <c r="AB20" s="8"/>
    </row>
    <row r="21" spans="1:28" s="7" customFormat="1" ht="16.5" thickTop="1" thickBot="1" x14ac:dyDescent="0.3">
      <c r="A21" s="5"/>
      <c r="B21" s="32"/>
      <c r="C21" s="108"/>
      <c r="D21" s="108"/>
      <c r="E21" s="108"/>
      <c r="F21" s="110"/>
      <c r="G21" s="109"/>
      <c r="H21" s="109"/>
      <c r="I21" s="230"/>
      <c r="J21" s="109"/>
      <c r="K21" s="110"/>
      <c r="L21" s="110"/>
      <c r="M21" s="110"/>
      <c r="N21" s="109"/>
      <c r="O21" s="109"/>
      <c r="P21" s="238"/>
      <c r="Q21" s="245"/>
      <c r="R21" s="247"/>
      <c r="S21" s="248"/>
      <c r="T21" s="249"/>
      <c r="U21" s="263"/>
      <c r="V21" s="264"/>
      <c r="W21" s="265"/>
      <c r="X21" s="277"/>
      <c r="Y21" s="283"/>
      <c r="Z21" s="111"/>
      <c r="AA21" s="463"/>
      <c r="AB21" s="8"/>
    </row>
    <row r="22" spans="1:28" s="7" customFormat="1" ht="16.5" thickTop="1" thickBot="1" x14ac:dyDescent="0.3">
      <c r="A22" s="5"/>
      <c r="B22" s="32"/>
      <c r="C22" s="108"/>
      <c r="D22" s="108"/>
      <c r="E22" s="108"/>
      <c r="F22" s="108"/>
      <c r="G22" s="108"/>
      <c r="H22" s="108"/>
      <c r="I22" s="231"/>
      <c r="J22" s="108"/>
      <c r="K22" s="129"/>
      <c r="L22" s="129"/>
      <c r="M22" s="129"/>
      <c r="N22" s="108"/>
      <c r="O22" s="108"/>
      <c r="P22" s="238"/>
      <c r="Q22" s="243"/>
      <c r="R22" s="250"/>
      <c r="S22" s="251"/>
      <c r="T22" s="252"/>
      <c r="U22" s="266"/>
      <c r="V22" s="267"/>
      <c r="W22" s="268"/>
      <c r="X22" s="278"/>
      <c r="Y22" s="284"/>
      <c r="Z22" s="128"/>
      <c r="AA22" s="236"/>
      <c r="AB22" s="8"/>
    </row>
    <row r="23" spans="1:28" s="7" customFormat="1" ht="16.5" thickTop="1" thickBot="1" x14ac:dyDescent="0.3">
      <c r="A23" s="5"/>
      <c r="B23" s="32"/>
      <c r="C23" s="38">
        <v>37</v>
      </c>
      <c r="D23" s="38">
        <v>299841</v>
      </c>
      <c r="E23" s="38">
        <v>1001</v>
      </c>
      <c r="F23" s="39" t="s">
        <v>177</v>
      </c>
      <c r="G23" s="39">
        <v>132</v>
      </c>
      <c r="H23" s="234">
        <v>101</v>
      </c>
      <c r="I23" s="232">
        <f>IF(H23&gt;25,H23,25)*IF(G23=220,$G$15,IF(G23=132,$G$16,$G$17))/100</f>
        <v>146.59846999999999</v>
      </c>
      <c r="J23" s="40">
        <v>42430.692361111112</v>
      </c>
      <c r="K23" s="40">
        <v>42430.70416666667</v>
      </c>
      <c r="L23" s="9">
        <f t="shared" ref="L23:L42" si="0">IF(F23="","",(K23-J23)*24)</f>
        <v>0.28333333338377997</v>
      </c>
      <c r="M23" s="10">
        <f>IF(F23="","",ROUND((K23-J23)*24*60,0))</f>
        <v>17</v>
      </c>
      <c r="N23" s="41" t="s">
        <v>142</v>
      </c>
      <c r="O23" s="42" t="str">
        <f t="shared" ref="O23:O42" si="1">IF(F23="","","--")</f>
        <v>--</v>
      </c>
      <c r="P23" s="239" t="str">
        <f t="shared" ref="P23:P42" si="2">IF(N23="P",ROUND(M23/60,2)*I23*$L$16*0.01,"--")</f>
        <v>--</v>
      </c>
      <c r="Q23" s="244" t="str">
        <f t="shared" ref="Q23:Q42" si="3">IF(N23="RP",ROUND(M23/60,2)*I23*$L$16*0.01*O23/100,"--")</f>
        <v>--</v>
      </c>
      <c r="R23" s="253">
        <f t="shared" ref="R23:R42" si="4">IF(N23="F",I23*$L$16,"--")</f>
        <v>8795.9081999999999</v>
      </c>
      <c r="S23" s="254">
        <f t="shared" ref="S23:S42" si="5">IF(AND(M23&gt;10,N23="F"),I23*$L$16*IF(M23&gt;180,3,ROUND(M23/60,2)),"--")</f>
        <v>2462.854296</v>
      </c>
      <c r="T23" s="255" t="str">
        <f t="shared" ref="T23:T42" si="6">IF(AND(N23="F",M23&gt;180),(ROUND(M23/60,2)-3)*I23*$L$16*0.1,"--")</f>
        <v>--</v>
      </c>
      <c r="U23" s="269" t="str">
        <f t="shared" ref="U23:U42" si="7">IF(N23="R",I23*$L$16*O23/100,"--")</f>
        <v>--</v>
      </c>
      <c r="V23" s="270" t="str">
        <f t="shared" ref="V23:V42" si="8">IF(AND(M23&gt;10,N23="R"),I23*$L$16*O23/100*IF(M23&gt;180,3,ROUND(M23/60,2)),"--")</f>
        <v>--</v>
      </c>
      <c r="W23" s="271" t="str">
        <f t="shared" ref="W23:W42" si="9">IF(AND(N23="R",M23&gt;180),(ROUND(M23/60,2)-3)*I23*$L$16*0.1*O23/100,"--")</f>
        <v>--</v>
      </c>
      <c r="X23" s="279" t="str">
        <f>IF(N23="RF",ROUND(M23/60,2)*I23*$L$16*0.1,"--")</f>
        <v>--</v>
      </c>
      <c r="Y23" s="285" t="str">
        <f>IF(N23="RR",ROUND(M23/60,2)*I23*$L$16*0.1*O23/100,"--")</f>
        <v>--</v>
      </c>
      <c r="Z23" s="223" t="s">
        <v>140</v>
      </c>
      <c r="AA23" s="43">
        <f>IF(F23="","",SUM(P23:Y23)*IF(Z23="SI",1,2))</f>
        <v>11258.762495999999</v>
      </c>
      <c r="AB23" s="8"/>
    </row>
    <row r="24" spans="1:28" s="7" customFormat="1" ht="16.5" thickTop="1" thickBot="1" x14ac:dyDescent="0.3">
      <c r="A24" s="5"/>
      <c r="B24" s="32"/>
      <c r="C24" s="38"/>
      <c r="D24" s="38"/>
      <c r="E24" s="38"/>
      <c r="F24" s="39"/>
      <c r="G24" s="39"/>
      <c r="H24" s="234"/>
      <c r="I24" s="232" t="e">
        <f t="shared" ref="I24:I39" si="10">IF(H24&gt;25,H24,25)*IF(G24=220,$G$15,IF(G24=132,$G$16,$G$17))/100</f>
        <v>#VALUE!</v>
      </c>
      <c r="J24" s="40"/>
      <c r="K24" s="40"/>
      <c r="L24" s="9" t="str">
        <f t="shared" si="0"/>
        <v/>
      </c>
      <c r="M24" s="10" t="str">
        <f t="shared" ref="M24:M39" si="11">IF(F24="","",ROUND((K24-J24)*24*60,0))</f>
        <v/>
      </c>
      <c r="N24" s="41"/>
      <c r="O24" s="42" t="str">
        <f t="shared" si="1"/>
        <v/>
      </c>
      <c r="P24" s="239" t="str">
        <f t="shared" si="2"/>
        <v>--</v>
      </c>
      <c r="Q24" s="244" t="str">
        <f t="shared" si="3"/>
        <v>--</v>
      </c>
      <c r="R24" s="253" t="str">
        <f t="shared" si="4"/>
        <v>--</v>
      </c>
      <c r="S24" s="254" t="str">
        <f t="shared" si="5"/>
        <v>--</v>
      </c>
      <c r="T24" s="255" t="str">
        <f t="shared" si="6"/>
        <v>--</v>
      </c>
      <c r="U24" s="269" t="str">
        <f t="shared" si="7"/>
        <v>--</v>
      </c>
      <c r="V24" s="270" t="str">
        <f t="shared" si="8"/>
        <v>--</v>
      </c>
      <c r="W24" s="271" t="str">
        <f t="shared" si="9"/>
        <v>--</v>
      </c>
      <c r="X24" s="279" t="str">
        <f t="shared" ref="X24:X39" si="12">IF(N24="RF",ROUND(M24/60,2)*I24*$L$16*0.1,"--")</f>
        <v>--</v>
      </c>
      <c r="Y24" s="285" t="str">
        <f t="shared" ref="Y24:Y39" si="13">IF(N24="RR",ROUND(M24/60,2)*I24*$L$16*0.1*O24/100,"--")</f>
        <v>--</v>
      </c>
      <c r="Z24" s="223"/>
      <c r="AA24" s="43" t="str">
        <f t="shared" ref="AA24:AA42" si="14">IF(F24="","",SUM(P24:Y24)*IF(Z24="SI",1,2))</f>
        <v/>
      </c>
      <c r="AB24" s="8"/>
    </row>
    <row r="25" spans="1:28" s="7" customFormat="1" ht="16.5" thickTop="1" thickBot="1" x14ac:dyDescent="0.3">
      <c r="A25" s="5"/>
      <c r="B25" s="32"/>
      <c r="C25" s="38"/>
      <c r="D25" s="38"/>
      <c r="E25" s="38"/>
      <c r="F25" s="39"/>
      <c r="G25" s="39"/>
      <c r="H25" s="234"/>
      <c r="I25" s="232" t="e">
        <f t="shared" si="10"/>
        <v>#VALUE!</v>
      </c>
      <c r="J25" s="40"/>
      <c r="K25" s="40"/>
      <c r="L25" s="9" t="str">
        <f t="shared" si="0"/>
        <v/>
      </c>
      <c r="M25" s="10" t="str">
        <f t="shared" si="11"/>
        <v/>
      </c>
      <c r="N25" s="41"/>
      <c r="O25" s="42" t="str">
        <f t="shared" si="1"/>
        <v/>
      </c>
      <c r="P25" s="239" t="str">
        <f t="shared" si="2"/>
        <v>--</v>
      </c>
      <c r="Q25" s="244" t="str">
        <f t="shared" si="3"/>
        <v>--</v>
      </c>
      <c r="R25" s="253" t="str">
        <f t="shared" si="4"/>
        <v>--</v>
      </c>
      <c r="S25" s="254" t="str">
        <f t="shared" si="5"/>
        <v>--</v>
      </c>
      <c r="T25" s="255" t="str">
        <f t="shared" si="6"/>
        <v>--</v>
      </c>
      <c r="U25" s="269" t="str">
        <f t="shared" si="7"/>
        <v>--</v>
      </c>
      <c r="V25" s="270" t="str">
        <f t="shared" si="8"/>
        <v>--</v>
      </c>
      <c r="W25" s="271" t="str">
        <f t="shared" si="9"/>
        <v>--</v>
      </c>
      <c r="X25" s="279" t="str">
        <f t="shared" si="12"/>
        <v>--</v>
      </c>
      <c r="Y25" s="285" t="str">
        <f t="shared" si="13"/>
        <v>--</v>
      </c>
      <c r="Z25" s="223" t="str">
        <f t="shared" ref="Z25:Z42" si="15">IF(F25="","","SI")</f>
        <v/>
      </c>
      <c r="AA25" s="43" t="str">
        <f t="shared" si="14"/>
        <v/>
      </c>
      <c r="AB25" s="8"/>
    </row>
    <row r="26" spans="1:28" s="7" customFormat="1" ht="16.5" thickTop="1" thickBot="1" x14ac:dyDescent="0.3">
      <c r="A26" s="5"/>
      <c r="B26" s="32"/>
      <c r="C26" s="38"/>
      <c r="D26" s="38"/>
      <c r="E26" s="38"/>
      <c r="F26" s="39"/>
      <c r="G26" s="39"/>
      <c r="H26" s="234"/>
      <c r="I26" s="232" t="e">
        <f t="shared" si="10"/>
        <v>#VALUE!</v>
      </c>
      <c r="J26" s="40"/>
      <c r="K26" s="40"/>
      <c r="L26" s="9" t="str">
        <f t="shared" si="0"/>
        <v/>
      </c>
      <c r="M26" s="10" t="str">
        <f t="shared" si="11"/>
        <v/>
      </c>
      <c r="N26" s="41"/>
      <c r="O26" s="42" t="str">
        <f t="shared" si="1"/>
        <v/>
      </c>
      <c r="P26" s="239" t="str">
        <f t="shared" si="2"/>
        <v>--</v>
      </c>
      <c r="Q26" s="244" t="str">
        <f t="shared" si="3"/>
        <v>--</v>
      </c>
      <c r="R26" s="253" t="str">
        <f t="shared" si="4"/>
        <v>--</v>
      </c>
      <c r="S26" s="254" t="str">
        <f t="shared" si="5"/>
        <v>--</v>
      </c>
      <c r="T26" s="255" t="str">
        <f t="shared" si="6"/>
        <v>--</v>
      </c>
      <c r="U26" s="269" t="str">
        <f t="shared" si="7"/>
        <v>--</v>
      </c>
      <c r="V26" s="270" t="str">
        <f t="shared" si="8"/>
        <v>--</v>
      </c>
      <c r="W26" s="271" t="str">
        <f t="shared" si="9"/>
        <v>--</v>
      </c>
      <c r="X26" s="279" t="str">
        <f t="shared" si="12"/>
        <v>--</v>
      </c>
      <c r="Y26" s="285" t="str">
        <f t="shared" si="13"/>
        <v>--</v>
      </c>
      <c r="Z26" s="223" t="str">
        <f t="shared" si="15"/>
        <v/>
      </c>
      <c r="AA26" s="43" t="str">
        <f t="shared" si="14"/>
        <v/>
      </c>
      <c r="AB26" s="8"/>
    </row>
    <row r="27" spans="1:28" s="7" customFormat="1" ht="16.5" thickTop="1" thickBot="1" x14ac:dyDescent="0.3">
      <c r="A27" s="5"/>
      <c r="B27" s="32"/>
      <c r="C27" s="38"/>
      <c r="D27" s="38"/>
      <c r="E27" s="38"/>
      <c r="F27" s="39"/>
      <c r="G27" s="39"/>
      <c r="H27" s="234"/>
      <c r="I27" s="232" t="e">
        <f t="shared" si="10"/>
        <v>#VALUE!</v>
      </c>
      <c r="J27" s="40"/>
      <c r="K27" s="40"/>
      <c r="L27" s="9" t="str">
        <f t="shared" si="0"/>
        <v/>
      </c>
      <c r="M27" s="10" t="str">
        <f t="shared" si="11"/>
        <v/>
      </c>
      <c r="N27" s="41"/>
      <c r="O27" s="42" t="str">
        <f t="shared" si="1"/>
        <v/>
      </c>
      <c r="P27" s="239" t="str">
        <f t="shared" si="2"/>
        <v>--</v>
      </c>
      <c r="Q27" s="244" t="str">
        <f t="shared" si="3"/>
        <v>--</v>
      </c>
      <c r="R27" s="253" t="str">
        <f t="shared" si="4"/>
        <v>--</v>
      </c>
      <c r="S27" s="254" t="str">
        <f t="shared" si="5"/>
        <v>--</v>
      </c>
      <c r="T27" s="255" t="str">
        <f t="shared" si="6"/>
        <v>--</v>
      </c>
      <c r="U27" s="269" t="str">
        <f t="shared" si="7"/>
        <v>--</v>
      </c>
      <c r="V27" s="270" t="str">
        <f t="shared" si="8"/>
        <v>--</v>
      </c>
      <c r="W27" s="271" t="str">
        <f t="shared" si="9"/>
        <v>--</v>
      </c>
      <c r="X27" s="279" t="str">
        <f t="shared" si="12"/>
        <v>--</v>
      </c>
      <c r="Y27" s="285" t="str">
        <f t="shared" si="13"/>
        <v>--</v>
      </c>
      <c r="Z27" s="223" t="str">
        <f t="shared" si="15"/>
        <v/>
      </c>
      <c r="AA27" s="43" t="str">
        <f t="shared" si="14"/>
        <v/>
      </c>
      <c r="AB27" s="8"/>
    </row>
    <row r="28" spans="1:28" s="7" customFormat="1" ht="16.5" thickTop="1" thickBot="1" x14ac:dyDescent="0.3">
      <c r="A28" s="5"/>
      <c r="B28" s="32"/>
      <c r="C28" s="38"/>
      <c r="D28" s="38"/>
      <c r="E28" s="38"/>
      <c r="F28" s="39"/>
      <c r="G28" s="39"/>
      <c r="H28" s="234"/>
      <c r="I28" s="232" t="e">
        <f t="shared" si="10"/>
        <v>#VALUE!</v>
      </c>
      <c r="J28" s="40"/>
      <c r="K28" s="40"/>
      <c r="L28" s="9" t="str">
        <f t="shared" si="0"/>
        <v/>
      </c>
      <c r="M28" s="10" t="str">
        <f t="shared" si="11"/>
        <v/>
      </c>
      <c r="N28" s="41"/>
      <c r="O28" s="42" t="str">
        <f t="shared" si="1"/>
        <v/>
      </c>
      <c r="P28" s="239" t="str">
        <f t="shared" si="2"/>
        <v>--</v>
      </c>
      <c r="Q28" s="244" t="str">
        <f t="shared" si="3"/>
        <v>--</v>
      </c>
      <c r="R28" s="253" t="str">
        <f t="shared" si="4"/>
        <v>--</v>
      </c>
      <c r="S28" s="254" t="str">
        <f t="shared" si="5"/>
        <v>--</v>
      </c>
      <c r="T28" s="255" t="str">
        <f t="shared" si="6"/>
        <v>--</v>
      </c>
      <c r="U28" s="269" t="str">
        <f t="shared" si="7"/>
        <v>--</v>
      </c>
      <c r="V28" s="270" t="str">
        <f t="shared" si="8"/>
        <v>--</v>
      </c>
      <c r="W28" s="271" t="str">
        <f t="shared" si="9"/>
        <v>--</v>
      </c>
      <c r="X28" s="279" t="str">
        <f t="shared" si="12"/>
        <v>--</v>
      </c>
      <c r="Y28" s="285" t="str">
        <f t="shared" si="13"/>
        <v>--</v>
      </c>
      <c r="Z28" s="223" t="str">
        <f t="shared" si="15"/>
        <v/>
      </c>
      <c r="AA28" s="43" t="str">
        <f t="shared" si="14"/>
        <v/>
      </c>
      <c r="AB28" s="8"/>
    </row>
    <row r="29" spans="1:28" s="7" customFormat="1" ht="16.5" thickTop="1" thickBot="1" x14ac:dyDescent="0.3">
      <c r="A29" s="5"/>
      <c r="B29" s="32"/>
      <c r="C29" s="38"/>
      <c r="D29" s="38"/>
      <c r="E29" s="38"/>
      <c r="F29" s="39"/>
      <c r="G29" s="39"/>
      <c r="H29" s="234"/>
      <c r="I29" s="232" t="e">
        <f t="shared" si="10"/>
        <v>#VALUE!</v>
      </c>
      <c r="J29" s="40"/>
      <c r="K29" s="40"/>
      <c r="L29" s="9" t="str">
        <f t="shared" si="0"/>
        <v/>
      </c>
      <c r="M29" s="10" t="str">
        <f t="shared" si="11"/>
        <v/>
      </c>
      <c r="N29" s="41"/>
      <c r="O29" s="42" t="str">
        <f t="shared" si="1"/>
        <v/>
      </c>
      <c r="P29" s="239" t="str">
        <f t="shared" si="2"/>
        <v>--</v>
      </c>
      <c r="Q29" s="244" t="str">
        <f t="shared" si="3"/>
        <v>--</v>
      </c>
      <c r="R29" s="253" t="str">
        <f t="shared" si="4"/>
        <v>--</v>
      </c>
      <c r="S29" s="254" t="str">
        <f t="shared" si="5"/>
        <v>--</v>
      </c>
      <c r="T29" s="255" t="str">
        <f t="shared" si="6"/>
        <v>--</v>
      </c>
      <c r="U29" s="269" t="str">
        <f t="shared" si="7"/>
        <v>--</v>
      </c>
      <c r="V29" s="270" t="str">
        <f t="shared" si="8"/>
        <v>--</v>
      </c>
      <c r="W29" s="271" t="str">
        <f t="shared" si="9"/>
        <v>--</v>
      </c>
      <c r="X29" s="279" t="str">
        <f t="shared" si="12"/>
        <v>--</v>
      </c>
      <c r="Y29" s="285" t="str">
        <f t="shared" si="13"/>
        <v>--</v>
      </c>
      <c r="Z29" s="223" t="str">
        <f t="shared" si="15"/>
        <v/>
      </c>
      <c r="AA29" s="43" t="str">
        <f t="shared" si="14"/>
        <v/>
      </c>
      <c r="AB29" s="8"/>
    </row>
    <row r="30" spans="1:28" s="7" customFormat="1" ht="16.5" thickTop="1" thickBot="1" x14ac:dyDescent="0.3">
      <c r="A30" s="5"/>
      <c r="B30" s="32"/>
      <c r="C30" s="38"/>
      <c r="D30" s="38"/>
      <c r="E30" s="38"/>
      <c r="F30" s="39"/>
      <c r="G30" s="39"/>
      <c r="H30" s="234"/>
      <c r="I30" s="232" t="e">
        <f t="shared" si="10"/>
        <v>#VALUE!</v>
      </c>
      <c r="J30" s="40"/>
      <c r="K30" s="40"/>
      <c r="L30" s="9" t="str">
        <f t="shared" si="0"/>
        <v/>
      </c>
      <c r="M30" s="10" t="str">
        <f t="shared" si="11"/>
        <v/>
      </c>
      <c r="N30" s="41"/>
      <c r="O30" s="42" t="str">
        <f t="shared" si="1"/>
        <v/>
      </c>
      <c r="P30" s="239" t="str">
        <f t="shared" si="2"/>
        <v>--</v>
      </c>
      <c r="Q30" s="244" t="str">
        <f t="shared" si="3"/>
        <v>--</v>
      </c>
      <c r="R30" s="253" t="str">
        <f t="shared" si="4"/>
        <v>--</v>
      </c>
      <c r="S30" s="254" t="str">
        <f t="shared" si="5"/>
        <v>--</v>
      </c>
      <c r="T30" s="255" t="str">
        <f t="shared" si="6"/>
        <v>--</v>
      </c>
      <c r="U30" s="269" t="str">
        <f t="shared" si="7"/>
        <v>--</v>
      </c>
      <c r="V30" s="270" t="str">
        <f t="shared" si="8"/>
        <v>--</v>
      </c>
      <c r="W30" s="271" t="str">
        <f t="shared" si="9"/>
        <v>--</v>
      </c>
      <c r="X30" s="279" t="str">
        <f t="shared" si="12"/>
        <v>--</v>
      </c>
      <c r="Y30" s="285" t="str">
        <f t="shared" si="13"/>
        <v>--</v>
      </c>
      <c r="Z30" s="223" t="str">
        <f t="shared" si="15"/>
        <v/>
      </c>
      <c r="AA30" s="43" t="str">
        <f t="shared" si="14"/>
        <v/>
      </c>
      <c r="AB30" s="8"/>
    </row>
    <row r="31" spans="1:28" s="7" customFormat="1" ht="16.5" thickTop="1" thickBot="1" x14ac:dyDescent="0.3">
      <c r="A31" s="5"/>
      <c r="B31" s="32"/>
      <c r="C31" s="38"/>
      <c r="D31" s="38"/>
      <c r="E31" s="38"/>
      <c r="F31" s="39"/>
      <c r="G31" s="39"/>
      <c r="H31" s="234"/>
      <c r="I31" s="232" t="e">
        <f t="shared" si="10"/>
        <v>#VALUE!</v>
      </c>
      <c r="J31" s="40"/>
      <c r="K31" s="40"/>
      <c r="L31" s="9" t="str">
        <f t="shared" si="0"/>
        <v/>
      </c>
      <c r="M31" s="10" t="str">
        <f t="shared" si="11"/>
        <v/>
      </c>
      <c r="N31" s="41"/>
      <c r="O31" s="42" t="str">
        <f t="shared" si="1"/>
        <v/>
      </c>
      <c r="P31" s="239" t="str">
        <f t="shared" si="2"/>
        <v>--</v>
      </c>
      <c r="Q31" s="244" t="str">
        <f t="shared" si="3"/>
        <v>--</v>
      </c>
      <c r="R31" s="253" t="str">
        <f t="shared" si="4"/>
        <v>--</v>
      </c>
      <c r="S31" s="254" t="str">
        <f t="shared" si="5"/>
        <v>--</v>
      </c>
      <c r="T31" s="255" t="str">
        <f t="shared" si="6"/>
        <v>--</v>
      </c>
      <c r="U31" s="269" t="str">
        <f t="shared" si="7"/>
        <v>--</v>
      </c>
      <c r="V31" s="270" t="str">
        <f t="shared" si="8"/>
        <v>--</v>
      </c>
      <c r="W31" s="271" t="str">
        <f t="shared" si="9"/>
        <v>--</v>
      </c>
      <c r="X31" s="279" t="str">
        <f t="shared" si="12"/>
        <v>--</v>
      </c>
      <c r="Y31" s="285" t="str">
        <f t="shared" si="13"/>
        <v>--</v>
      </c>
      <c r="Z31" s="223" t="str">
        <f t="shared" si="15"/>
        <v/>
      </c>
      <c r="AA31" s="43" t="str">
        <f t="shared" si="14"/>
        <v/>
      </c>
      <c r="AB31" s="8"/>
    </row>
    <row r="32" spans="1:28" s="7" customFormat="1" ht="16.5" thickTop="1" thickBot="1" x14ac:dyDescent="0.3">
      <c r="A32" s="5"/>
      <c r="B32" s="32"/>
      <c r="C32" s="38"/>
      <c r="D32" s="38"/>
      <c r="E32" s="38"/>
      <c r="F32" s="39"/>
      <c r="G32" s="39"/>
      <c r="H32" s="234"/>
      <c r="I32" s="232" t="e">
        <f t="shared" si="10"/>
        <v>#VALUE!</v>
      </c>
      <c r="J32" s="40"/>
      <c r="K32" s="40"/>
      <c r="L32" s="9" t="str">
        <f t="shared" si="0"/>
        <v/>
      </c>
      <c r="M32" s="10" t="str">
        <f t="shared" si="11"/>
        <v/>
      </c>
      <c r="N32" s="41"/>
      <c r="O32" s="42" t="str">
        <f t="shared" si="1"/>
        <v/>
      </c>
      <c r="P32" s="239" t="str">
        <f t="shared" si="2"/>
        <v>--</v>
      </c>
      <c r="Q32" s="244" t="str">
        <f t="shared" si="3"/>
        <v>--</v>
      </c>
      <c r="R32" s="253" t="str">
        <f t="shared" si="4"/>
        <v>--</v>
      </c>
      <c r="S32" s="254" t="str">
        <f t="shared" si="5"/>
        <v>--</v>
      </c>
      <c r="T32" s="255" t="str">
        <f t="shared" si="6"/>
        <v>--</v>
      </c>
      <c r="U32" s="269" t="str">
        <f t="shared" si="7"/>
        <v>--</v>
      </c>
      <c r="V32" s="270" t="str">
        <f t="shared" si="8"/>
        <v>--</v>
      </c>
      <c r="W32" s="271" t="str">
        <f t="shared" si="9"/>
        <v>--</v>
      </c>
      <c r="X32" s="279" t="str">
        <f t="shared" si="12"/>
        <v>--</v>
      </c>
      <c r="Y32" s="285" t="str">
        <f t="shared" si="13"/>
        <v>--</v>
      </c>
      <c r="Z32" s="223" t="str">
        <f t="shared" si="15"/>
        <v/>
      </c>
      <c r="AA32" s="43" t="str">
        <f t="shared" si="14"/>
        <v/>
      </c>
      <c r="AB32" s="8"/>
    </row>
    <row r="33" spans="1:28" s="7" customFormat="1" ht="16.5" thickTop="1" thickBot="1" x14ac:dyDescent="0.3">
      <c r="A33" s="5"/>
      <c r="B33" s="32"/>
      <c r="C33" s="38"/>
      <c r="D33" s="38"/>
      <c r="E33" s="38"/>
      <c r="F33" s="39"/>
      <c r="G33" s="39"/>
      <c r="H33" s="234"/>
      <c r="I33" s="232" t="e">
        <f t="shared" si="10"/>
        <v>#VALUE!</v>
      </c>
      <c r="J33" s="40"/>
      <c r="K33" s="40"/>
      <c r="L33" s="9" t="str">
        <f t="shared" si="0"/>
        <v/>
      </c>
      <c r="M33" s="10" t="str">
        <f t="shared" si="11"/>
        <v/>
      </c>
      <c r="N33" s="41"/>
      <c r="O33" s="42" t="str">
        <f t="shared" si="1"/>
        <v/>
      </c>
      <c r="P33" s="239" t="str">
        <f t="shared" si="2"/>
        <v>--</v>
      </c>
      <c r="Q33" s="244" t="str">
        <f t="shared" si="3"/>
        <v>--</v>
      </c>
      <c r="R33" s="253" t="str">
        <f t="shared" si="4"/>
        <v>--</v>
      </c>
      <c r="S33" s="254" t="str">
        <f t="shared" si="5"/>
        <v>--</v>
      </c>
      <c r="T33" s="255" t="str">
        <f t="shared" si="6"/>
        <v>--</v>
      </c>
      <c r="U33" s="269" t="str">
        <f t="shared" si="7"/>
        <v>--</v>
      </c>
      <c r="V33" s="270" t="str">
        <f t="shared" si="8"/>
        <v>--</v>
      </c>
      <c r="W33" s="271" t="str">
        <f t="shared" si="9"/>
        <v>--</v>
      </c>
      <c r="X33" s="279" t="str">
        <f t="shared" si="12"/>
        <v>--</v>
      </c>
      <c r="Y33" s="285" t="str">
        <f t="shared" si="13"/>
        <v>--</v>
      </c>
      <c r="Z33" s="223" t="str">
        <f t="shared" si="15"/>
        <v/>
      </c>
      <c r="AA33" s="43" t="str">
        <f t="shared" si="14"/>
        <v/>
      </c>
      <c r="AB33" s="8"/>
    </row>
    <row r="34" spans="1:28" s="7" customFormat="1" ht="16.5" thickTop="1" thickBot="1" x14ac:dyDescent="0.3">
      <c r="A34" s="5"/>
      <c r="B34" s="32"/>
      <c r="C34" s="38"/>
      <c r="D34" s="38"/>
      <c r="E34" s="38"/>
      <c r="F34" s="39"/>
      <c r="G34" s="39"/>
      <c r="H34" s="234"/>
      <c r="I34" s="232" t="e">
        <f t="shared" si="10"/>
        <v>#VALUE!</v>
      </c>
      <c r="J34" s="40"/>
      <c r="K34" s="40"/>
      <c r="L34" s="9" t="str">
        <f t="shared" si="0"/>
        <v/>
      </c>
      <c r="M34" s="10" t="str">
        <f t="shared" si="11"/>
        <v/>
      </c>
      <c r="N34" s="41"/>
      <c r="O34" s="42" t="str">
        <f t="shared" si="1"/>
        <v/>
      </c>
      <c r="P34" s="239" t="str">
        <f t="shared" si="2"/>
        <v>--</v>
      </c>
      <c r="Q34" s="244" t="str">
        <f t="shared" si="3"/>
        <v>--</v>
      </c>
      <c r="R34" s="253" t="str">
        <f t="shared" si="4"/>
        <v>--</v>
      </c>
      <c r="S34" s="254" t="str">
        <f t="shared" si="5"/>
        <v>--</v>
      </c>
      <c r="T34" s="255" t="str">
        <f t="shared" si="6"/>
        <v>--</v>
      </c>
      <c r="U34" s="269" t="str">
        <f t="shared" si="7"/>
        <v>--</v>
      </c>
      <c r="V34" s="270" t="str">
        <f t="shared" si="8"/>
        <v>--</v>
      </c>
      <c r="W34" s="271" t="str">
        <f t="shared" si="9"/>
        <v>--</v>
      </c>
      <c r="X34" s="279" t="str">
        <f t="shared" si="12"/>
        <v>--</v>
      </c>
      <c r="Y34" s="285" t="str">
        <f t="shared" si="13"/>
        <v>--</v>
      </c>
      <c r="Z34" s="223" t="str">
        <f t="shared" si="15"/>
        <v/>
      </c>
      <c r="AA34" s="43" t="str">
        <f t="shared" si="14"/>
        <v/>
      </c>
      <c r="AB34" s="8"/>
    </row>
    <row r="35" spans="1:28" s="7" customFormat="1" ht="16.5" thickTop="1" thickBot="1" x14ac:dyDescent="0.3">
      <c r="A35" s="5"/>
      <c r="B35" s="32"/>
      <c r="C35" s="38"/>
      <c r="D35" s="38"/>
      <c r="E35" s="38"/>
      <c r="F35" s="39"/>
      <c r="G35" s="39"/>
      <c r="H35" s="234"/>
      <c r="I35" s="232" t="e">
        <f t="shared" si="10"/>
        <v>#VALUE!</v>
      </c>
      <c r="J35" s="40"/>
      <c r="K35" s="40"/>
      <c r="L35" s="9" t="str">
        <f t="shared" si="0"/>
        <v/>
      </c>
      <c r="M35" s="10" t="str">
        <f t="shared" si="11"/>
        <v/>
      </c>
      <c r="N35" s="41"/>
      <c r="O35" s="42" t="str">
        <f t="shared" si="1"/>
        <v/>
      </c>
      <c r="P35" s="239" t="str">
        <f t="shared" si="2"/>
        <v>--</v>
      </c>
      <c r="Q35" s="244" t="str">
        <f t="shared" si="3"/>
        <v>--</v>
      </c>
      <c r="R35" s="253" t="str">
        <f t="shared" si="4"/>
        <v>--</v>
      </c>
      <c r="S35" s="254" t="str">
        <f t="shared" si="5"/>
        <v>--</v>
      </c>
      <c r="T35" s="255" t="str">
        <f t="shared" si="6"/>
        <v>--</v>
      </c>
      <c r="U35" s="269" t="str">
        <f t="shared" si="7"/>
        <v>--</v>
      </c>
      <c r="V35" s="270" t="str">
        <f t="shared" si="8"/>
        <v>--</v>
      </c>
      <c r="W35" s="271" t="str">
        <f t="shared" si="9"/>
        <v>--</v>
      </c>
      <c r="X35" s="279" t="str">
        <f t="shared" si="12"/>
        <v>--</v>
      </c>
      <c r="Y35" s="285" t="str">
        <f t="shared" si="13"/>
        <v>--</v>
      </c>
      <c r="Z35" s="223" t="str">
        <f t="shared" si="15"/>
        <v/>
      </c>
      <c r="AA35" s="43" t="str">
        <f t="shared" si="14"/>
        <v/>
      </c>
      <c r="AB35" s="8"/>
    </row>
    <row r="36" spans="1:28" s="7" customFormat="1" ht="16.5" thickTop="1" thickBot="1" x14ac:dyDescent="0.3">
      <c r="A36" s="5"/>
      <c r="B36" s="32"/>
      <c r="C36" s="38"/>
      <c r="D36" s="38"/>
      <c r="E36" s="38"/>
      <c r="F36" s="39"/>
      <c r="G36" s="39"/>
      <c r="H36" s="234"/>
      <c r="I36" s="232" t="e">
        <f t="shared" si="10"/>
        <v>#VALUE!</v>
      </c>
      <c r="J36" s="40"/>
      <c r="K36" s="40"/>
      <c r="L36" s="9" t="str">
        <f t="shared" si="0"/>
        <v/>
      </c>
      <c r="M36" s="10" t="str">
        <f t="shared" si="11"/>
        <v/>
      </c>
      <c r="N36" s="41"/>
      <c r="O36" s="42" t="str">
        <f t="shared" si="1"/>
        <v/>
      </c>
      <c r="P36" s="239" t="str">
        <f t="shared" si="2"/>
        <v>--</v>
      </c>
      <c r="Q36" s="244" t="str">
        <f t="shared" si="3"/>
        <v>--</v>
      </c>
      <c r="R36" s="253" t="str">
        <f t="shared" si="4"/>
        <v>--</v>
      </c>
      <c r="S36" s="254" t="str">
        <f t="shared" si="5"/>
        <v>--</v>
      </c>
      <c r="T36" s="255" t="str">
        <f t="shared" si="6"/>
        <v>--</v>
      </c>
      <c r="U36" s="269" t="str">
        <f t="shared" si="7"/>
        <v>--</v>
      </c>
      <c r="V36" s="270" t="str">
        <f t="shared" si="8"/>
        <v>--</v>
      </c>
      <c r="W36" s="271" t="str">
        <f t="shared" si="9"/>
        <v>--</v>
      </c>
      <c r="X36" s="279" t="str">
        <f t="shared" si="12"/>
        <v>--</v>
      </c>
      <c r="Y36" s="285" t="str">
        <f t="shared" si="13"/>
        <v>--</v>
      </c>
      <c r="Z36" s="223" t="str">
        <f t="shared" si="15"/>
        <v/>
      </c>
      <c r="AA36" s="43" t="str">
        <f t="shared" si="14"/>
        <v/>
      </c>
      <c r="AB36" s="8"/>
    </row>
    <row r="37" spans="1:28" s="7" customFormat="1" ht="16.5" thickTop="1" thickBot="1" x14ac:dyDescent="0.3">
      <c r="A37" s="5"/>
      <c r="B37" s="112"/>
      <c r="C37" s="38"/>
      <c r="D37" s="38"/>
      <c r="E37" s="38"/>
      <c r="F37" s="39"/>
      <c r="G37" s="39"/>
      <c r="H37" s="234"/>
      <c r="I37" s="232" t="e">
        <f t="shared" si="10"/>
        <v>#VALUE!</v>
      </c>
      <c r="J37" s="40"/>
      <c r="K37" s="40"/>
      <c r="L37" s="9" t="str">
        <f t="shared" si="0"/>
        <v/>
      </c>
      <c r="M37" s="10" t="str">
        <f t="shared" si="11"/>
        <v/>
      </c>
      <c r="N37" s="41"/>
      <c r="O37" s="42" t="str">
        <f t="shared" si="1"/>
        <v/>
      </c>
      <c r="P37" s="239" t="str">
        <f t="shared" si="2"/>
        <v>--</v>
      </c>
      <c r="Q37" s="244" t="str">
        <f t="shared" si="3"/>
        <v>--</v>
      </c>
      <c r="R37" s="253" t="str">
        <f t="shared" si="4"/>
        <v>--</v>
      </c>
      <c r="S37" s="254" t="str">
        <f t="shared" si="5"/>
        <v>--</v>
      </c>
      <c r="T37" s="255" t="str">
        <f t="shared" si="6"/>
        <v>--</v>
      </c>
      <c r="U37" s="269" t="str">
        <f t="shared" si="7"/>
        <v>--</v>
      </c>
      <c r="V37" s="270" t="str">
        <f t="shared" si="8"/>
        <v>--</v>
      </c>
      <c r="W37" s="271" t="str">
        <f t="shared" si="9"/>
        <v>--</v>
      </c>
      <c r="X37" s="279" t="str">
        <f t="shared" si="12"/>
        <v>--</v>
      </c>
      <c r="Y37" s="285" t="str">
        <f t="shared" si="13"/>
        <v>--</v>
      </c>
      <c r="Z37" s="223" t="str">
        <f t="shared" si="15"/>
        <v/>
      </c>
      <c r="AA37" s="43" t="str">
        <f t="shared" si="14"/>
        <v/>
      </c>
      <c r="AB37" s="8"/>
    </row>
    <row r="38" spans="1:28" s="7" customFormat="1" ht="16.5" thickTop="1" thickBot="1" x14ac:dyDescent="0.3">
      <c r="A38" s="5"/>
      <c r="B38" s="32"/>
      <c r="C38" s="38"/>
      <c r="D38" s="38"/>
      <c r="E38" s="38"/>
      <c r="F38" s="39"/>
      <c r="G38" s="39"/>
      <c r="H38" s="234"/>
      <c r="I38" s="232" t="e">
        <f t="shared" si="10"/>
        <v>#VALUE!</v>
      </c>
      <c r="J38" s="40"/>
      <c r="K38" s="40"/>
      <c r="L38" s="9" t="str">
        <f t="shared" si="0"/>
        <v/>
      </c>
      <c r="M38" s="10" t="str">
        <f t="shared" si="11"/>
        <v/>
      </c>
      <c r="N38" s="41"/>
      <c r="O38" s="42" t="str">
        <f t="shared" si="1"/>
        <v/>
      </c>
      <c r="P38" s="239" t="str">
        <f t="shared" si="2"/>
        <v>--</v>
      </c>
      <c r="Q38" s="244" t="str">
        <f t="shared" si="3"/>
        <v>--</v>
      </c>
      <c r="R38" s="253" t="str">
        <f t="shared" si="4"/>
        <v>--</v>
      </c>
      <c r="S38" s="254" t="str">
        <f t="shared" si="5"/>
        <v>--</v>
      </c>
      <c r="T38" s="255" t="str">
        <f t="shared" si="6"/>
        <v>--</v>
      </c>
      <c r="U38" s="269" t="str">
        <f t="shared" si="7"/>
        <v>--</v>
      </c>
      <c r="V38" s="270" t="str">
        <f t="shared" si="8"/>
        <v>--</v>
      </c>
      <c r="W38" s="271" t="str">
        <f t="shared" si="9"/>
        <v>--</v>
      </c>
      <c r="X38" s="279" t="str">
        <f t="shared" si="12"/>
        <v>--</v>
      </c>
      <c r="Y38" s="285" t="str">
        <f t="shared" si="13"/>
        <v>--</v>
      </c>
      <c r="Z38" s="223" t="str">
        <f t="shared" si="15"/>
        <v/>
      </c>
      <c r="AA38" s="43" t="str">
        <f t="shared" si="14"/>
        <v/>
      </c>
      <c r="AB38" s="8"/>
    </row>
    <row r="39" spans="1:28" s="7" customFormat="1" ht="16.5" thickTop="1" thickBot="1" x14ac:dyDescent="0.3">
      <c r="A39" s="5"/>
      <c r="B39" s="32"/>
      <c r="C39" s="38"/>
      <c r="D39" s="38"/>
      <c r="E39" s="38"/>
      <c r="F39" s="39"/>
      <c r="G39" s="39"/>
      <c r="H39" s="234"/>
      <c r="I39" s="232" t="e">
        <f t="shared" si="10"/>
        <v>#VALUE!</v>
      </c>
      <c r="J39" s="40"/>
      <c r="K39" s="40"/>
      <c r="L39" s="9" t="str">
        <f t="shared" si="0"/>
        <v/>
      </c>
      <c r="M39" s="10" t="str">
        <f t="shared" si="11"/>
        <v/>
      </c>
      <c r="N39" s="41"/>
      <c r="O39" s="42" t="str">
        <f t="shared" si="1"/>
        <v/>
      </c>
      <c r="P39" s="239" t="str">
        <f t="shared" si="2"/>
        <v>--</v>
      </c>
      <c r="Q39" s="244" t="str">
        <f t="shared" si="3"/>
        <v>--</v>
      </c>
      <c r="R39" s="253" t="str">
        <f t="shared" si="4"/>
        <v>--</v>
      </c>
      <c r="S39" s="254" t="str">
        <f t="shared" si="5"/>
        <v>--</v>
      </c>
      <c r="T39" s="255" t="str">
        <f t="shared" si="6"/>
        <v>--</v>
      </c>
      <c r="U39" s="269" t="str">
        <f t="shared" si="7"/>
        <v>--</v>
      </c>
      <c r="V39" s="270" t="str">
        <f t="shared" si="8"/>
        <v>--</v>
      </c>
      <c r="W39" s="271" t="str">
        <f t="shared" si="9"/>
        <v>--</v>
      </c>
      <c r="X39" s="279" t="str">
        <f t="shared" si="12"/>
        <v>--</v>
      </c>
      <c r="Y39" s="285" t="str">
        <f t="shared" si="13"/>
        <v>--</v>
      </c>
      <c r="Z39" s="223" t="str">
        <f t="shared" si="15"/>
        <v/>
      </c>
      <c r="AA39" s="43" t="str">
        <f t="shared" si="14"/>
        <v/>
      </c>
      <c r="AB39" s="8"/>
    </row>
    <row r="40" spans="1:28" s="7" customFormat="1" ht="16.5" thickTop="1" thickBot="1" x14ac:dyDescent="0.3">
      <c r="B40" s="113"/>
      <c r="C40" s="38"/>
      <c r="D40" s="38"/>
      <c r="E40" s="38"/>
      <c r="F40" s="39"/>
      <c r="G40" s="39"/>
      <c r="H40" s="234"/>
      <c r="I40" s="232" t="e">
        <f>IF(H40&gt;25,H40,25)*IF(G40=220,$G$15,IF(G40=132,$G$16,$G$17))/100</f>
        <v>#VALUE!</v>
      </c>
      <c r="J40" s="40"/>
      <c r="K40" s="40"/>
      <c r="L40" s="9" t="str">
        <f t="shared" si="0"/>
        <v/>
      </c>
      <c r="M40" s="10" t="str">
        <f>IF(F40="","",ROUND((K40-J40)*24*60,0))</f>
        <v/>
      </c>
      <c r="N40" s="41"/>
      <c r="O40" s="42" t="str">
        <f t="shared" si="1"/>
        <v/>
      </c>
      <c r="P40" s="239" t="str">
        <f t="shared" si="2"/>
        <v>--</v>
      </c>
      <c r="Q40" s="244" t="str">
        <f t="shared" si="3"/>
        <v>--</v>
      </c>
      <c r="R40" s="253" t="str">
        <f t="shared" si="4"/>
        <v>--</v>
      </c>
      <c r="S40" s="254" t="str">
        <f t="shared" si="5"/>
        <v>--</v>
      </c>
      <c r="T40" s="255" t="str">
        <f t="shared" si="6"/>
        <v>--</v>
      </c>
      <c r="U40" s="269" t="str">
        <f t="shared" si="7"/>
        <v>--</v>
      </c>
      <c r="V40" s="270" t="str">
        <f t="shared" si="8"/>
        <v>--</v>
      </c>
      <c r="W40" s="271" t="str">
        <f t="shared" si="9"/>
        <v>--</v>
      </c>
      <c r="X40" s="279" t="str">
        <f>IF(N40="RF",ROUND(M40/60,2)*I40*$L$16*0.1,"--")</f>
        <v>--</v>
      </c>
      <c r="Y40" s="285" t="str">
        <f>IF(N40="RR",ROUND(M40/60,2)*I40*$L$16*0.1*O40/100,"--")</f>
        <v>--</v>
      </c>
      <c r="Z40" s="223" t="str">
        <f t="shared" si="15"/>
        <v/>
      </c>
      <c r="AA40" s="43" t="str">
        <f t="shared" si="14"/>
        <v/>
      </c>
      <c r="AB40" s="8"/>
    </row>
    <row r="41" spans="1:28" s="7" customFormat="1" ht="16.5" thickTop="1" thickBot="1" x14ac:dyDescent="0.3">
      <c r="B41" s="113"/>
      <c r="C41" s="38"/>
      <c r="D41" s="38"/>
      <c r="E41" s="38"/>
      <c r="F41" s="39"/>
      <c r="G41" s="39"/>
      <c r="H41" s="234"/>
      <c r="I41" s="232" t="e">
        <f>IF(H41&gt;25,H41,25)*IF(G41=220,$G$15,IF(G41=132,$G$16,$G$17))/100</f>
        <v>#VALUE!</v>
      </c>
      <c r="J41" s="40"/>
      <c r="K41" s="40"/>
      <c r="L41" s="9" t="str">
        <f t="shared" si="0"/>
        <v/>
      </c>
      <c r="M41" s="10" t="str">
        <f>IF(F41="","",ROUND((K41-J41)*24*60,0))</f>
        <v/>
      </c>
      <c r="N41" s="41"/>
      <c r="O41" s="42" t="str">
        <f t="shared" si="1"/>
        <v/>
      </c>
      <c r="P41" s="239" t="str">
        <f t="shared" si="2"/>
        <v>--</v>
      </c>
      <c r="Q41" s="244" t="str">
        <f t="shared" si="3"/>
        <v>--</v>
      </c>
      <c r="R41" s="253" t="str">
        <f t="shared" si="4"/>
        <v>--</v>
      </c>
      <c r="S41" s="254" t="str">
        <f t="shared" si="5"/>
        <v>--</v>
      </c>
      <c r="T41" s="255" t="str">
        <f t="shared" si="6"/>
        <v>--</v>
      </c>
      <c r="U41" s="269" t="str">
        <f t="shared" si="7"/>
        <v>--</v>
      </c>
      <c r="V41" s="270" t="str">
        <f t="shared" si="8"/>
        <v>--</v>
      </c>
      <c r="W41" s="271" t="str">
        <f t="shared" si="9"/>
        <v>--</v>
      </c>
      <c r="X41" s="279" t="str">
        <f>IF(N41="RF",ROUND(M41/60,2)*I41*$L$16*0.1,"--")</f>
        <v>--</v>
      </c>
      <c r="Y41" s="285" t="str">
        <f>IF(N41="RR",ROUND(M41/60,2)*I41*$L$16*0.1*O41/100,"--")</f>
        <v>--</v>
      </c>
      <c r="Z41" s="223" t="str">
        <f t="shared" si="15"/>
        <v/>
      </c>
      <c r="AA41" s="43" t="str">
        <f t="shared" si="14"/>
        <v/>
      </c>
      <c r="AB41" s="8"/>
    </row>
    <row r="42" spans="1:28" s="7" customFormat="1" ht="16.5" thickTop="1" thickBot="1" x14ac:dyDescent="0.3">
      <c r="B42" s="113"/>
      <c r="C42" s="38"/>
      <c r="D42" s="38"/>
      <c r="E42" s="38"/>
      <c r="F42" s="39"/>
      <c r="G42" s="39"/>
      <c r="H42" s="234"/>
      <c r="I42" s="232" t="e">
        <f>IF(H42&gt;25,H42,25)*IF(G42=220,$G$15,IF(G42=132,$G$16,$G$17))/100</f>
        <v>#VALUE!</v>
      </c>
      <c r="J42" s="40"/>
      <c r="K42" s="40"/>
      <c r="L42" s="9" t="str">
        <f t="shared" si="0"/>
        <v/>
      </c>
      <c r="M42" s="10" t="str">
        <f>IF(F42="","",ROUND((K42-J42)*24*60,0))</f>
        <v/>
      </c>
      <c r="N42" s="41"/>
      <c r="O42" s="42" t="str">
        <f t="shared" si="1"/>
        <v/>
      </c>
      <c r="P42" s="239" t="str">
        <f t="shared" si="2"/>
        <v>--</v>
      </c>
      <c r="Q42" s="244" t="str">
        <f t="shared" si="3"/>
        <v>--</v>
      </c>
      <c r="R42" s="253" t="str">
        <f t="shared" si="4"/>
        <v>--</v>
      </c>
      <c r="S42" s="254" t="str">
        <f t="shared" si="5"/>
        <v>--</v>
      </c>
      <c r="T42" s="255" t="str">
        <f t="shared" si="6"/>
        <v>--</v>
      </c>
      <c r="U42" s="269" t="str">
        <f t="shared" si="7"/>
        <v>--</v>
      </c>
      <c r="V42" s="270" t="str">
        <f t="shared" si="8"/>
        <v>--</v>
      </c>
      <c r="W42" s="271" t="str">
        <f t="shared" si="9"/>
        <v>--</v>
      </c>
      <c r="X42" s="279" t="str">
        <f>IF(N42="RF",ROUND(M42/60,2)*I42*$L$16*0.1,"--")</f>
        <v>--</v>
      </c>
      <c r="Y42" s="285" t="str">
        <f>IF(N42="RR",ROUND(M42/60,2)*I42*$L$16*0.1*O42/100,"--")</f>
        <v>--</v>
      </c>
      <c r="Z42" s="223" t="str">
        <f t="shared" si="15"/>
        <v/>
      </c>
      <c r="AA42" s="43" t="str">
        <f t="shared" si="14"/>
        <v/>
      </c>
      <c r="AB42" s="8"/>
    </row>
    <row r="43" spans="1:28" s="7" customFormat="1" ht="16.5" thickTop="1" thickBot="1" x14ac:dyDescent="0.3">
      <c r="A43" s="5"/>
      <c r="B43" s="32"/>
      <c r="C43" s="464"/>
      <c r="D43" s="464"/>
      <c r="E43" s="464"/>
      <c r="F43" s="357"/>
      <c r="G43" s="358"/>
      <c r="H43" s="359"/>
      <c r="I43" s="233"/>
      <c r="J43" s="11"/>
      <c r="K43" s="11"/>
      <c r="L43" s="11"/>
      <c r="M43" s="11"/>
      <c r="N43" s="359"/>
      <c r="O43" s="360"/>
      <c r="P43" s="240"/>
      <c r="Q43" s="246"/>
      <c r="R43" s="256"/>
      <c r="S43" s="257"/>
      <c r="T43" s="258"/>
      <c r="U43" s="272"/>
      <c r="V43" s="273"/>
      <c r="W43" s="274"/>
      <c r="X43" s="280"/>
      <c r="Y43" s="286"/>
      <c r="Z43" s="465"/>
      <c r="AA43" s="466"/>
      <c r="AB43" s="8"/>
    </row>
    <row r="44" spans="1:28" s="7" customFormat="1" ht="17.25" thickTop="1" thickBot="1" x14ac:dyDescent="0.3">
      <c r="A44" s="5"/>
      <c r="B44" s="32"/>
      <c r="C44" s="196" t="s">
        <v>38</v>
      </c>
      <c r="D44" s="387" t="s">
        <v>174</v>
      </c>
      <c r="E44" s="198"/>
      <c r="F44" s="197"/>
      <c r="G44" s="12"/>
      <c r="H44" s="13"/>
      <c r="I44" s="45"/>
      <c r="J44" s="45"/>
      <c r="K44" s="45"/>
      <c r="L44" s="45"/>
      <c r="M44" s="45"/>
      <c r="N44" s="45"/>
      <c r="O44" s="46"/>
      <c r="P44" s="240">
        <f t="shared" ref="P44:Y44" si="16">SUM(P21:P43)</f>
        <v>0</v>
      </c>
      <c r="Q44" s="242">
        <f t="shared" si="16"/>
        <v>0</v>
      </c>
      <c r="R44" s="259">
        <f t="shared" si="16"/>
        <v>8795.9081999999999</v>
      </c>
      <c r="S44" s="259">
        <f t="shared" si="16"/>
        <v>2462.854296</v>
      </c>
      <c r="T44" s="259">
        <f t="shared" si="16"/>
        <v>0</v>
      </c>
      <c r="U44" s="275">
        <f t="shared" si="16"/>
        <v>0</v>
      </c>
      <c r="V44" s="275">
        <f t="shared" si="16"/>
        <v>0</v>
      </c>
      <c r="W44" s="275">
        <f t="shared" si="16"/>
        <v>0</v>
      </c>
      <c r="X44" s="281">
        <f t="shared" si="16"/>
        <v>0</v>
      </c>
      <c r="Y44" s="287">
        <f t="shared" si="16"/>
        <v>0</v>
      </c>
      <c r="Z44" s="47"/>
      <c r="AA44" s="467">
        <f>ROUND(SUM(AA21:AA43),2)</f>
        <v>11258.76</v>
      </c>
      <c r="AB44" s="114"/>
    </row>
    <row r="45" spans="1:28" s="211" customFormat="1" ht="9.75" thickTop="1" x14ac:dyDescent="0.15">
      <c r="A45" s="200"/>
      <c r="B45" s="201"/>
      <c r="C45" s="198"/>
      <c r="D45" s="198"/>
      <c r="E45" s="198"/>
      <c r="F45" s="199"/>
      <c r="G45" s="202"/>
      <c r="H45" s="203"/>
      <c r="I45" s="204"/>
      <c r="J45" s="204"/>
      <c r="K45" s="204"/>
      <c r="L45" s="204"/>
      <c r="M45" s="204"/>
      <c r="N45" s="204"/>
      <c r="O45" s="205"/>
      <c r="P45" s="206"/>
      <c r="Q45" s="206"/>
      <c r="R45" s="207"/>
      <c r="S45" s="207"/>
      <c r="T45" s="208"/>
      <c r="U45" s="208"/>
      <c r="V45" s="208"/>
      <c r="W45" s="208"/>
      <c r="X45" s="208"/>
      <c r="Y45" s="208"/>
      <c r="Z45" s="208"/>
      <c r="AA45" s="468"/>
      <c r="AB45" s="210"/>
    </row>
    <row r="46" spans="1:28" s="7" customFormat="1" ht="13.5" thickBot="1" x14ac:dyDescent="0.25">
      <c r="A46" s="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</row>
    <row r="47" spans="1:28" ht="13.5" thickTop="1" x14ac:dyDescent="0.2">
      <c r="A47" s="1"/>
      <c r="B47" s="1"/>
      <c r="AB47" s="1"/>
    </row>
    <row r="92" spans="1:2" x14ac:dyDescent="0.2">
      <c r="A92" s="1"/>
      <c r="B92" s="1"/>
    </row>
  </sheetData>
  <printOptions horizontalCentered="1"/>
  <pageMargins left="0.19685039370078741" right="0" top="0.39370078740157483" bottom="0.78740157480314965" header="0.51181102362204722" footer="0.51181102362204722"/>
  <pageSetup paperSize="9" scale="71" orientation="landscape" horizontalDpi="1200" verticalDpi="1200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Button 1">
              <controlPr defaultSize="0" print="0" autoFill="0" autoPict="0" macro="[1]!Actualizar_Referencias">
                <anchor moveWithCells="1" sizeWithCells="1">
                  <from>
                    <xdr:col>0</xdr:col>
                    <xdr:colOff>38100</xdr:colOff>
                    <xdr:row>43</xdr:row>
                    <xdr:rowOff>9525</xdr:rowOff>
                  </from>
                  <to>
                    <xdr:col>2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A1:AD46"/>
  <sheetViews>
    <sheetView topLeftCell="B22" zoomScale="80" zoomScaleNormal="80" workbookViewId="0">
      <selection activeCell="A39" sqref="A39"/>
    </sheetView>
  </sheetViews>
  <sheetFormatPr baseColWidth="10" defaultRowHeight="12.75" x14ac:dyDescent="0.2"/>
  <cols>
    <col min="1" max="3" width="4.140625" customWidth="1"/>
    <col min="4" max="5" width="13.7109375" customWidth="1"/>
    <col min="6" max="7" width="25.7109375" customWidth="1"/>
    <col min="8" max="8" width="8.7109375" customWidth="1"/>
    <col min="9" max="9" width="12.7109375" customWidth="1"/>
    <col min="10" max="10" width="14.28515625" hidden="1" customWidth="1"/>
    <col min="11" max="11" width="16.28515625" customWidth="1"/>
    <col min="12" max="12" width="16.42578125" customWidth="1"/>
    <col min="13" max="15" width="9.7109375" customWidth="1"/>
    <col min="16" max="18" width="7.7109375" customWidth="1"/>
    <col min="19" max="19" width="12.5703125" hidden="1" customWidth="1"/>
    <col min="20" max="21" width="14.42578125" hidden="1" customWidth="1"/>
    <col min="22" max="22" width="16.85546875" hidden="1" customWidth="1"/>
    <col min="23" max="27" width="16.42578125" hidden="1" customWidth="1"/>
    <col min="28" max="28" width="9.7109375" customWidth="1"/>
    <col min="29" max="29" width="15.7109375" customWidth="1"/>
    <col min="30" max="30" width="4.140625" customWidth="1"/>
  </cols>
  <sheetData>
    <row r="1" spans="1:30" s="59" customFormat="1" ht="30" customHeight="1" x14ac:dyDescent="0.4"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352"/>
    </row>
    <row r="2" spans="1:30" s="59" customFormat="1" ht="26.25" x14ac:dyDescent="0.4">
      <c r="B2" s="361" t="str">
        <f>+'TOT-0316'!B2</f>
        <v>ANEXO III al Memorandum D.T.E.E. N°  294  / 2017</v>
      </c>
      <c r="C2" s="60"/>
      <c r="D2" s="60"/>
      <c r="E2" s="60"/>
      <c r="F2" s="140"/>
      <c r="G2" s="72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s="7" customFormat="1" x14ac:dyDescent="0.2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s="57" customFormat="1" ht="11.25" x14ac:dyDescent="0.2">
      <c r="A4" s="379" t="s">
        <v>117</v>
      </c>
      <c r="B4" s="124"/>
      <c r="C4" s="379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57" customFormat="1" ht="11.25" x14ac:dyDescent="0.2">
      <c r="A5" s="379" t="s">
        <v>118</v>
      </c>
      <c r="B5" s="124"/>
      <c r="C5" s="124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s="7" customFormat="1" ht="17.100000000000001" customHeight="1" thickBo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s="7" customFormat="1" ht="17.100000000000001" customHeight="1" thickTop="1" x14ac:dyDescent="0.2">
      <c r="A7" s="138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1:30" s="61" customFormat="1" ht="21.75" customHeight="1" x14ac:dyDescent="0.3">
      <c r="A8" s="157"/>
      <c r="B8" s="158"/>
      <c r="C8" s="146"/>
      <c r="D8" s="146"/>
      <c r="E8" s="146"/>
      <c r="F8" s="17" t="s">
        <v>14</v>
      </c>
      <c r="H8" s="146"/>
      <c r="I8" s="157"/>
      <c r="J8" s="157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59"/>
      <c r="AD8" s="160"/>
    </row>
    <row r="9" spans="1:30" s="7" customFormat="1" ht="17.100000000000001" customHeight="1" x14ac:dyDescent="0.2">
      <c r="A9" s="138"/>
      <c r="B9" s="144"/>
      <c r="C9" s="23"/>
      <c r="D9" s="23"/>
      <c r="E9" s="23"/>
      <c r="F9" s="23"/>
      <c r="G9" s="23"/>
      <c r="H9" s="23"/>
      <c r="I9" s="13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54"/>
      <c r="AD9" s="145"/>
    </row>
    <row r="10" spans="1:30" s="61" customFormat="1" ht="24" customHeight="1" x14ac:dyDescent="0.3">
      <c r="A10" s="157"/>
      <c r="B10" s="158"/>
      <c r="C10" s="146"/>
      <c r="D10" s="146"/>
      <c r="E10" s="146"/>
      <c r="F10" s="17" t="s">
        <v>39</v>
      </c>
      <c r="G10" s="146"/>
      <c r="H10" s="146"/>
      <c r="I10" s="15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59"/>
      <c r="AD10" s="160"/>
    </row>
    <row r="11" spans="1:30" s="7" customFormat="1" ht="17.100000000000001" customHeight="1" x14ac:dyDescent="0.2">
      <c r="A11" s="138"/>
      <c r="B11" s="144"/>
      <c r="C11" s="23"/>
      <c r="D11" s="23"/>
      <c r="E11" s="23"/>
      <c r="F11" s="53"/>
      <c r="G11" s="23"/>
      <c r="H11" s="23"/>
      <c r="I11" s="13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54"/>
      <c r="AD11" s="145"/>
    </row>
    <row r="12" spans="1:30" s="61" customFormat="1" ht="24" customHeight="1" x14ac:dyDescent="0.3">
      <c r="A12" s="157"/>
      <c r="B12" s="158"/>
      <c r="C12" s="146"/>
      <c r="D12" s="146"/>
      <c r="E12" s="146"/>
      <c r="F12" s="168" t="s">
        <v>40</v>
      </c>
      <c r="G12" s="17"/>
      <c r="H12" s="157"/>
      <c r="I12" s="157"/>
      <c r="J12" s="161"/>
      <c r="K12" s="146"/>
      <c r="L12" s="157"/>
      <c r="M12" s="157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59"/>
      <c r="AD12" s="160"/>
    </row>
    <row r="13" spans="1:30" s="7" customFormat="1" ht="17.100000000000001" customHeight="1" x14ac:dyDescent="0.2">
      <c r="A13" s="138"/>
      <c r="B13" s="144"/>
      <c r="C13" s="23"/>
      <c r="D13" s="23"/>
      <c r="E13" s="23"/>
      <c r="F13" s="148"/>
      <c r="G13" s="148"/>
      <c r="H13" s="148"/>
      <c r="I13" s="149"/>
      <c r="J13" s="147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54"/>
      <c r="AD13" s="145"/>
    </row>
    <row r="14" spans="1:30" s="65" customFormat="1" ht="17.100000000000001" customHeight="1" x14ac:dyDescent="0.35">
      <c r="A14" s="162"/>
      <c r="B14" s="164" t="str">
        <f>+'TOT-0316'!B14</f>
        <v>Desde el 01 al 31 de Marzo de 2016</v>
      </c>
      <c r="C14" s="137"/>
      <c r="D14" s="137"/>
      <c r="E14" s="137"/>
      <c r="F14" s="137"/>
      <c r="G14" s="137"/>
      <c r="H14" s="137"/>
      <c r="I14" s="137"/>
      <c r="J14" s="137"/>
      <c r="K14" s="163"/>
      <c r="L14" s="165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66"/>
      <c r="AD14" s="167"/>
    </row>
    <row r="15" spans="1:30" s="7" customFormat="1" ht="17.100000000000001" customHeight="1" thickBot="1" x14ac:dyDescent="0.3">
      <c r="A15" s="138"/>
      <c r="B15" s="144"/>
      <c r="C15" s="23"/>
      <c r="D15" s="23"/>
      <c r="E15" s="23"/>
      <c r="F15" s="23"/>
      <c r="G15" s="23"/>
      <c r="H15" s="23"/>
      <c r="I15" s="150"/>
      <c r="J15" s="23"/>
      <c r="K15" s="13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54"/>
      <c r="AD15" s="145"/>
    </row>
    <row r="16" spans="1:30" s="7" customFormat="1" ht="17.100000000000001" customHeight="1" thickTop="1" thickBot="1" x14ac:dyDescent="0.25">
      <c r="A16" s="138"/>
      <c r="B16" s="144"/>
      <c r="C16" s="23"/>
      <c r="D16" s="23"/>
      <c r="E16" s="23"/>
      <c r="F16" s="169" t="s">
        <v>54</v>
      </c>
      <c r="G16" s="170"/>
      <c r="H16" s="171"/>
      <c r="I16" s="353">
        <v>1.2350000000000001</v>
      </c>
      <c r="J16" s="13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54"/>
      <c r="AD16" s="145"/>
    </row>
    <row r="17" spans="1:30" s="7" customFormat="1" ht="17.100000000000001" customHeight="1" thickTop="1" thickBot="1" x14ac:dyDescent="0.25">
      <c r="A17" s="138"/>
      <c r="B17" s="144"/>
      <c r="C17" s="23"/>
      <c r="D17" s="23"/>
      <c r="E17" s="23"/>
      <c r="F17" s="172" t="s">
        <v>41</v>
      </c>
      <c r="G17" s="173"/>
      <c r="H17" s="173"/>
      <c r="I17" s="174">
        <f>30*'TOT-0316'!B13</f>
        <v>60</v>
      </c>
      <c r="J17" s="23"/>
      <c r="K17" s="183" t="str">
        <f>IF(I17=30," ",IF(I17=60,"  Coeficiente duplicado por tasa de falla &gt;4 Sal. x año/100 km.","  REVISAR COEFICIENTE"))</f>
        <v xml:space="preserve">  Coeficiente duplicado por tasa de falla &gt;4 Sal. x año/100 km.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51"/>
      <c r="X17" s="151"/>
      <c r="Y17" s="151"/>
      <c r="Z17" s="151"/>
      <c r="AA17" s="151"/>
      <c r="AB17" s="151"/>
      <c r="AC17" s="54"/>
      <c r="AD17" s="145"/>
    </row>
    <row r="18" spans="1:30" s="7" customFormat="1" ht="17.100000000000001" customHeight="1" thickTop="1" thickBot="1" x14ac:dyDescent="0.25">
      <c r="A18" s="138"/>
      <c r="B18" s="144"/>
      <c r="C18" s="385">
        <v>3</v>
      </c>
      <c r="D18" s="385">
        <v>4</v>
      </c>
      <c r="E18" s="385">
        <v>5</v>
      </c>
      <c r="F18" s="385">
        <v>6</v>
      </c>
      <c r="G18" s="385">
        <v>7</v>
      </c>
      <c r="H18" s="385">
        <v>8</v>
      </c>
      <c r="I18" s="385">
        <v>9</v>
      </c>
      <c r="J18" s="385">
        <v>10</v>
      </c>
      <c r="K18" s="385">
        <v>11</v>
      </c>
      <c r="L18" s="385">
        <v>12</v>
      </c>
      <c r="M18" s="385">
        <v>13</v>
      </c>
      <c r="N18" s="385">
        <v>14</v>
      </c>
      <c r="O18" s="385">
        <v>15</v>
      </c>
      <c r="P18" s="385">
        <v>16</v>
      </c>
      <c r="Q18" s="385">
        <v>17</v>
      </c>
      <c r="R18" s="385">
        <v>18</v>
      </c>
      <c r="S18" s="385">
        <v>19</v>
      </c>
      <c r="T18" s="385">
        <v>20</v>
      </c>
      <c r="U18" s="385">
        <v>21</v>
      </c>
      <c r="V18" s="385">
        <v>22</v>
      </c>
      <c r="W18" s="385">
        <v>23</v>
      </c>
      <c r="X18" s="385">
        <v>24</v>
      </c>
      <c r="Y18" s="385">
        <v>25</v>
      </c>
      <c r="Z18" s="385">
        <v>26</v>
      </c>
      <c r="AA18" s="385">
        <v>27</v>
      </c>
      <c r="AB18" s="385">
        <v>28</v>
      </c>
      <c r="AC18" s="385">
        <v>29</v>
      </c>
      <c r="AD18" s="145"/>
    </row>
    <row r="19" spans="1:30" s="310" customFormat="1" ht="33.950000000000003" customHeight="1" thickTop="1" thickBot="1" x14ac:dyDescent="0.25">
      <c r="A19" s="307"/>
      <c r="B19" s="308"/>
      <c r="C19" s="131" t="s">
        <v>20</v>
      </c>
      <c r="D19" s="131" t="s">
        <v>115</v>
      </c>
      <c r="E19" s="131" t="s">
        <v>116</v>
      </c>
      <c r="F19" s="179" t="s">
        <v>42</v>
      </c>
      <c r="G19" s="175" t="s">
        <v>43</v>
      </c>
      <c r="H19" s="177" t="s">
        <v>44</v>
      </c>
      <c r="I19" s="178" t="s">
        <v>21</v>
      </c>
      <c r="J19" s="222" t="s">
        <v>23</v>
      </c>
      <c r="K19" s="175" t="s">
        <v>24</v>
      </c>
      <c r="L19" s="175" t="s">
        <v>25</v>
      </c>
      <c r="M19" s="179" t="s">
        <v>45</v>
      </c>
      <c r="N19" s="179" t="s">
        <v>46</v>
      </c>
      <c r="O19" s="134" t="s">
        <v>47</v>
      </c>
      <c r="P19" s="176" t="s">
        <v>48</v>
      </c>
      <c r="Q19" s="179" t="s">
        <v>29</v>
      </c>
      <c r="R19" s="175" t="s">
        <v>49</v>
      </c>
      <c r="S19" s="290" t="s">
        <v>50</v>
      </c>
      <c r="T19" s="295" t="s">
        <v>51</v>
      </c>
      <c r="U19" s="301" t="s">
        <v>31</v>
      </c>
      <c r="V19" s="311" t="s">
        <v>52</v>
      </c>
      <c r="W19" s="312"/>
      <c r="X19" s="320" t="s">
        <v>53</v>
      </c>
      <c r="Y19" s="340"/>
      <c r="Z19" s="330" t="s">
        <v>34</v>
      </c>
      <c r="AA19" s="331" t="s">
        <v>35</v>
      </c>
      <c r="AB19" s="220" t="s">
        <v>36</v>
      </c>
      <c r="AC19" s="180" t="s">
        <v>37</v>
      </c>
      <c r="AD19" s="309"/>
    </row>
    <row r="20" spans="1:30" s="7" customFormat="1" ht="17.100000000000001" customHeight="1" thickTop="1" x14ac:dyDescent="0.25">
      <c r="A20" s="138"/>
      <c r="B20" s="144"/>
      <c r="C20" s="48"/>
      <c r="D20" s="48"/>
      <c r="E20" s="48"/>
      <c r="F20" s="362"/>
      <c r="G20" s="363"/>
      <c r="H20" s="363"/>
      <c r="I20" s="363"/>
      <c r="J20" s="230"/>
      <c r="K20" s="362"/>
      <c r="L20" s="363"/>
      <c r="M20" s="19"/>
      <c r="N20" s="19"/>
      <c r="O20" s="363"/>
      <c r="P20" s="18"/>
      <c r="Q20" s="363"/>
      <c r="R20" s="363"/>
      <c r="S20" s="291"/>
      <c r="T20" s="296"/>
      <c r="U20" s="302"/>
      <c r="V20" s="313"/>
      <c r="W20" s="314"/>
      <c r="X20" s="321"/>
      <c r="Y20" s="322"/>
      <c r="Z20" s="336"/>
      <c r="AA20" s="332"/>
      <c r="AB20" s="18"/>
      <c r="AC20" s="349"/>
      <c r="AD20" s="145"/>
    </row>
    <row r="21" spans="1:30" s="7" customFormat="1" ht="17.100000000000001" customHeight="1" x14ac:dyDescent="0.25">
      <c r="A21" s="138"/>
      <c r="B21" s="144"/>
      <c r="C21" s="48"/>
      <c r="D21" s="48"/>
      <c r="E21" s="48"/>
      <c r="F21" s="364"/>
      <c r="G21" s="364"/>
      <c r="H21" s="364"/>
      <c r="I21" s="364"/>
      <c r="J21" s="231"/>
      <c r="K21" s="366"/>
      <c r="L21" s="364"/>
      <c r="M21" s="15"/>
      <c r="N21" s="15"/>
      <c r="O21" s="364"/>
      <c r="P21" s="14"/>
      <c r="Q21" s="364"/>
      <c r="R21" s="364"/>
      <c r="S21" s="292"/>
      <c r="T21" s="297"/>
      <c r="U21" s="303"/>
      <c r="V21" s="315"/>
      <c r="W21" s="316"/>
      <c r="X21" s="323"/>
      <c r="Y21" s="324"/>
      <c r="Z21" s="337"/>
      <c r="AA21" s="333"/>
      <c r="AB21" s="14"/>
      <c r="AC21" s="181"/>
      <c r="AD21" s="145"/>
    </row>
    <row r="22" spans="1:30" s="7" customFormat="1" ht="17.100000000000001" customHeight="1" x14ac:dyDescent="0.25">
      <c r="A22" s="138"/>
      <c r="B22" s="152"/>
      <c r="C22" s="48">
        <v>15</v>
      </c>
      <c r="D22" s="48">
        <v>299125</v>
      </c>
      <c r="E22" s="48">
        <v>752</v>
      </c>
      <c r="F22" s="39" t="s">
        <v>146</v>
      </c>
      <c r="G22" s="38" t="s">
        <v>147</v>
      </c>
      <c r="H22" s="52">
        <v>30</v>
      </c>
      <c r="I22" s="49" t="s">
        <v>110</v>
      </c>
      <c r="J22" s="232">
        <f>H22*$I$16</f>
        <v>37.050000000000004</v>
      </c>
      <c r="K22" s="40">
        <v>42430</v>
      </c>
      <c r="L22" s="40">
        <v>42460.999988425923</v>
      </c>
      <c r="M22" s="20">
        <f>IF(F22="","",(L22-K22)*24)</f>
        <v>743.99972222215729</v>
      </c>
      <c r="N22" s="21">
        <f>IF(F22="","",ROUND((L22-K22)*24*60,0))</f>
        <v>44640</v>
      </c>
      <c r="O22" s="51" t="s">
        <v>148</v>
      </c>
      <c r="P22" s="51" t="str">
        <f>IF(F22="","",IF(OR(O22="P",O22="RP"),"--","NO"))</f>
        <v>--</v>
      </c>
      <c r="Q22" s="289">
        <v>50</v>
      </c>
      <c r="R22" s="51" t="str">
        <f>IF(F22="","","NO")</f>
        <v>NO</v>
      </c>
      <c r="S22" s="293">
        <f>$I$17*IF(OR(O22="P",O22="RP"),0.1,1)*IF(R22="SI",1,0.1)</f>
        <v>0.60000000000000009</v>
      </c>
      <c r="T22" s="298" t="str">
        <f>IF(O22="P",J22*S22*ROUND(N22/60,2),"--")</f>
        <v>--</v>
      </c>
      <c r="U22" s="304">
        <f>IF(O22="RP",J22*S22*ROUND(N22/60,2)*Q22/100,"--")</f>
        <v>8269.5600000000031</v>
      </c>
      <c r="V22" s="317" t="str">
        <f>IF(AND(O22="F",P22="NO"),J22*S22,"--")</f>
        <v>--</v>
      </c>
      <c r="W22" s="318" t="str">
        <f>IF(O22="F",J22*S22*ROUND(N22/60,2),"--")</f>
        <v>--</v>
      </c>
      <c r="X22" s="325" t="str">
        <f>IF(AND(O22="R",P22="NO"),J22*S22*Q22/100,"--")</f>
        <v>--</v>
      </c>
      <c r="Y22" s="326" t="str">
        <f>IF(O22="R",J22*S22*ROUND(N22/60,2)*Q22/100,"--")</f>
        <v>--</v>
      </c>
      <c r="Z22" s="338" t="str">
        <f>IF(O22="RF",J22*S22*ROUND(N22/60,2),"--")</f>
        <v>--</v>
      </c>
      <c r="AA22" s="334" t="str">
        <f>IF(O22="RR",J22*S22*ROUND(N22/60,2)*Q22/100,"--")</f>
        <v>--</v>
      </c>
      <c r="AB22" s="51" t="s">
        <v>140</v>
      </c>
      <c r="AC22" s="25">
        <f>IF(F22="","",SUM(T22:AA22)*IF(AB22="SI",1,2))</f>
        <v>8269.5600000000031</v>
      </c>
      <c r="AD22" s="347"/>
    </row>
    <row r="23" spans="1:30" s="7" customFormat="1" ht="17.100000000000001" customHeight="1" x14ac:dyDescent="0.25">
      <c r="A23" s="138"/>
      <c r="B23" s="152"/>
      <c r="C23" s="48">
        <v>16</v>
      </c>
      <c r="D23" s="48">
        <v>299243</v>
      </c>
      <c r="E23" s="48">
        <v>771</v>
      </c>
      <c r="F23" s="39" t="s">
        <v>165</v>
      </c>
      <c r="G23" s="38" t="s">
        <v>151</v>
      </c>
      <c r="H23" s="52">
        <v>30</v>
      </c>
      <c r="I23" s="49" t="s">
        <v>110</v>
      </c>
      <c r="J23" s="232">
        <f t="shared" ref="J23:J38" si="0">H23*$I$16</f>
        <v>37.050000000000004</v>
      </c>
      <c r="K23" s="50">
        <v>42430</v>
      </c>
      <c r="L23" s="50">
        <v>42436.323611111111</v>
      </c>
      <c r="M23" s="20">
        <f t="shared" ref="M23:M38" si="1">IF(F23="","",(L23-K23)*24)</f>
        <v>151.76666666666279</v>
      </c>
      <c r="N23" s="21">
        <f t="shared" ref="N23:N38" si="2">IF(F23="","",ROUND((L23-K23)*24*60,0))</f>
        <v>9106</v>
      </c>
      <c r="O23" s="51" t="s">
        <v>159</v>
      </c>
      <c r="P23" s="51" t="str">
        <f t="shared" ref="P23:P41" si="3">IF(F23="","",IF(OR(O23="P",O23="RP"),"--","NO"))</f>
        <v>NO</v>
      </c>
      <c r="Q23" s="289" t="s">
        <v>155</v>
      </c>
      <c r="R23" s="51" t="s">
        <v>166</v>
      </c>
      <c r="S23" s="293">
        <f t="shared" ref="S23:S38" si="4">$I$17*IF(OR(O23="P",O23="RP"),0.1,1)*IF(R23="SI",1,0.1)</f>
        <v>6</v>
      </c>
      <c r="T23" s="298" t="str">
        <f t="shared" ref="T23:T38" si="5">IF(O23="P",J23*S23*ROUND(N23/60,2),"--")</f>
        <v>--</v>
      </c>
      <c r="U23" s="304" t="str">
        <f t="shared" ref="U23:U38" si="6">IF(O23="RP",J23*S23*ROUND(N23/60,2)*Q23/100,"--")</f>
        <v>--</v>
      </c>
      <c r="V23" s="317" t="str">
        <f t="shared" ref="V23:V38" si="7">IF(AND(O23="F",P23="NO"),J23*S23,"--")</f>
        <v>--</v>
      </c>
      <c r="W23" s="318" t="str">
        <f t="shared" ref="W23:W38" si="8">IF(O23="F",J23*S23*ROUND(N23/60,2),"--")</f>
        <v>--</v>
      </c>
      <c r="X23" s="325" t="str">
        <f t="shared" ref="X23:X38" si="9">IF(AND(O23="R",P23="NO"),J23*S23*Q23/100,"--")</f>
        <v>--</v>
      </c>
      <c r="Y23" s="326" t="str">
        <f t="shared" ref="Y23:Y38" si="10">IF(O23="R",J23*S23*ROUND(N23/60,2)*Q23/100,"--")</f>
        <v>--</v>
      </c>
      <c r="Z23" s="338">
        <f t="shared" ref="Z23:Z38" si="11">IF(O23="RF",J23*S23*ROUND(N23/60,2),"--")</f>
        <v>33738.471000000005</v>
      </c>
      <c r="AA23" s="334" t="str">
        <f t="shared" ref="AA23:AA38" si="12">IF(O23="RR",J23*S23*ROUND(N23/60,2)*Q23/100,"--")</f>
        <v>--</v>
      </c>
      <c r="AB23" s="51" t="s">
        <v>140</v>
      </c>
      <c r="AC23" s="25">
        <f t="shared" ref="AC23:AC41" si="13">IF(F23="","",SUM(T23:AA23)*IF(AB23="SI",1,2))</f>
        <v>33738.471000000005</v>
      </c>
      <c r="AD23" s="347"/>
    </row>
    <row r="24" spans="1:30" s="7" customFormat="1" ht="17.100000000000001" customHeight="1" x14ac:dyDescent="0.25">
      <c r="A24" s="138"/>
      <c r="B24" s="152"/>
      <c r="C24" s="48">
        <v>17</v>
      </c>
      <c r="D24" s="48">
        <v>299835</v>
      </c>
      <c r="E24" s="48">
        <v>4730</v>
      </c>
      <c r="F24" s="39" t="s">
        <v>157</v>
      </c>
      <c r="G24" s="38" t="s">
        <v>151</v>
      </c>
      <c r="H24" s="52">
        <v>15</v>
      </c>
      <c r="I24" s="49" t="s">
        <v>110</v>
      </c>
      <c r="J24" s="232">
        <f t="shared" si="0"/>
        <v>18.525000000000002</v>
      </c>
      <c r="K24" s="50">
        <v>42430.512499999997</v>
      </c>
      <c r="L24" s="50">
        <v>42430.64166666667</v>
      </c>
      <c r="M24" s="20">
        <f t="shared" si="1"/>
        <v>3.1000000001513399</v>
      </c>
      <c r="N24" s="21">
        <f t="shared" si="2"/>
        <v>186</v>
      </c>
      <c r="O24" s="51" t="s">
        <v>142</v>
      </c>
      <c r="P24" s="51" t="str">
        <f t="shared" si="3"/>
        <v>NO</v>
      </c>
      <c r="Q24" s="289">
        <v>60</v>
      </c>
      <c r="R24" s="51" t="s">
        <v>140</v>
      </c>
      <c r="S24" s="293">
        <f t="shared" si="4"/>
        <v>60</v>
      </c>
      <c r="T24" s="298" t="str">
        <f t="shared" si="5"/>
        <v>--</v>
      </c>
      <c r="U24" s="304" t="str">
        <f t="shared" si="6"/>
        <v>--</v>
      </c>
      <c r="V24" s="317">
        <f t="shared" si="7"/>
        <v>1111.5000000000002</v>
      </c>
      <c r="W24" s="318">
        <f t="shared" si="8"/>
        <v>3445.650000000001</v>
      </c>
      <c r="X24" s="325" t="str">
        <f t="shared" si="9"/>
        <v>--</v>
      </c>
      <c r="Y24" s="326" t="str">
        <f t="shared" si="10"/>
        <v>--</v>
      </c>
      <c r="Z24" s="338" t="str">
        <f t="shared" si="11"/>
        <v>--</v>
      </c>
      <c r="AA24" s="334" t="str">
        <f t="shared" si="12"/>
        <v>--</v>
      </c>
      <c r="AB24" s="51" t="s">
        <v>140</v>
      </c>
      <c r="AC24" s="25">
        <f t="shared" si="13"/>
        <v>4557.1500000000015</v>
      </c>
      <c r="AD24" s="347"/>
    </row>
    <row r="25" spans="1:30" s="7" customFormat="1" ht="17.100000000000001" customHeight="1" x14ac:dyDescent="0.25">
      <c r="A25" s="138"/>
      <c r="B25" s="144"/>
      <c r="C25" s="48">
        <v>18</v>
      </c>
      <c r="D25" s="48">
        <v>299843</v>
      </c>
      <c r="E25" s="48">
        <v>4204</v>
      </c>
      <c r="F25" s="39" t="s">
        <v>224</v>
      </c>
      <c r="G25" s="38" t="s">
        <v>149</v>
      </c>
      <c r="H25" s="52">
        <v>15</v>
      </c>
      <c r="I25" s="49" t="s">
        <v>110</v>
      </c>
      <c r="J25" s="232">
        <f t="shared" si="0"/>
        <v>18.525000000000002</v>
      </c>
      <c r="K25" s="50">
        <v>42430.692361111112</v>
      </c>
      <c r="L25" s="50">
        <v>42430.707638888889</v>
      </c>
      <c r="M25" s="20">
        <f t="shared" si="1"/>
        <v>0.36666666663950309</v>
      </c>
      <c r="N25" s="21">
        <f t="shared" si="2"/>
        <v>22</v>
      </c>
      <c r="O25" s="51" t="s">
        <v>142</v>
      </c>
      <c r="P25" s="51" t="str">
        <f t="shared" si="3"/>
        <v>NO</v>
      </c>
      <c r="Q25" s="289" t="s">
        <v>155</v>
      </c>
      <c r="R25" s="51" t="s">
        <v>140</v>
      </c>
      <c r="S25" s="293">
        <f t="shared" si="4"/>
        <v>60</v>
      </c>
      <c r="T25" s="298" t="str">
        <f t="shared" si="5"/>
        <v>--</v>
      </c>
      <c r="U25" s="304" t="str">
        <f t="shared" si="6"/>
        <v>--</v>
      </c>
      <c r="V25" s="317">
        <f t="shared" si="7"/>
        <v>1111.5000000000002</v>
      </c>
      <c r="W25" s="318">
        <f t="shared" si="8"/>
        <v>411.25500000000005</v>
      </c>
      <c r="X25" s="325" t="str">
        <f t="shared" si="9"/>
        <v>--</v>
      </c>
      <c r="Y25" s="326" t="str">
        <f t="shared" si="10"/>
        <v>--</v>
      </c>
      <c r="Z25" s="338" t="str">
        <f t="shared" si="11"/>
        <v>--</v>
      </c>
      <c r="AA25" s="334" t="str">
        <f t="shared" si="12"/>
        <v>--</v>
      </c>
      <c r="AB25" s="51" t="s">
        <v>140</v>
      </c>
      <c r="AC25" s="25">
        <f t="shared" si="13"/>
        <v>1522.7550000000003</v>
      </c>
      <c r="AD25" s="347"/>
    </row>
    <row r="26" spans="1:30" s="7" customFormat="1" ht="17.100000000000001" customHeight="1" x14ac:dyDescent="0.25">
      <c r="A26" s="138"/>
      <c r="B26" s="144"/>
      <c r="C26" s="48">
        <v>19</v>
      </c>
      <c r="D26" s="48">
        <v>299847</v>
      </c>
      <c r="E26" s="48">
        <v>772</v>
      </c>
      <c r="F26" s="39" t="s">
        <v>165</v>
      </c>
      <c r="G26" s="38" t="s">
        <v>149</v>
      </c>
      <c r="H26" s="52">
        <v>30</v>
      </c>
      <c r="I26" s="49" t="s">
        <v>110</v>
      </c>
      <c r="J26" s="232">
        <f t="shared" si="0"/>
        <v>37.050000000000004</v>
      </c>
      <c r="K26" s="50">
        <v>42434.325694444444</v>
      </c>
      <c r="L26" s="50">
        <v>42434.560416666667</v>
      </c>
      <c r="M26" s="20">
        <f t="shared" si="1"/>
        <v>5.6333333333604969</v>
      </c>
      <c r="N26" s="21">
        <f t="shared" si="2"/>
        <v>338</v>
      </c>
      <c r="O26" s="51" t="s">
        <v>139</v>
      </c>
      <c r="P26" s="51" t="str">
        <f t="shared" si="3"/>
        <v>--</v>
      </c>
      <c r="Q26" s="289" t="s">
        <v>155</v>
      </c>
      <c r="R26" s="51" t="s">
        <v>166</v>
      </c>
      <c r="S26" s="293">
        <f t="shared" si="4"/>
        <v>0.60000000000000009</v>
      </c>
      <c r="T26" s="298">
        <f t="shared" si="5"/>
        <v>125.15490000000004</v>
      </c>
      <c r="U26" s="304" t="str">
        <f t="shared" si="6"/>
        <v>--</v>
      </c>
      <c r="V26" s="317" t="str">
        <f t="shared" si="7"/>
        <v>--</v>
      </c>
      <c r="W26" s="318" t="str">
        <f t="shared" si="8"/>
        <v>--</v>
      </c>
      <c r="X26" s="325" t="str">
        <f t="shared" si="9"/>
        <v>--</v>
      </c>
      <c r="Y26" s="326" t="str">
        <f t="shared" si="10"/>
        <v>--</v>
      </c>
      <c r="Z26" s="338" t="str">
        <f t="shared" si="11"/>
        <v>--</v>
      </c>
      <c r="AA26" s="334" t="str">
        <f t="shared" si="12"/>
        <v>--</v>
      </c>
      <c r="AB26" s="51" t="s">
        <v>140</v>
      </c>
      <c r="AC26" s="25">
        <f t="shared" si="13"/>
        <v>125.15490000000004</v>
      </c>
      <c r="AD26" s="347"/>
    </row>
    <row r="27" spans="1:30" s="7" customFormat="1" ht="17.100000000000001" customHeight="1" x14ac:dyDescent="0.25">
      <c r="A27" s="138"/>
      <c r="B27" s="144"/>
      <c r="C27" s="48">
        <v>20</v>
      </c>
      <c r="D27" s="48">
        <v>299848</v>
      </c>
      <c r="E27" s="48">
        <v>772</v>
      </c>
      <c r="F27" s="39" t="s">
        <v>165</v>
      </c>
      <c r="G27" s="38" t="s">
        <v>149</v>
      </c>
      <c r="H27" s="52">
        <v>30</v>
      </c>
      <c r="I27" s="49" t="s">
        <v>110</v>
      </c>
      <c r="J27" s="232">
        <f t="shared" si="0"/>
        <v>37.050000000000004</v>
      </c>
      <c r="K27" s="50">
        <v>42435.343055555553</v>
      </c>
      <c r="L27" s="50">
        <v>42435.495833333334</v>
      </c>
      <c r="M27" s="20">
        <f t="shared" si="1"/>
        <v>3.6666666667442769</v>
      </c>
      <c r="N27" s="21">
        <f t="shared" si="2"/>
        <v>220</v>
      </c>
      <c r="O27" s="51" t="s">
        <v>139</v>
      </c>
      <c r="P27" s="51" t="str">
        <f t="shared" si="3"/>
        <v>--</v>
      </c>
      <c r="Q27" s="289" t="s">
        <v>155</v>
      </c>
      <c r="R27" s="51" t="s">
        <v>166</v>
      </c>
      <c r="S27" s="293">
        <f t="shared" si="4"/>
        <v>0.60000000000000009</v>
      </c>
      <c r="T27" s="298">
        <f t="shared" si="5"/>
        <v>81.584100000000021</v>
      </c>
      <c r="U27" s="304" t="str">
        <f t="shared" si="6"/>
        <v>--</v>
      </c>
      <c r="V27" s="317" t="str">
        <f t="shared" si="7"/>
        <v>--</v>
      </c>
      <c r="W27" s="318" t="str">
        <f t="shared" si="8"/>
        <v>--</v>
      </c>
      <c r="X27" s="325" t="str">
        <f t="shared" si="9"/>
        <v>--</v>
      </c>
      <c r="Y27" s="326" t="str">
        <f t="shared" si="10"/>
        <v>--</v>
      </c>
      <c r="Z27" s="338" t="str">
        <f t="shared" si="11"/>
        <v>--</v>
      </c>
      <c r="AA27" s="334" t="str">
        <f t="shared" si="12"/>
        <v>--</v>
      </c>
      <c r="AB27" s="51" t="s">
        <v>140</v>
      </c>
      <c r="AC27" s="25">
        <f t="shared" si="13"/>
        <v>81.584100000000021</v>
      </c>
      <c r="AD27" s="347"/>
    </row>
    <row r="28" spans="1:30" s="7" customFormat="1" ht="17.100000000000001" customHeight="1" x14ac:dyDescent="0.25">
      <c r="A28" s="138"/>
      <c r="B28" s="144"/>
      <c r="C28" s="48">
        <v>21</v>
      </c>
      <c r="D28" s="48">
        <v>300144</v>
      </c>
      <c r="E28" s="48">
        <v>759</v>
      </c>
      <c r="F28" s="39" t="s">
        <v>152</v>
      </c>
      <c r="G28" s="38" t="s">
        <v>153</v>
      </c>
      <c r="H28" s="52">
        <v>30</v>
      </c>
      <c r="I28" s="49" t="s">
        <v>110</v>
      </c>
      <c r="J28" s="232">
        <f t="shared" si="0"/>
        <v>37.050000000000004</v>
      </c>
      <c r="K28" s="50">
        <v>42442.296527777777</v>
      </c>
      <c r="L28" s="50">
        <v>42442.422222222223</v>
      </c>
      <c r="M28" s="20">
        <f t="shared" si="1"/>
        <v>3.0166666667209938</v>
      </c>
      <c r="N28" s="21">
        <f t="shared" si="2"/>
        <v>181</v>
      </c>
      <c r="O28" s="51" t="s">
        <v>148</v>
      </c>
      <c r="P28" s="51" t="str">
        <f t="shared" si="3"/>
        <v>--</v>
      </c>
      <c r="Q28" s="289">
        <v>60</v>
      </c>
      <c r="R28" s="51" t="s">
        <v>166</v>
      </c>
      <c r="S28" s="293">
        <f t="shared" si="4"/>
        <v>0.60000000000000009</v>
      </c>
      <c r="T28" s="298" t="str">
        <f t="shared" si="5"/>
        <v>--</v>
      </c>
      <c r="U28" s="304">
        <f t="shared" si="6"/>
        <v>40.280760000000015</v>
      </c>
      <c r="V28" s="317" t="str">
        <f t="shared" si="7"/>
        <v>--</v>
      </c>
      <c r="W28" s="318" t="str">
        <f t="shared" si="8"/>
        <v>--</v>
      </c>
      <c r="X28" s="325" t="str">
        <f t="shared" si="9"/>
        <v>--</v>
      </c>
      <c r="Y28" s="326" t="str">
        <f t="shared" si="10"/>
        <v>--</v>
      </c>
      <c r="Z28" s="338" t="str">
        <f t="shared" si="11"/>
        <v>--</v>
      </c>
      <c r="AA28" s="334" t="str">
        <f t="shared" si="12"/>
        <v>--</v>
      </c>
      <c r="AB28" s="51" t="s">
        <v>140</v>
      </c>
      <c r="AC28" s="25">
        <f t="shared" si="13"/>
        <v>40.280760000000015</v>
      </c>
      <c r="AD28" s="347"/>
    </row>
    <row r="29" spans="1:30" s="7" customFormat="1" ht="17.100000000000001" customHeight="1" x14ac:dyDescent="0.25">
      <c r="A29" s="138"/>
      <c r="B29" s="144"/>
      <c r="C29" s="48">
        <v>22</v>
      </c>
      <c r="D29" s="48">
        <v>300145</v>
      </c>
      <c r="E29" s="48">
        <v>3625</v>
      </c>
      <c r="F29" s="39" t="s">
        <v>152</v>
      </c>
      <c r="G29" s="38" t="s">
        <v>154</v>
      </c>
      <c r="H29" s="52">
        <v>50</v>
      </c>
      <c r="I29" s="49" t="s">
        <v>110</v>
      </c>
      <c r="J29" s="232">
        <f t="shared" si="0"/>
        <v>61.750000000000007</v>
      </c>
      <c r="K29" s="50">
        <v>42442.426388888889</v>
      </c>
      <c r="L29" s="50">
        <v>42442.563888888886</v>
      </c>
      <c r="M29" s="20">
        <f t="shared" si="1"/>
        <v>3.2999999999301508</v>
      </c>
      <c r="N29" s="21">
        <f t="shared" si="2"/>
        <v>198</v>
      </c>
      <c r="O29" s="51" t="s">
        <v>148</v>
      </c>
      <c r="P29" s="51" t="str">
        <f t="shared" si="3"/>
        <v>--</v>
      </c>
      <c r="Q29" s="289">
        <v>60</v>
      </c>
      <c r="R29" s="51" t="s">
        <v>166</v>
      </c>
      <c r="S29" s="293">
        <f t="shared" si="4"/>
        <v>0.60000000000000009</v>
      </c>
      <c r="T29" s="298" t="str">
        <f t="shared" si="5"/>
        <v>--</v>
      </c>
      <c r="U29" s="304">
        <f t="shared" si="6"/>
        <v>73.359000000000009</v>
      </c>
      <c r="V29" s="317" t="str">
        <f t="shared" si="7"/>
        <v>--</v>
      </c>
      <c r="W29" s="318" t="str">
        <f t="shared" si="8"/>
        <v>--</v>
      </c>
      <c r="X29" s="325" t="str">
        <f t="shared" si="9"/>
        <v>--</v>
      </c>
      <c r="Y29" s="326" t="str">
        <f t="shared" si="10"/>
        <v>--</v>
      </c>
      <c r="Z29" s="338" t="str">
        <f t="shared" si="11"/>
        <v>--</v>
      </c>
      <c r="AA29" s="334" t="str">
        <f t="shared" si="12"/>
        <v>--</v>
      </c>
      <c r="AB29" s="51" t="s">
        <v>140</v>
      </c>
      <c r="AC29" s="25">
        <f t="shared" si="13"/>
        <v>73.359000000000009</v>
      </c>
      <c r="AD29" s="347"/>
    </row>
    <row r="30" spans="1:30" s="7" customFormat="1" ht="17.100000000000001" customHeight="1" x14ac:dyDescent="0.25">
      <c r="A30" s="138"/>
      <c r="B30" s="144"/>
      <c r="C30" s="48">
        <v>23</v>
      </c>
      <c r="D30" s="48">
        <v>300390</v>
      </c>
      <c r="E30" s="48">
        <v>4730</v>
      </c>
      <c r="F30" s="39" t="s">
        <v>157</v>
      </c>
      <c r="G30" s="38" t="s">
        <v>151</v>
      </c>
      <c r="H30" s="52">
        <v>15</v>
      </c>
      <c r="I30" s="49" t="s">
        <v>110</v>
      </c>
      <c r="J30" s="232">
        <f t="shared" si="0"/>
        <v>18.525000000000002</v>
      </c>
      <c r="K30" s="50">
        <v>42446.214583333334</v>
      </c>
      <c r="L30" s="50">
        <v>42446.229166666664</v>
      </c>
      <c r="M30" s="20">
        <f t="shared" si="1"/>
        <v>0.34999999991850927</v>
      </c>
      <c r="N30" s="21">
        <f t="shared" si="2"/>
        <v>21</v>
      </c>
      <c r="O30" s="51" t="s">
        <v>142</v>
      </c>
      <c r="P30" s="51" t="str">
        <f t="shared" si="3"/>
        <v>NO</v>
      </c>
      <c r="Q30" s="289" t="s">
        <v>155</v>
      </c>
      <c r="R30" s="51" t="s">
        <v>140</v>
      </c>
      <c r="S30" s="293">
        <f t="shared" si="4"/>
        <v>60</v>
      </c>
      <c r="T30" s="298" t="str">
        <f t="shared" si="5"/>
        <v>--</v>
      </c>
      <c r="U30" s="304" t="str">
        <f t="shared" si="6"/>
        <v>--</v>
      </c>
      <c r="V30" s="317">
        <f t="shared" si="7"/>
        <v>1111.5000000000002</v>
      </c>
      <c r="W30" s="318">
        <f t="shared" si="8"/>
        <v>389.02500000000003</v>
      </c>
      <c r="X30" s="325" t="str">
        <f t="shared" si="9"/>
        <v>--</v>
      </c>
      <c r="Y30" s="326" t="str">
        <f t="shared" si="10"/>
        <v>--</v>
      </c>
      <c r="Z30" s="338" t="str">
        <f t="shared" si="11"/>
        <v>--</v>
      </c>
      <c r="AA30" s="334" t="str">
        <f t="shared" si="12"/>
        <v>--</v>
      </c>
      <c r="AB30" s="51" t="s">
        <v>140</v>
      </c>
      <c r="AC30" s="25">
        <f t="shared" si="13"/>
        <v>1500.5250000000003</v>
      </c>
      <c r="AD30" s="347"/>
    </row>
    <row r="31" spans="1:30" s="7" customFormat="1" ht="17.100000000000001" customHeight="1" x14ac:dyDescent="0.25">
      <c r="A31" s="138"/>
      <c r="B31" s="144"/>
      <c r="C31" s="48">
        <v>24</v>
      </c>
      <c r="D31" s="48">
        <v>300551</v>
      </c>
      <c r="E31" s="48">
        <v>3625</v>
      </c>
      <c r="F31" s="39" t="s">
        <v>152</v>
      </c>
      <c r="G31" s="38" t="s">
        <v>154</v>
      </c>
      <c r="H31" s="52">
        <v>50</v>
      </c>
      <c r="I31" s="49" t="s">
        <v>110</v>
      </c>
      <c r="J31" s="232">
        <f t="shared" si="0"/>
        <v>61.750000000000007</v>
      </c>
      <c r="K31" s="50">
        <v>42450.225694444445</v>
      </c>
      <c r="L31" s="50">
        <v>42450.259027777778</v>
      </c>
      <c r="M31" s="20">
        <f t="shared" si="1"/>
        <v>0.79999999998835847</v>
      </c>
      <c r="N31" s="21">
        <f t="shared" si="2"/>
        <v>48</v>
      </c>
      <c r="O31" s="51" t="s">
        <v>150</v>
      </c>
      <c r="P31" s="51" t="str">
        <f t="shared" si="3"/>
        <v>NO</v>
      </c>
      <c r="Q31" s="289">
        <v>60</v>
      </c>
      <c r="R31" s="51" t="s">
        <v>140</v>
      </c>
      <c r="S31" s="293">
        <f t="shared" si="4"/>
        <v>60</v>
      </c>
      <c r="T31" s="298" t="str">
        <f t="shared" si="5"/>
        <v>--</v>
      </c>
      <c r="U31" s="304" t="str">
        <f t="shared" si="6"/>
        <v>--</v>
      </c>
      <c r="V31" s="317" t="str">
        <f t="shared" si="7"/>
        <v>--</v>
      </c>
      <c r="W31" s="318" t="str">
        <f t="shared" si="8"/>
        <v>--</v>
      </c>
      <c r="X31" s="325">
        <f t="shared" si="9"/>
        <v>2223.0000000000005</v>
      </c>
      <c r="Y31" s="326">
        <f t="shared" si="10"/>
        <v>1778.4000000000003</v>
      </c>
      <c r="Z31" s="338" t="str">
        <f t="shared" si="11"/>
        <v>--</v>
      </c>
      <c r="AA31" s="334" t="str">
        <f t="shared" si="12"/>
        <v>--</v>
      </c>
      <c r="AB31" s="51" t="s">
        <v>140</v>
      </c>
      <c r="AC31" s="25">
        <f t="shared" si="13"/>
        <v>4001.4000000000005</v>
      </c>
      <c r="AD31" s="347"/>
    </row>
    <row r="32" spans="1:30" s="7" customFormat="1" ht="17.100000000000001" customHeight="1" x14ac:dyDescent="0.25">
      <c r="A32" s="138"/>
      <c r="B32" s="144"/>
      <c r="C32" s="48">
        <v>25</v>
      </c>
      <c r="D32" s="48">
        <v>300561</v>
      </c>
      <c r="E32" s="48">
        <v>3625</v>
      </c>
      <c r="F32" s="39" t="s">
        <v>152</v>
      </c>
      <c r="G32" s="38" t="s">
        <v>154</v>
      </c>
      <c r="H32" s="52">
        <v>50</v>
      </c>
      <c r="I32" s="49" t="s">
        <v>110</v>
      </c>
      <c r="J32" s="232">
        <f t="shared" si="0"/>
        <v>61.750000000000007</v>
      </c>
      <c r="K32" s="50">
        <v>42452.552777777775</v>
      </c>
      <c r="L32" s="50">
        <v>42452.561111111114</v>
      </c>
      <c r="M32" s="20">
        <f t="shared" si="1"/>
        <v>0.20000000012805685</v>
      </c>
      <c r="N32" s="21">
        <f t="shared" si="2"/>
        <v>12</v>
      </c>
      <c r="O32" s="51" t="s">
        <v>150</v>
      </c>
      <c r="P32" s="51" t="str">
        <f t="shared" si="3"/>
        <v>NO</v>
      </c>
      <c r="Q32" s="289">
        <v>60</v>
      </c>
      <c r="R32" s="51" t="s">
        <v>140</v>
      </c>
      <c r="S32" s="293">
        <f t="shared" si="4"/>
        <v>60</v>
      </c>
      <c r="T32" s="298" t="str">
        <f t="shared" si="5"/>
        <v>--</v>
      </c>
      <c r="U32" s="304" t="str">
        <f t="shared" si="6"/>
        <v>--</v>
      </c>
      <c r="V32" s="317" t="str">
        <f t="shared" si="7"/>
        <v>--</v>
      </c>
      <c r="W32" s="318" t="str">
        <f t="shared" si="8"/>
        <v>--</v>
      </c>
      <c r="X32" s="325">
        <f t="shared" si="9"/>
        <v>2223.0000000000005</v>
      </c>
      <c r="Y32" s="326">
        <f t="shared" si="10"/>
        <v>444.60000000000008</v>
      </c>
      <c r="Z32" s="338" t="str">
        <f t="shared" si="11"/>
        <v>--</v>
      </c>
      <c r="AA32" s="334" t="str">
        <f t="shared" si="12"/>
        <v>--</v>
      </c>
      <c r="AB32" s="51" t="s">
        <v>140</v>
      </c>
      <c r="AC32" s="25">
        <f t="shared" si="13"/>
        <v>2667.6000000000004</v>
      </c>
      <c r="AD32" s="347"/>
    </row>
    <row r="33" spans="1:30" s="7" customFormat="1" ht="17.100000000000001" customHeight="1" x14ac:dyDescent="0.25">
      <c r="A33" s="138"/>
      <c r="B33" s="144"/>
      <c r="C33" s="48">
        <v>26</v>
      </c>
      <c r="D33" s="48">
        <v>300571</v>
      </c>
      <c r="E33" s="48">
        <v>771</v>
      </c>
      <c r="F33" s="39" t="s">
        <v>165</v>
      </c>
      <c r="G33" s="38" t="s">
        <v>151</v>
      </c>
      <c r="H33" s="52">
        <v>30</v>
      </c>
      <c r="I33" s="49" t="s">
        <v>110</v>
      </c>
      <c r="J33" s="232">
        <f t="shared" si="0"/>
        <v>37.050000000000004</v>
      </c>
      <c r="K33" s="50">
        <v>42453.40347222222</v>
      </c>
      <c r="L33" s="50">
        <v>42453.429861111108</v>
      </c>
      <c r="M33" s="20">
        <f t="shared" si="1"/>
        <v>0.63333333330228925</v>
      </c>
      <c r="N33" s="21">
        <f t="shared" si="2"/>
        <v>38</v>
      </c>
      <c r="O33" s="51" t="s">
        <v>150</v>
      </c>
      <c r="P33" s="51" t="str">
        <f t="shared" si="3"/>
        <v>NO</v>
      </c>
      <c r="Q33" s="289">
        <v>40</v>
      </c>
      <c r="R33" s="51" t="s">
        <v>140</v>
      </c>
      <c r="S33" s="293">
        <f t="shared" si="4"/>
        <v>60</v>
      </c>
      <c r="T33" s="298" t="str">
        <f t="shared" si="5"/>
        <v>--</v>
      </c>
      <c r="U33" s="304" t="str">
        <f t="shared" si="6"/>
        <v>--</v>
      </c>
      <c r="V33" s="317" t="str">
        <f t="shared" si="7"/>
        <v>--</v>
      </c>
      <c r="W33" s="318" t="str">
        <f t="shared" si="8"/>
        <v>--</v>
      </c>
      <c r="X33" s="325">
        <f t="shared" si="9"/>
        <v>889.20000000000016</v>
      </c>
      <c r="Y33" s="326">
        <f t="shared" si="10"/>
        <v>560.19600000000003</v>
      </c>
      <c r="Z33" s="338" t="str">
        <f t="shared" si="11"/>
        <v>--</v>
      </c>
      <c r="AA33" s="334" t="str">
        <f t="shared" si="12"/>
        <v>--</v>
      </c>
      <c r="AB33" s="51" t="s">
        <v>140</v>
      </c>
      <c r="AC33" s="25">
        <f t="shared" si="13"/>
        <v>1449.3960000000002</v>
      </c>
      <c r="AD33" s="347"/>
    </row>
    <row r="34" spans="1:30" s="7" customFormat="1" ht="17.100000000000001" customHeight="1" x14ac:dyDescent="0.25">
      <c r="A34" s="138"/>
      <c r="B34" s="144"/>
      <c r="C34" s="48">
        <v>27</v>
      </c>
      <c r="D34" s="48">
        <v>300572</v>
      </c>
      <c r="E34" s="48">
        <v>772</v>
      </c>
      <c r="F34" s="39" t="s">
        <v>165</v>
      </c>
      <c r="G34" s="38" t="s">
        <v>149</v>
      </c>
      <c r="H34" s="52">
        <v>30</v>
      </c>
      <c r="I34" s="49" t="s">
        <v>110</v>
      </c>
      <c r="J34" s="232">
        <f t="shared" si="0"/>
        <v>37.050000000000004</v>
      </c>
      <c r="K34" s="50">
        <v>42453.40347222222</v>
      </c>
      <c r="L34" s="50">
        <v>42453.429861111108</v>
      </c>
      <c r="M34" s="20">
        <f t="shared" si="1"/>
        <v>0.63333333330228925</v>
      </c>
      <c r="N34" s="21">
        <f t="shared" si="2"/>
        <v>38</v>
      </c>
      <c r="O34" s="51" t="s">
        <v>150</v>
      </c>
      <c r="P34" s="51" t="str">
        <f t="shared" si="3"/>
        <v>NO</v>
      </c>
      <c r="Q34" s="289">
        <v>40</v>
      </c>
      <c r="R34" s="51" t="s">
        <v>140</v>
      </c>
      <c r="S34" s="293">
        <f t="shared" si="4"/>
        <v>60</v>
      </c>
      <c r="T34" s="298" t="str">
        <f t="shared" si="5"/>
        <v>--</v>
      </c>
      <c r="U34" s="304" t="str">
        <f t="shared" si="6"/>
        <v>--</v>
      </c>
      <c r="V34" s="317" t="str">
        <f t="shared" si="7"/>
        <v>--</v>
      </c>
      <c r="W34" s="318" t="str">
        <f t="shared" si="8"/>
        <v>--</v>
      </c>
      <c r="X34" s="325">
        <f t="shared" si="9"/>
        <v>889.20000000000016</v>
      </c>
      <c r="Y34" s="326">
        <f t="shared" si="10"/>
        <v>560.19600000000003</v>
      </c>
      <c r="Z34" s="338" t="str">
        <f t="shared" si="11"/>
        <v>--</v>
      </c>
      <c r="AA34" s="334" t="str">
        <f t="shared" si="12"/>
        <v>--</v>
      </c>
      <c r="AB34" s="51" t="s">
        <v>140</v>
      </c>
      <c r="AC34" s="25">
        <f t="shared" si="13"/>
        <v>1449.3960000000002</v>
      </c>
      <c r="AD34" s="347"/>
    </row>
    <row r="35" spans="1:30" s="7" customFormat="1" ht="17.100000000000001" customHeight="1" x14ac:dyDescent="0.25">
      <c r="A35" s="138"/>
      <c r="B35" s="144"/>
      <c r="C35" s="48">
        <v>28</v>
      </c>
      <c r="D35" s="48">
        <v>300573</v>
      </c>
      <c r="E35" s="48">
        <v>773</v>
      </c>
      <c r="F35" s="39" t="s">
        <v>165</v>
      </c>
      <c r="G35" s="38" t="s">
        <v>153</v>
      </c>
      <c r="H35" s="52">
        <v>30</v>
      </c>
      <c r="I35" s="49" t="s">
        <v>110</v>
      </c>
      <c r="J35" s="232">
        <f t="shared" si="0"/>
        <v>37.050000000000004</v>
      </c>
      <c r="K35" s="50">
        <v>42453.40347222222</v>
      </c>
      <c r="L35" s="50">
        <v>42453.429861111108</v>
      </c>
      <c r="M35" s="20">
        <f t="shared" si="1"/>
        <v>0.63333333330228925</v>
      </c>
      <c r="N35" s="21">
        <f t="shared" si="2"/>
        <v>38</v>
      </c>
      <c r="O35" s="51" t="s">
        <v>150</v>
      </c>
      <c r="P35" s="51" t="str">
        <f t="shared" si="3"/>
        <v>NO</v>
      </c>
      <c r="Q35" s="289">
        <v>60</v>
      </c>
      <c r="R35" s="51" t="s">
        <v>140</v>
      </c>
      <c r="S35" s="293">
        <f t="shared" si="4"/>
        <v>60</v>
      </c>
      <c r="T35" s="298" t="str">
        <f t="shared" si="5"/>
        <v>--</v>
      </c>
      <c r="U35" s="304" t="str">
        <f t="shared" si="6"/>
        <v>--</v>
      </c>
      <c r="V35" s="317" t="str">
        <f t="shared" si="7"/>
        <v>--</v>
      </c>
      <c r="W35" s="318" t="str">
        <f t="shared" si="8"/>
        <v>--</v>
      </c>
      <c r="X35" s="325">
        <f t="shared" si="9"/>
        <v>1333.8000000000002</v>
      </c>
      <c r="Y35" s="326">
        <f t="shared" si="10"/>
        <v>840.2940000000001</v>
      </c>
      <c r="Z35" s="338" t="str">
        <f t="shared" si="11"/>
        <v>--</v>
      </c>
      <c r="AA35" s="334" t="str">
        <f t="shared" si="12"/>
        <v>--</v>
      </c>
      <c r="AB35" s="51" t="s">
        <v>140</v>
      </c>
      <c r="AC35" s="25">
        <f t="shared" si="13"/>
        <v>2174.0940000000001</v>
      </c>
      <c r="AD35" s="347"/>
    </row>
    <row r="36" spans="1:30" s="7" customFormat="1" ht="17.100000000000001" customHeight="1" x14ac:dyDescent="0.25">
      <c r="A36" s="138"/>
      <c r="B36" s="144"/>
      <c r="C36" s="48">
        <v>29</v>
      </c>
      <c r="D36" s="48">
        <v>300574</v>
      </c>
      <c r="E36" s="48">
        <v>4072</v>
      </c>
      <c r="F36" s="39" t="s">
        <v>165</v>
      </c>
      <c r="G36" s="38" t="s">
        <v>154</v>
      </c>
      <c r="H36" s="52">
        <v>30</v>
      </c>
      <c r="I36" s="389" t="s">
        <v>110</v>
      </c>
      <c r="J36" s="232">
        <f t="shared" si="0"/>
        <v>37.050000000000004</v>
      </c>
      <c r="K36" s="50">
        <v>42453.40347222222</v>
      </c>
      <c r="L36" s="50">
        <v>42453.429861111108</v>
      </c>
      <c r="M36" s="20">
        <f t="shared" si="1"/>
        <v>0.63333333330228925</v>
      </c>
      <c r="N36" s="21">
        <f t="shared" si="2"/>
        <v>38</v>
      </c>
      <c r="O36" s="51" t="s">
        <v>150</v>
      </c>
      <c r="P36" s="51" t="str">
        <f t="shared" si="3"/>
        <v>NO</v>
      </c>
      <c r="Q36" s="289">
        <v>60</v>
      </c>
      <c r="R36" s="51" t="s">
        <v>140</v>
      </c>
      <c r="S36" s="293">
        <f t="shared" si="4"/>
        <v>60</v>
      </c>
      <c r="T36" s="298" t="str">
        <f t="shared" si="5"/>
        <v>--</v>
      </c>
      <c r="U36" s="304" t="str">
        <f t="shared" si="6"/>
        <v>--</v>
      </c>
      <c r="V36" s="317" t="str">
        <f t="shared" si="7"/>
        <v>--</v>
      </c>
      <c r="W36" s="318" t="str">
        <f t="shared" si="8"/>
        <v>--</v>
      </c>
      <c r="X36" s="325">
        <f t="shared" si="9"/>
        <v>1333.8000000000002</v>
      </c>
      <c r="Y36" s="326">
        <f t="shared" si="10"/>
        <v>840.2940000000001</v>
      </c>
      <c r="Z36" s="338" t="str">
        <f t="shared" si="11"/>
        <v>--</v>
      </c>
      <c r="AA36" s="334" t="str">
        <f t="shared" si="12"/>
        <v>--</v>
      </c>
      <c r="AB36" s="51" t="s">
        <v>140</v>
      </c>
      <c r="AC36" s="25">
        <f t="shared" si="13"/>
        <v>2174.0940000000001</v>
      </c>
      <c r="AD36" s="347"/>
    </row>
    <row r="37" spans="1:30" s="7" customFormat="1" ht="17.100000000000001" customHeight="1" x14ac:dyDescent="0.25">
      <c r="A37" s="138"/>
      <c r="B37" s="144"/>
      <c r="C37" s="48">
        <v>30</v>
      </c>
      <c r="D37" s="48">
        <v>300575</v>
      </c>
      <c r="E37" s="48">
        <v>4719</v>
      </c>
      <c r="F37" s="39" t="s">
        <v>165</v>
      </c>
      <c r="G37" s="38" t="s">
        <v>156</v>
      </c>
      <c r="H37" s="52">
        <v>30</v>
      </c>
      <c r="I37" s="49" t="s">
        <v>158</v>
      </c>
      <c r="J37" s="232">
        <f t="shared" si="0"/>
        <v>37.050000000000004</v>
      </c>
      <c r="K37" s="50">
        <v>42453.40347222222</v>
      </c>
      <c r="L37" s="50">
        <v>42453.429861111108</v>
      </c>
      <c r="M37" s="20">
        <f t="shared" si="1"/>
        <v>0.63333333330228925</v>
      </c>
      <c r="N37" s="21">
        <f t="shared" si="2"/>
        <v>38</v>
      </c>
      <c r="O37" s="51" t="s">
        <v>150</v>
      </c>
      <c r="P37" s="51" t="str">
        <f t="shared" si="3"/>
        <v>NO</v>
      </c>
      <c r="Q37" s="289">
        <v>50</v>
      </c>
      <c r="R37" s="51" t="s">
        <v>140</v>
      </c>
      <c r="S37" s="293">
        <f t="shared" si="4"/>
        <v>60</v>
      </c>
      <c r="T37" s="298" t="str">
        <f t="shared" si="5"/>
        <v>--</v>
      </c>
      <c r="U37" s="304" t="str">
        <f t="shared" si="6"/>
        <v>--</v>
      </c>
      <c r="V37" s="317" t="str">
        <f t="shared" si="7"/>
        <v>--</v>
      </c>
      <c r="W37" s="318" t="str">
        <f t="shared" si="8"/>
        <v>--</v>
      </c>
      <c r="X37" s="325">
        <f t="shared" si="9"/>
        <v>1111.5000000000002</v>
      </c>
      <c r="Y37" s="326">
        <f t="shared" si="10"/>
        <v>700.24500000000012</v>
      </c>
      <c r="Z37" s="338" t="str">
        <f t="shared" si="11"/>
        <v>--</v>
      </c>
      <c r="AA37" s="334" t="str">
        <f t="shared" si="12"/>
        <v>--</v>
      </c>
      <c r="AB37" s="51" t="s">
        <v>140</v>
      </c>
      <c r="AC37" s="25">
        <f t="shared" si="13"/>
        <v>1811.7450000000003</v>
      </c>
      <c r="AD37" s="145"/>
    </row>
    <row r="38" spans="1:30" s="7" customFormat="1" ht="17.100000000000001" customHeight="1" x14ac:dyDescent="0.25">
      <c r="A38" s="138"/>
      <c r="B38" s="144"/>
      <c r="C38" s="48">
        <v>31</v>
      </c>
      <c r="D38" s="48">
        <v>300583</v>
      </c>
      <c r="E38" s="48">
        <v>3305</v>
      </c>
      <c r="F38" s="39" t="s">
        <v>225</v>
      </c>
      <c r="G38" s="38" t="s">
        <v>151</v>
      </c>
      <c r="H38" s="52">
        <v>30</v>
      </c>
      <c r="I38" s="49" t="s">
        <v>110</v>
      </c>
      <c r="J38" s="232">
        <f t="shared" si="0"/>
        <v>37.050000000000004</v>
      </c>
      <c r="K38" s="50">
        <v>42456.850694444445</v>
      </c>
      <c r="L38" s="50">
        <v>42456.863194444442</v>
      </c>
      <c r="M38" s="20">
        <f t="shared" si="1"/>
        <v>0.29999999993015081</v>
      </c>
      <c r="N38" s="21">
        <f t="shared" si="2"/>
        <v>18</v>
      </c>
      <c r="O38" s="51" t="s">
        <v>150</v>
      </c>
      <c r="P38" s="51" t="str">
        <f t="shared" si="3"/>
        <v>NO</v>
      </c>
      <c r="Q38" s="289">
        <v>40</v>
      </c>
      <c r="R38" s="51" t="s">
        <v>140</v>
      </c>
      <c r="S38" s="293">
        <f t="shared" si="4"/>
        <v>60</v>
      </c>
      <c r="T38" s="298" t="str">
        <f t="shared" si="5"/>
        <v>--</v>
      </c>
      <c r="U38" s="304" t="str">
        <f t="shared" si="6"/>
        <v>--</v>
      </c>
      <c r="V38" s="317" t="str">
        <f t="shared" si="7"/>
        <v>--</v>
      </c>
      <c r="W38" s="318" t="str">
        <f t="shared" si="8"/>
        <v>--</v>
      </c>
      <c r="X38" s="325">
        <f t="shared" si="9"/>
        <v>889.20000000000016</v>
      </c>
      <c r="Y38" s="326">
        <f t="shared" si="10"/>
        <v>266.76000000000005</v>
      </c>
      <c r="Z38" s="338" t="str">
        <f t="shared" si="11"/>
        <v>--</v>
      </c>
      <c r="AA38" s="334" t="str">
        <f t="shared" si="12"/>
        <v>--</v>
      </c>
      <c r="AB38" s="51" t="s">
        <v>140</v>
      </c>
      <c r="AC38" s="25">
        <f t="shared" si="13"/>
        <v>1155.9600000000003</v>
      </c>
      <c r="AD38" s="145"/>
    </row>
    <row r="39" spans="1:30" s="7" customFormat="1" ht="17.100000000000001" customHeight="1" x14ac:dyDescent="0.25">
      <c r="A39" s="138"/>
      <c r="B39" s="144"/>
      <c r="C39" s="48">
        <v>32</v>
      </c>
      <c r="D39" s="48">
        <v>300584</v>
      </c>
      <c r="E39" s="48">
        <v>764</v>
      </c>
      <c r="F39" s="39" t="s">
        <v>225</v>
      </c>
      <c r="G39" s="38" t="s">
        <v>153</v>
      </c>
      <c r="H39" s="52">
        <v>30</v>
      </c>
      <c r="I39" s="389" t="s">
        <v>110</v>
      </c>
      <c r="J39" s="232">
        <f>H39*$I$16</f>
        <v>37.050000000000004</v>
      </c>
      <c r="K39" s="50">
        <v>42456.850694444445</v>
      </c>
      <c r="L39" s="50">
        <v>42456.863194444442</v>
      </c>
      <c r="M39" s="20">
        <f>IF(F39="","",(L39-K39)*24)</f>
        <v>0.29999999993015081</v>
      </c>
      <c r="N39" s="21">
        <f>IF(F39="","",ROUND((L39-K39)*24*60,0))</f>
        <v>18</v>
      </c>
      <c r="O39" s="51" t="s">
        <v>150</v>
      </c>
      <c r="P39" s="51" t="str">
        <f t="shared" si="3"/>
        <v>NO</v>
      </c>
      <c r="Q39" s="289">
        <v>60</v>
      </c>
      <c r="R39" s="51" t="s">
        <v>140</v>
      </c>
      <c r="S39" s="293">
        <f>$I$17*IF(OR(O39="P",O39="RP"),0.1,1)*IF(R39="SI",1,0.1)</f>
        <v>60</v>
      </c>
      <c r="T39" s="298" t="str">
        <f>IF(O39="P",J39*S39*ROUND(N39/60,2),"--")</f>
        <v>--</v>
      </c>
      <c r="U39" s="304" t="str">
        <f>IF(O39="RP",J39*S39*ROUND(N39/60,2)*Q39/100,"--")</f>
        <v>--</v>
      </c>
      <c r="V39" s="317" t="str">
        <f>IF(AND(O39="F",P39="NO"),J39*S39,"--")</f>
        <v>--</v>
      </c>
      <c r="W39" s="318" t="str">
        <f>IF(O39="F",J39*S39*ROUND(N39/60,2),"--")</f>
        <v>--</v>
      </c>
      <c r="X39" s="325">
        <f>IF(AND(O39="R",P39="NO"),J39*S39*Q39/100,"--")</f>
        <v>1333.8000000000002</v>
      </c>
      <c r="Y39" s="326">
        <f>IF(O39="R",J39*S39*ROUND(N39/60,2)*Q39/100,"--")</f>
        <v>400.1400000000001</v>
      </c>
      <c r="Z39" s="338" t="str">
        <f>IF(O39="RF",J39*S39*ROUND(N39/60,2),"--")</f>
        <v>--</v>
      </c>
      <c r="AA39" s="334" t="str">
        <f>IF(O39="RR",J39*S39*ROUND(N39/60,2)*Q39/100,"--")</f>
        <v>--</v>
      </c>
      <c r="AB39" s="51" t="s">
        <v>140</v>
      </c>
      <c r="AC39" s="25">
        <f t="shared" si="13"/>
        <v>1733.9400000000003</v>
      </c>
      <c r="AD39" s="145"/>
    </row>
    <row r="40" spans="1:30" s="7" customFormat="1" ht="17.100000000000001" customHeight="1" x14ac:dyDescent="0.25">
      <c r="A40" s="138"/>
      <c r="B40" s="144"/>
      <c r="C40" s="48">
        <v>33</v>
      </c>
      <c r="D40" s="48">
        <v>300585</v>
      </c>
      <c r="E40" s="48">
        <v>1336</v>
      </c>
      <c r="F40" s="39" t="s">
        <v>225</v>
      </c>
      <c r="G40" s="38" t="s">
        <v>154</v>
      </c>
      <c r="H40" s="52">
        <v>30</v>
      </c>
      <c r="I40" s="49" t="s">
        <v>158</v>
      </c>
      <c r="J40" s="232">
        <f>H40*$I$16</f>
        <v>37.050000000000004</v>
      </c>
      <c r="K40" s="50">
        <v>42456.850694444445</v>
      </c>
      <c r="L40" s="50">
        <v>42456.863194444442</v>
      </c>
      <c r="M40" s="20">
        <f>IF(F40="","",(L40-K40)*24)</f>
        <v>0.29999999993015081</v>
      </c>
      <c r="N40" s="21">
        <f>IF(F40="","",ROUND((L40-K40)*24*60,0))</f>
        <v>18</v>
      </c>
      <c r="O40" s="51" t="s">
        <v>150</v>
      </c>
      <c r="P40" s="51" t="str">
        <f t="shared" si="3"/>
        <v>NO</v>
      </c>
      <c r="Q40" s="289">
        <v>60</v>
      </c>
      <c r="R40" s="51" t="s">
        <v>140</v>
      </c>
      <c r="S40" s="293">
        <f>$I$17*IF(OR(O40="P",O40="RP"),0.1,1)*IF(R40="SI",1,0.1)</f>
        <v>60</v>
      </c>
      <c r="T40" s="298" t="str">
        <f>IF(O40="P",J40*S40*ROUND(N40/60,2),"--")</f>
        <v>--</v>
      </c>
      <c r="U40" s="304" t="str">
        <f>IF(O40="RP",J40*S40*ROUND(N40/60,2)*Q40/100,"--")</f>
        <v>--</v>
      </c>
      <c r="V40" s="317" t="str">
        <f>IF(AND(O40="F",P40="NO"),J40*S40,"--")</f>
        <v>--</v>
      </c>
      <c r="W40" s="318" t="str">
        <f>IF(O40="F",J40*S40*ROUND(N40/60,2),"--")</f>
        <v>--</v>
      </c>
      <c r="X40" s="325">
        <f>IF(AND(O40="R",P40="NO"),J40*S40*Q40/100,"--")</f>
        <v>1333.8000000000002</v>
      </c>
      <c r="Y40" s="326">
        <f>IF(O40="R",J40*S40*ROUND(N40/60,2)*Q40/100,"--")</f>
        <v>400.1400000000001</v>
      </c>
      <c r="Z40" s="338" t="str">
        <f>IF(O40="RF",J40*S40*ROUND(N40/60,2),"--")</f>
        <v>--</v>
      </c>
      <c r="AA40" s="334" t="str">
        <f>IF(O40="RR",J40*S40*ROUND(N40/60,2)*Q40/100,"--")</f>
        <v>--</v>
      </c>
      <c r="AB40" s="51" t="s">
        <v>140</v>
      </c>
      <c r="AC40" s="25">
        <f t="shared" si="13"/>
        <v>1733.9400000000003</v>
      </c>
      <c r="AD40" s="145"/>
    </row>
    <row r="41" spans="1:30" s="7" customFormat="1" ht="17.100000000000001" customHeight="1" x14ac:dyDescent="0.25">
      <c r="A41" s="138"/>
      <c r="B41" s="144"/>
      <c r="C41" s="48">
        <v>34</v>
      </c>
      <c r="D41" s="48">
        <v>300586</v>
      </c>
      <c r="E41" s="48">
        <v>4611</v>
      </c>
      <c r="F41" s="39" t="s">
        <v>225</v>
      </c>
      <c r="G41" s="38" t="s">
        <v>156</v>
      </c>
      <c r="H41" s="52">
        <v>30</v>
      </c>
      <c r="I41" s="49" t="s">
        <v>110</v>
      </c>
      <c r="J41" s="232">
        <f>H41*$I$16</f>
        <v>37.050000000000004</v>
      </c>
      <c r="K41" s="50">
        <v>42456.850694444445</v>
      </c>
      <c r="L41" s="50">
        <v>42456.863194444442</v>
      </c>
      <c r="M41" s="20">
        <f>IF(F41="","",(L41-K41)*24)</f>
        <v>0.29999999993015081</v>
      </c>
      <c r="N41" s="21">
        <f>IF(F41="","",ROUND((L41-K41)*24*60,0))</f>
        <v>18</v>
      </c>
      <c r="O41" s="51" t="s">
        <v>150</v>
      </c>
      <c r="P41" s="51" t="str">
        <f t="shared" si="3"/>
        <v>NO</v>
      </c>
      <c r="Q41" s="289">
        <v>50</v>
      </c>
      <c r="R41" s="51" t="s">
        <v>140</v>
      </c>
      <c r="S41" s="293">
        <f>$I$17*IF(OR(O41="P",O41="RP"),0.1,1)*IF(R41="SI",1,0.1)</f>
        <v>60</v>
      </c>
      <c r="T41" s="298" t="str">
        <f>IF(O41="P",J41*S41*ROUND(N41/60,2),"--")</f>
        <v>--</v>
      </c>
      <c r="U41" s="304" t="str">
        <f>IF(O41="RP",J41*S41*ROUND(N41/60,2)*Q41/100,"--")</f>
        <v>--</v>
      </c>
      <c r="V41" s="317" t="str">
        <f>IF(AND(O41="F",P41="NO"),J41*S41,"--")</f>
        <v>--</v>
      </c>
      <c r="W41" s="318" t="str">
        <f>IF(O41="F",J41*S41*ROUND(N41/60,2),"--")</f>
        <v>--</v>
      </c>
      <c r="X41" s="325">
        <f>IF(AND(O41="R",P41="NO"),J41*S41*Q41/100,"--")</f>
        <v>1111.5000000000002</v>
      </c>
      <c r="Y41" s="326">
        <f>IF(O41="R",J41*S41*ROUND(N41/60,2)*Q41/100,"--")</f>
        <v>333.45000000000005</v>
      </c>
      <c r="Z41" s="338" t="str">
        <f>IF(O41="RF",J41*S41*ROUND(N41/60,2),"--")</f>
        <v>--</v>
      </c>
      <c r="AA41" s="334" t="str">
        <f>IF(O41="RR",J41*S41*ROUND(N41/60,2)*Q41/100,"--")</f>
        <v>--</v>
      </c>
      <c r="AB41" s="51" t="str">
        <f>IF(F41="","","SI")</f>
        <v>SI</v>
      </c>
      <c r="AC41" s="25">
        <f t="shared" si="13"/>
        <v>1444.9500000000003</v>
      </c>
      <c r="AD41" s="145"/>
    </row>
    <row r="42" spans="1:30" s="7" customFormat="1" ht="17.100000000000001" customHeight="1" thickBot="1" x14ac:dyDescent="0.3">
      <c r="A42" s="138"/>
      <c r="B42" s="144"/>
      <c r="C42" s="365"/>
      <c r="D42" s="365"/>
      <c r="E42" s="365"/>
      <c r="F42" s="365"/>
      <c r="G42" s="365"/>
      <c r="H42" s="365"/>
      <c r="I42" s="365"/>
      <c r="J42" s="288"/>
      <c r="K42" s="365"/>
      <c r="L42" s="365"/>
      <c r="M42" s="22"/>
      <c r="N42" s="22"/>
      <c r="O42" s="365"/>
      <c r="P42" s="22"/>
      <c r="Q42" s="365"/>
      <c r="R42" s="365"/>
      <c r="S42" s="294"/>
      <c r="T42" s="299"/>
      <c r="U42" s="305"/>
      <c r="V42" s="344"/>
      <c r="W42" s="343"/>
      <c r="X42" s="327"/>
      <c r="Y42" s="328"/>
      <c r="Z42" s="339"/>
      <c r="AA42" s="335"/>
      <c r="AB42" s="22"/>
      <c r="AC42" s="182"/>
      <c r="AD42" s="145"/>
    </row>
    <row r="43" spans="1:30" s="7" customFormat="1" ht="17.100000000000001" customHeight="1" thickTop="1" thickBot="1" x14ac:dyDescent="0.3">
      <c r="A43" s="138"/>
      <c r="B43" s="144"/>
      <c r="C43" s="196" t="s">
        <v>38</v>
      </c>
      <c r="D43" s="387" t="s">
        <v>230</v>
      </c>
      <c r="E43" s="198"/>
      <c r="F43" s="19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00">
        <f>SUM(T20:T42)</f>
        <v>206.73900000000006</v>
      </c>
      <c r="U43" s="306">
        <f t="shared" ref="U43:AA43" si="14">SUM(U20:U42)</f>
        <v>8383.1997600000032</v>
      </c>
      <c r="V43" s="319">
        <f t="shared" si="14"/>
        <v>3334.5000000000009</v>
      </c>
      <c r="W43" s="319">
        <f t="shared" si="14"/>
        <v>4245.9300000000012</v>
      </c>
      <c r="X43" s="329">
        <f t="shared" si="14"/>
        <v>14671.8</v>
      </c>
      <c r="Y43" s="329">
        <f t="shared" si="14"/>
        <v>7124.7150000000011</v>
      </c>
      <c r="Z43" s="341">
        <f t="shared" si="14"/>
        <v>33738.471000000005</v>
      </c>
      <c r="AA43" s="342">
        <f t="shared" si="14"/>
        <v>0</v>
      </c>
      <c r="AB43" s="24"/>
      <c r="AC43" s="228">
        <f>ROUND(SUM(AC20:AC42),2)</f>
        <v>71705.350000000006</v>
      </c>
      <c r="AD43" s="145"/>
    </row>
    <row r="44" spans="1:30" s="211" customFormat="1" ht="9.75" thickTop="1" x14ac:dyDescent="0.15">
      <c r="A44" s="214"/>
      <c r="B44" s="215"/>
      <c r="C44" s="198"/>
      <c r="D44" s="198"/>
      <c r="E44" s="198"/>
      <c r="F44" s="199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7"/>
      <c r="U44" s="217"/>
      <c r="V44" s="217"/>
      <c r="W44" s="217"/>
      <c r="X44" s="217"/>
      <c r="Y44" s="217"/>
      <c r="Z44" s="217"/>
      <c r="AA44" s="217"/>
      <c r="AB44" s="216"/>
      <c r="AC44" s="218"/>
      <c r="AD44" s="219"/>
    </row>
    <row r="45" spans="1:30" s="7" customFormat="1" ht="17.100000000000001" customHeight="1" thickBot="1" x14ac:dyDescent="0.25">
      <c r="A45" s="138"/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5"/>
    </row>
    <row r="46" spans="1:30" ht="17.100000000000001" customHeight="1" thickTop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"/>
    </row>
  </sheetData>
  <printOptions horizontalCentered="1"/>
  <pageMargins left="0.19685039370078741" right="0" top="0.39370078740157483" bottom="0.78740157480314965" header="0.51181102362204722" footer="0.51181102362204722"/>
  <pageSetup paperSize="9" scale="64" orientation="landscape" horizontalDpi="1200" verticalDpi="1200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Button 1">
              <controlPr defaultSize="0" print="0" autoFill="0" autoPict="0" macro="[0]!Actualizar_Referencias">
                <anchor moveWithCells="1" sizeWithCells="1">
                  <from>
                    <xdr:col>0</xdr:col>
                    <xdr:colOff>38100</xdr:colOff>
                    <xdr:row>42</xdr:row>
                    <xdr:rowOff>9525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>
    <pageSetUpPr fitToPage="1"/>
  </sheetPr>
  <dimension ref="A1:W52"/>
  <sheetViews>
    <sheetView topLeftCell="A13" zoomScale="85" zoomScaleNormal="85" workbookViewId="0">
      <selection activeCell="A39" sqref="A39"/>
    </sheetView>
  </sheetViews>
  <sheetFormatPr baseColWidth="10" defaultRowHeight="12.75" x14ac:dyDescent="0.2"/>
  <cols>
    <col min="1" max="3" width="4.140625" customWidth="1"/>
    <col min="4" max="5" width="13.7109375" customWidth="1"/>
    <col min="6" max="6" width="25.7109375" customWidth="1"/>
    <col min="7" max="7" width="35.7109375" customWidth="1"/>
    <col min="8" max="8" width="8.7109375" customWidth="1"/>
    <col min="9" max="9" width="14.7109375" hidden="1" customWidth="1"/>
    <col min="10" max="11" width="15.7109375" customWidth="1"/>
    <col min="12" max="14" width="9.7109375" customWidth="1"/>
    <col min="15" max="15" width="7.7109375" customWidth="1"/>
    <col min="16" max="16" width="13.140625" hidden="1" customWidth="1"/>
    <col min="17" max="17" width="14.42578125" hidden="1" customWidth="1"/>
    <col min="18" max="20" width="15.85546875" hidden="1" customWidth="1"/>
    <col min="21" max="21" width="10.7109375" customWidth="1"/>
    <col min="22" max="22" width="15.7109375" customWidth="1"/>
    <col min="23" max="23" width="4.140625" customWidth="1"/>
    <col min="257" max="259" width="4.140625" customWidth="1"/>
    <col min="260" max="261" width="13.7109375" customWidth="1"/>
    <col min="262" max="262" width="25.7109375" customWidth="1"/>
    <col min="263" max="263" width="35.7109375" customWidth="1"/>
    <col min="264" max="264" width="8.7109375" customWidth="1"/>
    <col min="265" max="265" width="0" hidden="1" customWidth="1"/>
    <col min="266" max="267" width="15.7109375" customWidth="1"/>
    <col min="268" max="270" width="9.7109375" customWidth="1"/>
    <col min="271" max="271" width="7.7109375" customWidth="1"/>
    <col min="272" max="276" width="0" hidden="1" customWidth="1"/>
    <col min="277" max="277" width="10.7109375" customWidth="1"/>
    <col min="278" max="278" width="15.7109375" customWidth="1"/>
    <col min="279" max="279" width="4.140625" customWidth="1"/>
    <col min="513" max="515" width="4.140625" customWidth="1"/>
    <col min="516" max="517" width="13.7109375" customWidth="1"/>
    <col min="518" max="518" width="25.7109375" customWidth="1"/>
    <col min="519" max="519" width="35.7109375" customWidth="1"/>
    <col min="520" max="520" width="8.7109375" customWidth="1"/>
    <col min="521" max="521" width="0" hidden="1" customWidth="1"/>
    <col min="522" max="523" width="15.7109375" customWidth="1"/>
    <col min="524" max="526" width="9.7109375" customWidth="1"/>
    <col min="527" max="527" width="7.7109375" customWidth="1"/>
    <col min="528" max="532" width="0" hidden="1" customWidth="1"/>
    <col min="533" max="533" width="10.7109375" customWidth="1"/>
    <col min="534" max="534" width="15.7109375" customWidth="1"/>
    <col min="535" max="535" width="4.140625" customWidth="1"/>
    <col min="769" max="771" width="4.140625" customWidth="1"/>
    <col min="772" max="773" width="13.7109375" customWidth="1"/>
    <col min="774" max="774" width="25.7109375" customWidth="1"/>
    <col min="775" max="775" width="35.7109375" customWidth="1"/>
    <col min="776" max="776" width="8.7109375" customWidth="1"/>
    <col min="777" max="777" width="0" hidden="1" customWidth="1"/>
    <col min="778" max="779" width="15.7109375" customWidth="1"/>
    <col min="780" max="782" width="9.7109375" customWidth="1"/>
    <col min="783" max="783" width="7.7109375" customWidth="1"/>
    <col min="784" max="788" width="0" hidden="1" customWidth="1"/>
    <col min="789" max="789" width="10.7109375" customWidth="1"/>
    <col min="790" max="790" width="15.7109375" customWidth="1"/>
    <col min="791" max="791" width="4.140625" customWidth="1"/>
    <col min="1025" max="1027" width="4.140625" customWidth="1"/>
    <col min="1028" max="1029" width="13.7109375" customWidth="1"/>
    <col min="1030" max="1030" width="25.7109375" customWidth="1"/>
    <col min="1031" max="1031" width="35.7109375" customWidth="1"/>
    <col min="1032" max="1032" width="8.7109375" customWidth="1"/>
    <col min="1033" max="1033" width="0" hidden="1" customWidth="1"/>
    <col min="1034" max="1035" width="15.7109375" customWidth="1"/>
    <col min="1036" max="1038" width="9.7109375" customWidth="1"/>
    <col min="1039" max="1039" width="7.7109375" customWidth="1"/>
    <col min="1040" max="1044" width="0" hidden="1" customWidth="1"/>
    <col min="1045" max="1045" width="10.7109375" customWidth="1"/>
    <col min="1046" max="1046" width="15.7109375" customWidth="1"/>
    <col min="1047" max="1047" width="4.140625" customWidth="1"/>
    <col min="1281" max="1283" width="4.140625" customWidth="1"/>
    <col min="1284" max="1285" width="13.7109375" customWidth="1"/>
    <col min="1286" max="1286" width="25.7109375" customWidth="1"/>
    <col min="1287" max="1287" width="35.7109375" customWidth="1"/>
    <col min="1288" max="1288" width="8.7109375" customWidth="1"/>
    <col min="1289" max="1289" width="0" hidden="1" customWidth="1"/>
    <col min="1290" max="1291" width="15.7109375" customWidth="1"/>
    <col min="1292" max="1294" width="9.7109375" customWidth="1"/>
    <col min="1295" max="1295" width="7.7109375" customWidth="1"/>
    <col min="1296" max="1300" width="0" hidden="1" customWidth="1"/>
    <col min="1301" max="1301" width="10.7109375" customWidth="1"/>
    <col min="1302" max="1302" width="15.7109375" customWidth="1"/>
    <col min="1303" max="1303" width="4.140625" customWidth="1"/>
    <col min="1537" max="1539" width="4.140625" customWidth="1"/>
    <col min="1540" max="1541" width="13.7109375" customWidth="1"/>
    <col min="1542" max="1542" width="25.7109375" customWidth="1"/>
    <col min="1543" max="1543" width="35.7109375" customWidth="1"/>
    <col min="1544" max="1544" width="8.7109375" customWidth="1"/>
    <col min="1545" max="1545" width="0" hidden="1" customWidth="1"/>
    <col min="1546" max="1547" width="15.7109375" customWidth="1"/>
    <col min="1548" max="1550" width="9.7109375" customWidth="1"/>
    <col min="1551" max="1551" width="7.7109375" customWidth="1"/>
    <col min="1552" max="1556" width="0" hidden="1" customWidth="1"/>
    <col min="1557" max="1557" width="10.7109375" customWidth="1"/>
    <col min="1558" max="1558" width="15.7109375" customWidth="1"/>
    <col min="1559" max="1559" width="4.140625" customWidth="1"/>
    <col min="1793" max="1795" width="4.140625" customWidth="1"/>
    <col min="1796" max="1797" width="13.7109375" customWidth="1"/>
    <col min="1798" max="1798" width="25.7109375" customWidth="1"/>
    <col min="1799" max="1799" width="35.7109375" customWidth="1"/>
    <col min="1800" max="1800" width="8.7109375" customWidth="1"/>
    <col min="1801" max="1801" width="0" hidden="1" customWidth="1"/>
    <col min="1802" max="1803" width="15.7109375" customWidth="1"/>
    <col min="1804" max="1806" width="9.7109375" customWidth="1"/>
    <col min="1807" max="1807" width="7.7109375" customWidth="1"/>
    <col min="1808" max="1812" width="0" hidden="1" customWidth="1"/>
    <col min="1813" max="1813" width="10.7109375" customWidth="1"/>
    <col min="1814" max="1814" width="15.7109375" customWidth="1"/>
    <col min="1815" max="1815" width="4.140625" customWidth="1"/>
    <col min="2049" max="2051" width="4.140625" customWidth="1"/>
    <col min="2052" max="2053" width="13.7109375" customWidth="1"/>
    <col min="2054" max="2054" width="25.7109375" customWidth="1"/>
    <col min="2055" max="2055" width="35.7109375" customWidth="1"/>
    <col min="2056" max="2056" width="8.7109375" customWidth="1"/>
    <col min="2057" max="2057" width="0" hidden="1" customWidth="1"/>
    <col min="2058" max="2059" width="15.7109375" customWidth="1"/>
    <col min="2060" max="2062" width="9.7109375" customWidth="1"/>
    <col min="2063" max="2063" width="7.7109375" customWidth="1"/>
    <col min="2064" max="2068" width="0" hidden="1" customWidth="1"/>
    <col min="2069" max="2069" width="10.7109375" customWidth="1"/>
    <col min="2070" max="2070" width="15.7109375" customWidth="1"/>
    <col min="2071" max="2071" width="4.140625" customWidth="1"/>
    <col min="2305" max="2307" width="4.140625" customWidth="1"/>
    <col min="2308" max="2309" width="13.7109375" customWidth="1"/>
    <col min="2310" max="2310" width="25.7109375" customWidth="1"/>
    <col min="2311" max="2311" width="35.7109375" customWidth="1"/>
    <col min="2312" max="2312" width="8.7109375" customWidth="1"/>
    <col min="2313" max="2313" width="0" hidden="1" customWidth="1"/>
    <col min="2314" max="2315" width="15.7109375" customWidth="1"/>
    <col min="2316" max="2318" width="9.7109375" customWidth="1"/>
    <col min="2319" max="2319" width="7.7109375" customWidth="1"/>
    <col min="2320" max="2324" width="0" hidden="1" customWidth="1"/>
    <col min="2325" max="2325" width="10.7109375" customWidth="1"/>
    <col min="2326" max="2326" width="15.7109375" customWidth="1"/>
    <col min="2327" max="2327" width="4.140625" customWidth="1"/>
    <col min="2561" max="2563" width="4.140625" customWidth="1"/>
    <col min="2564" max="2565" width="13.7109375" customWidth="1"/>
    <col min="2566" max="2566" width="25.7109375" customWidth="1"/>
    <col min="2567" max="2567" width="35.7109375" customWidth="1"/>
    <col min="2568" max="2568" width="8.7109375" customWidth="1"/>
    <col min="2569" max="2569" width="0" hidden="1" customWidth="1"/>
    <col min="2570" max="2571" width="15.7109375" customWidth="1"/>
    <col min="2572" max="2574" width="9.7109375" customWidth="1"/>
    <col min="2575" max="2575" width="7.7109375" customWidth="1"/>
    <col min="2576" max="2580" width="0" hidden="1" customWidth="1"/>
    <col min="2581" max="2581" width="10.7109375" customWidth="1"/>
    <col min="2582" max="2582" width="15.7109375" customWidth="1"/>
    <col min="2583" max="2583" width="4.140625" customWidth="1"/>
    <col min="2817" max="2819" width="4.140625" customWidth="1"/>
    <col min="2820" max="2821" width="13.7109375" customWidth="1"/>
    <col min="2822" max="2822" width="25.7109375" customWidth="1"/>
    <col min="2823" max="2823" width="35.7109375" customWidth="1"/>
    <col min="2824" max="2824" width="8.7109375" customWidth="1"/>
    <col min="2825" max="2825" width="0" hidden="1" customWidth="1"/>
    <col min="2826" max="2827" width="15.7109375" customWidth="1"/>
    <col min="2828" max="2830" width="9.7109375" customWidth="1"/>
    <col min="2831" max="2831" width="7.7109375" customWidth="1"/>
    <col min="2832" max="2836" width="0" hidden="1" customWidth="1"/>
    <col min="2837" max="2837" width="10.7109375" customWidth="1"/>
    <col min="2838" max="2838" width="15.7109375" customWidth="1"/>
    <col min="2839" max="2839" width="4.140625" customWidth="1"/>
    <col min="3073" max="3075" width="4.140625" customWidth="1"/>
    <col min="3076" max="3077" width="13.7109375" customWidth="1"/>
    <col min="3078" max="3078" width="25.7109375" customWidth="1"/>
    <col min="3079" max="3079" width="35.7109375" customWidth="1"/>
    <col min="3080" max="3080" width="8.7109375" customWidth="1"/>
    <col min="3081" max="3081" width="0" hidden="1" customWidth="1"/>
    <col min="3082" max="3083" width="15.7109375" customWidth="1"/>
    <col min="3084" max="3086" width="9.7109375" customWidth="1"/>
    <col min="3087" max="3087" width="7.7109375" customWidth="1"/>
    <col min="3088" max="3092" width="0" hidden="1" customWidth="1"/>
    <col min="3093" max="3093" width="10.7109375" customWidth="1"/>
    <col min="3094" max="3094" width="15.7109375" customWidth="1"/>
    <col min="3095" max="3095" width="4.140625" customWidth="1"/>
    <col min="3329" max="3331" width="4.140625" customWidth="1"/>
    <col min="3332" max="3333" width="13.7109375" customWidth="1"/>
    <col min="3334" max="3334" width="25.7109375" customWidth="1"/>
    <col min="3335" max="3335" width="35.7109375" customWidth="1"/>
    <col min="3336" max="3336" width="8.7109375" customWidth="1"/>
    <col min="3337" max="3337" width="0" hidden="1" customWidth="1"/>
    <col min="3338" max="3339" width="15.7109375" customWidth="1"/>
    <col min="3340" max="3342" width="9.7109375" customWidth="1"/>
    <col min="3343" max="3343" width="7.7109375" customWidth="1"/>
    <col min="3344" max="3348" width="0" hidden="1" customWidth="1"/>
    <col min="3349" max="3349" width="10.7109375" customWidth="1"/>
    <col min="3350" max="3350" width="15.7109375" customWidth="1"/>
    <col min="3351" max="3351" width="4.140625" customWidth="1"/>
    <col min="3585" max="3587" width="4.140625" customWidth="1"/>
    <col min="3588" max="3589" width="13.7109375" customWidth="1"/>
    <col min="3590" max="3590" width="25.7109375" customWidth="1"/>
    <col min="3591" max="3591" width="35.7109375" customWidth="1"/>
    <col min="3592" max="3592" width="8.7109375" customWidth="1"/>
    <col min="3593" max="3593" width="0" hidden="1" customWidth="1"/>
    <col min="3594" max="3595" width="15.7109375" customWidth="1"/>
    <col min="3596" max="3598" width="9.7109375" customWidth="1"/>
    <col min="3599" max="3599" width="7.7109375" customWidth="1"/>
    <col min="3600" max="3604" width="0" hidden="1" customWidth="1"/>
    <col min="3605" max="3605" width="10.7109375" customWidth="1"/>
    <col min="3606" max="3606" width="15.7109375" customWidth="1"/>
    <col min="3607" max="3607" width="4.140625" customWidth="1"/>
    <col min="3841" max="3843" width="4.140625" customWidth="1"/>
    <col min="3844" max="3845" width="13.7109375" customWidth="1"/>
    <col min="3846" max="3846" width="25.7109375" customWidth="1"/>
    <col min="3847" max="3847" width="35.7109375" customWidth="1"/>
    <col min="3848" max="3848" width="8.7109375" customWidth="1"/>
    <col min="3849" max="3849" width="0" hidden="1" customWidth="1"/>
    <col min="3850" max="3851" width="15.7109375" customWidth="1"/>
    <col min="3852" max="3854" width="9.7109375" customWidth="1"/>
    <col min="3855" max="3855" width="7.7109375" customWidth="1"/>
    <col min="3856" max="3860" width="0" hidden="1" customWidth="1"/>
    <col min="3861" max="3861" width="10.7109375" customWidth="1"/>
    <col min="3862" max="3862" width="15.7109375" customWidth="1"/>
    <col min="3863" max="3863" width="4.140625" customWidth="1"/>
    <col min="4097" max="4099" width="4.140625" customWidth="1"/>
    <col min="4100" max="4101" width="13.7109375" customWidth="1"/>
    <col min="4102" max="4102" width="25.7109375" customWidth="1"/>
    <col min="4103" max="4103" width="35.7109375" customWidth="1"/>
    <col min="4104" max="4104" width="8.7109375" customWidth="1"/>
    <col min="4105" max="4105" width="0" hidden="1" customWidth="1"/>
    <col min="4106" max="4107" width="15.7109375" customWidth="1"/>
    <col min="4108" max="4110" width="9.7109375" customWidth="1"/>
    <col min="4111" max="4111" width="7.7109375" customWidth="1"/>
    <col min="4112" max="4116" width="0" hidden="1" customWidth="1"/>
    <col min="4117" max="4117" width="10.7109375" customWidth="1"/>
    <col min="4118" max="4118" width="15.7109375" customWidth="1"/>
    <col min="4119" max="4119" width="4.140625" customWidth="1"/>
    <col min="4353" max="4355" width="4.140625" customWidth="1"/>
    <col min="4356" max="4357" width="13.7109375" customWidth="1"/>
    <col min="4358" max="4358" width="25.7109375" customWidth="1"/>
    <col min="4359" max="4359" width="35.7109375" customWidth="1"/>
    <col min="4360" max="4360" width="8.7109375" customWidth="1"/>
    <col min="4361" max="4361" width="0" hidden="1" customWidth="1"/>
    <col min="4362" max="4363" width="15.7109375" customWidth="1"/>
    <col min="4364" max="4366" width="9.7109375" customWidth="1"/>
    <col min="4367" max="4367" width="7.7109375" customWidth="1"/>
    <col min="4368" max="4372" width="0" hidden="1" customWidth="1"/>
    <col min="4373" max="4373" width="10.7109375" customWidth="1"/>
    <col min="4374" max="4374" width="15.7109375" customWidth="1"/>
    <col min="4375" max="4375" width="4.140625" customWidth="1"/>
    <col min="4609" max="4611" width="4.140625" customWidth="1"/>
    <col min="4612" max="4613" width="13.7109375" customWidth="1"/>
    <col min="4614" max="4614" width="25.7109375" customWidth="1"/>
    <col min="4615" max="4615" width="35.7109375" customWidth="1"/>
    <col min="4616" max="4616" width="8.7109375" customWidth="1"/>
    <col min="4617" max="4617" width="0" hidden="1" customWidth="1"/>
    <col min="4618" max="4619" width="15.7109375" customWidth="1"/>
    <col min="4620" max="4622" width="9.7109375" customWidth="1"/>
    <col min="4623" max="4623" width="7.7109375" customWidth="1"/>
    <col min="4624" max="4628" width="0" hidden="1" customWidth="1"/>
    <col min="4629" max="4629" width="10.7109375" customWidth="1"/>
    <col min="4630" max="4630" width="15.7109375" customWidth="1"/>
    <col min="4631" max="4631" width="4.140625" customWidth="1"/>
    <col min="4865" max="4867" width="4.140625" customWidth="1"/>
    <col min="4868" max="4869" width="13.7109375" customWidth="1"/>
    <col min="4870" max="4870" width="25.7109375" customWidth="1"/>
    <col min="4871" max="4871" width="35.7109375" customWidth="1"/>
    <col min="4872" max="4872" width="8.7109375" customWidth="1"/>
    <col min="4873" max="4873" width="0" hidden="1" customWidth="1"/>
    <col min="4874" max="4875" width="15.7109375" customWidth="1"/>
    <col min="4876" max="4878" width="9.7109375" customWidth="1"/>
    <col min="4879" max="4879" width="7.7109375" customWidth="1"/>
    <col min="4880" max="4884" width="0" hidden="1" customWidth="1"/>
    <col min="4885" max="4885" width="10.7109375" customWidth="1"/>
    <col min="4886" max="4886" width="15.7109375" customWidth="1"/>
    <col min="4887" max="4887" width="4.140625" customWidth="1"/>
    <col min="5121" max="5123" width="4.140625" customWidth="1"/>
    <col min="5124" max="5125" width="13.7109375" customWidth="1"/>
    <col min="5126" max="5126" width="25.7109375" customWidth="1"/>
    <col min="5127" max="5127" width="35.7109375" customWidth="1"/>
    <col min="5128" max="5128" width="8.7109375" customWidth="1"/>
    <col min="5129" max="5129" width="0" hidden="1" customWidth="1"/>
    <col min="5130" max="5131" width="15.7109375" customWidth="1"/>
    <col min="5132" max="5134" width="9.7109375" customWidth="1"/>
    <col min="5135" max="5135" width="7.7109375" customWidth="1"/>
    <col min="5136" max="5140" width="0" hidden="1" customWidth="1"/>
    <col min="5141" max="5141" width="10.7109375" customWidth="1"/>
    <col min="5142" max="5142" width="15.7109375" customWidth="1"/>
    <col min="5143" max="5143" width="4.140625" customWidth="1"/>
    <col min="5377" max="5379" width="4.140625" customWidth="1"/>
    <col min="5380" max="5381" width="13.7109375" customWidth="1"/>
    <col min="5382" max="5382" width="25.7109375" customWidth="1"/>
    <col min="5383" max="5383" width="35.7109375" customWidth="1"/>
    <col min="5384" max="5384" width="8.7109375" customWidth="1"/>
    <col min="5385" max="5385" width="0" hidden="1" customWidth="1"/>
    <col min="5386" max="5387" width="15.7109375" customWidth="1"/>
    <col min="5388" max="5390" width="9.7109375" customWidth="1"/>
    <col min="5391" max="5391" width="7.7109375" customWidth="1"/>
    <col min="5392" max="5396" width="0" hidden="1" customWidth="1"/>
    <col min="5397" max="5397" width="10.7109375" customWidth="1"/>
    <col min="5398" max="5398" width="15.7109375" customWidth="1"/>
    <col min="5399" max="5399" width="4.140625" customWidth="1"/>
    <col min="5633" max="5635" width="4.140625" customWidth="1"/>
    <col min="5636" max="5637" width="13.7109375" customWidth="1"/>
    <col min="5638" max="5638" width="25.7109375" customWidth="1"/>
    <col min="5639" max="5639" width="35.7109375" customWidth="1"/>
    <col min="5640" max="5640" width="8.7109375" customWidth="1"/>
    <col min="5641" max="5641" width="0" hidden="1" customWidth="1"/>
    <col min="5642" max="5643" width="15.7109375" customWidth="1"/>
    <col min="5644" max="5646" width="9.7109375" customWidth="1"/>
    <col min="5647" max="5647" width="7.7109375" customWidth="1"/>
    <col min="5648" max="5652" width="0" hidden="1" customWidth="1"/>
    <col min="5653" max="5653" width="10.7109375" customWidth="1"/>
    <col min="5654" max="5654" width="15.7109375" customWidth="1"/>
    <col min="5655" max="5655" width="4.140625" customWidth="1"/>
    <col min="5889" max="5891" width="4.140625" customWidth="1"/>
    <col min="5892" max="5893" width="13.7109375" customWidth="1"/>
    <col min="5894" max="5894" width="25.7109375" customWidth="1"/>
    <col min="5895" max="5895" width="35.7109375" customWidth="1"/>
    <col min="5896" max="5896" width="8.7109375" customWidth="1"/>
    <col min="5897" max="5897" width="0" hidden="1" customWidth="1"/>
    <col min="5898" max="5899" width="15.7109375" customWidth="1"/>
    <col min="5900" max="5902" width="9.7109375" customWidth="1"/>
    <col min="5903" max="5903" width="7.7109375" customWidth="1"/>
    <col min="5904" max="5908" width="0" hidden="1" customWidth="1"/>
    <col min="5909" max="5909" width="10.7109375" customWidth="1"/>
    <col min="5910" max="5910" width="15.7109375" customWidth="1"/>
    <col min="5911" max="5911" width="4.140625" customWidth="1"/>
    <col min="6145" max="6147" width="4.140625" customWidth="1"/>
    <col min="6148" max="6149" width="13.7109375" customWidth="1"/>
    <col min="6150" max="6150" width="25.7109375" customWidth="1"/>
    <col min="6151" max="6151" width="35.7109375" customWidth="1"/>
    <col min="6152" max="6152" width="8.7109375" customWidth="1"/>
    <col min="6153" max="6153" width="0" hidden="1" customWidth="1"/>
    <col min="6154" max="6155" width="15.7109375" customWidth="1"/>
    <col min="6156" max="6158" width="9.7109375" customWidth="1"/>
    <col min="6159" max="6159" width="7.7109375" customWidth="1"/>
    <col min="6160" max="6164" width="0" hidden="1" customWidth="1"/>
    <col min="6165" max="6165" width="10.7109375" customWidth="1"/>
    <col min="6166" max="6166" width="15.7109375" customWidth="1"/>
    <col min="6167" max="6167" width="4.140625" customWidth="1"/>
    <col min="6401" max="6403" width="4.140625" customWidth="1"/>
    <col min="6404" max="6405" width="13.7109375" customWidth="1"/>
    <col min="6406" max="6406" width="25.7109375" customWidth="1"/>
    <col min="6407" max="6407" width="35.7109375" customWidth="1"/>
    <col min="6408" max="6408" width="8.7109375" customWidth="1"/>
    <col min="6409" max="6409" width="0" hidden="1" customWidth="1"/>
    <col min="6410" max="6411" width="15.7109375" customWidth="1"/>
    <col min="6412" max="6414" width="9.7109375" customWidth="1"/>
    <col min="6415" max="6415" width="7.7109375" customWidth="1"/>
    <col min="6416" max="6420" width="0" hidden="1" customWidth="1"/>
    <col min="6421" max="6421" width="10.7109375" customWidth="1"/>
    <col min="6422" max="6422" width="15.7109375" customWidth="1"/>
    <col min="6423" max="6423" width="4.140625" customWidth="1"/>
    <col min="6657" max="6659" width="4.140625" customWidth="1"/>
    <col min="6660" max="6661" width="13.7109375" customWidth="1"/>
    <col min="6662" max="6662" width="25.7109375" customWidth="1"/>
    <col min="6663" max="6663" width="35.7109375" customWidth="1"/>
    <col min="6664" max="6664" width="8.7109375" customWidth="1"/>
    <col min="6665" max="6665" width="0" hidden="1" customWidth="1"/>
    <col min="6666" max="6667" width="15.7109375" customWidth="1"/>
    <col min="6668" max="6670" width="9.7109375" customWidth="1"/>
    <col min="6671" max="6671" width="7.7109375" customWidth="1"/>
    <col min="6672" max="6676" width="0" hidden="1" customWidth="1"/>
    <col min="6677" max="6677" width="10.7109375" customWidth="1"/>
    <col min="6678" max="6678" width="15.7109375" customWidth="1"/>
    <col min="6679" max="6679" width="4.140625" customWidth="1"/>
    <col min="6913" max="6915" width="4.140625" customWidth="1"/>
    <col min="6916" max="6917" width="13.7109375" customWidth="1"/>
    <col min="6918" max="6918" width="25.7109375" customWidth="1"/>
    <col min="6919" max="6919" width="35.7109375" customWidth="1"/>
    <col min="6920" max="6920" width="8.7109375" customWidth="1"/>
    <col min="6921" max="6921" width="0" hidden="1" customWidth="1"/>
    <col min="6922" max="6923" width="15.7109375" customWidth="1"/>
    <col min="6924" max="6926" width="9.7109375" customWidth="1"/>
    <col min="6927" max="6927" width="7.7109375" customWidth="1"/>
    <col min="6928" max="6932" width="0" hidden="1" customWidth="1"/>
    <col min="6933" max="6933" width="10.7109375" customWidth="1"/>
    <col min="6934" max="6934" width="15.7109375" customWidth="1"/>
    <col min="6935" max="6935" width="4.140625" customWidth="1"/>
    <col min="7169" max="7171" width="4.140625" customWidth="1"/>
    <col min="7172" max="7173" width="13.7109375" customWidth="1"/>
    <col min="7174" max="7174" width="25.7109375" customWidth="1"/>
    <col min="7175" max="7175" width="35.7109375" customWidth="1"/>
    <col min="7176" max="7176" width="8.7109375" customWidth="1"/>
    <col min="7177" max="7177" width="0" hidden="1" customWidth="1"/>
    <col min="7178" max="7179" width="15.7109375" customWidth="1"/>
    <col min="7180" max="7182" width="9.7109375" customWidth="1"/>
    <col min="7183" max="7183" width="7.7109375" customWidth="1"/>
    <col min="7184" max="7188" width="0" hidden="1" customWidth="1"/>
    <col min="7189" max="7189" width="10.7109375" customWidth="1"/>
    <col min="7190" max="7190" width="15.7109375" customWidth="1"/>
    <col min="7191" max="7191" width="4.140625" customWidth="1"/>
    <col min="7425" max="7427" width="4.140625" customWidth="1"/>
    <col min="7428" max="7429" width="13.7109375" customWidth="1"/>
    <col min="7430" max="7430" width="25.7109375" customWidth="1"/>
    <col min="7431" max="7431" width="35.7109375" customWidth="1"/>
    <col min="7432" max="7432" width="8.7109375" customWidth="1"/>
    <col min="7433" max="7433" width="0" hidden="1" customWidth="1"/>
    <col min="7434" max="7435" width="15.7109375" customWidth="1"/>
    <col min="7436" max="7438" width="9.7109375" customWidth="1"/>
    <col min="7439" max="7439" width="7.7109375" customWidth="1"/>
    <col min="7440" max="7444" width="0" hidden="1" customWidth="1"/>
    <col min="7445" max="7445" width="10.7109375" customWidth="1"/>
    <col min="7446" max="7446" width="15.7109375" customWidth="1"/>
    <col min="7447" max="7447" width="4.140625" customWidth="1"/>
    <col min="7681" max="7683" width="4.140625" customWidth="1"/>
    <col min="7684" max="7685" width="13.7109375" customWidth="1"/>
    <col min="7686" max="7686" width="25.7109375" customWidth="1"/>
    <col min="7687" max="7687" width="35.7109375" customWidth="1"/>
    <col min="7688" max="7688" width="8.7109375" customWidth="1"/>
    <col min="7689" max="7689" width="0" hidden="1" customWidth="1"/>
    <col min="7690" max="7691" width="15.7109375" customWidth="1"/>
    <col min="7692" max="7694" width="9.7109375" customWidth="1"/>
    <col min="7695" max="7695" width="7.7109375" customWidth="1"/>
    <col min="7696" max="7700" width="0" hidden="1" customWidth="1"/>
    <col min="7701" max="7701" width="10.7109375" customWidth="1"/>
    <col min="7702" max="7702" width="15.7109375" customWidth="1"/>
    <col min="7703" max="7703" width="4.140625" customWidth="1"/>
    <col min="7937" max="7939" width="4.140625" customWidth="1"/>
    <col min="7940" max="7941" width="13.7109375" customWidth="1"/>
    <col min="7942" max="7942" width="25.7109375" customWidth="1"/>
    <col min="7943" max="7943" width="35.7109375" customWidth="1"/>
    <col min="7944" max="7944" width="8.7109375" customWidth="1"/>
    <col min="7945" max="7945" width="0" hidden="1" customWidth="1"/>
    <col min="7946" max="7947" width="15.7109375" customWidth="1"/>
    <col min="7948" max="7950" width="9.7109375" customWidth="1"/>
    <col min="7951" max="7951" width="7.7109375" customWidth="1"/>
    <col min="7952" max="7956" width="0" hidden="1" customWidth="1"/>
    <col min="7957" max="7957" width="10.7109375" customWidth="1"/>
    <col min="7958" max="7958" width="15.7109375" customWidth="1"/>
    <col min="7959" max="7959" width="4.140625" customWidth="1"/>
    <col min="8193" max="8195" width="4.140625" customWidth="1"/>
    <col min="8196" max="8197" width="13.7109375" customWidth="1"/>
    <col min="8198" max="8198" width="25.7109375" customWidth="1"/>
    <col min="8199" max="8199" width="35.7109375" customWidth="1"/>
    <col min="8200" max="8200" width="8.7109375" customWidth="1"/>
    <col min="8201" max="8201" width="0" hidden="1" customWidth="1"/>
    <col min="8202" max="8203" width="15.7109375" customWidth="1"/>
    <col min="8204" max="8206" width="9.7109375" customWidth="1"/>
    <col min="8207" max="8207" width="7.7109375" customWidth="1"/>
    <col min="8208" max="8212" width="0" hidden="1" customWidth="1"/>
    <col min="8213" max="8213" width="10.7109375" customWidth="1"/>
    <col min="8214" max="8214" width="15.7109375" customWidth="1"/>
    <col min="8215" max="8215" width="4.140625" customWidth="1"/>
    <col min="8449" max="8451" width="4.140625" customWidth="1"/>
    <col min="8452" max="8453" width="13.7109375" customWidth="1"/>
    <col min="8454" max="8454" width="25.7109375" customWidth="1"/>
    <col min="8455" max="8455" width="35.7109375" customWidth="1"/>
    <col min="8456" max="8456" width="8.7109375" customWidth="1"/>
    <col min="8457" max="8457" width="0" hidden="1" customWidth="1"/>
    <col min="8458" max="8459" width="15.7109375" customWidth="1"/>
    <col min="8460" max="8462" width="9.7109375" customWidth="1"/>
    <col min="8463" max="8463" width="7.7109375" customWidth="1"/>
    <col min="8464" max="8468" width="0" hidden="1" customWidth="1"/>
    <col min="8469" max="8469" width="10.7109375" customWidth="1"/>
    <col min="8470" max="8470" width="15.7109375" customWidth="1"/>
    <col min="8471" max="8471" width="4.140625" customWidth="1"/>
    <col min="8705" max="8707" width="4.140625" customWidth="1"/>
    <col min="8708" max="8709" width="13.7109375" customWidth="1"/>
    <col min="8710" max="8710" width="25.7109375" customWidth="1"/>
    <col min="8711" max="8711" width="35.7109375" customWidth="1"/>
    <col min="8712" max="8712" width="8.7109375" customWidth="1"/>
    <col min="8713" max="8713" width="0" hidden="1" customWidth="1"/>
    <col min="8714" max="8715" width="15.7109375" customWidth="1"/>
    <col min="8716" max="8718" width="9.7109375" customWidth="1"/>
    <col min="8719" max="8719" width="7.7109375" customWidth="1"/>
    <col min="8720" max="8724" width="0" hidden="1" customWidth="1"/>
    <col min="8725" max="8725" width="10.7109375" customWidth="1"/>
    <col min="8726" max="8726" width="15.7109375" customWidth="1"/>
    <col min="8727" max="8727" width="4.140625" customWidth="1"/>
    <col min="8961" max="8963" width="4.140625" customWidth="1"/>
    <col min="8964" max="8965" width="13.7109375" customWidth="1"/>
    <col min="8966" max="8966" width="25.7109375" customWidth="1"/>
    <col min="8967" max="8967" width="35.7109375" customWidth="1"/>
    <col min="8968" max="8968" width="8.7109375" customWidth="1"/>
    <col min="8969" max="8969" width="0" hidden="1" customWidth="1"/>
    <col min="8970" max="8971" width="15.7109375" customWidth="1"/>
    <col min="8972" max="8974" width="9.7109375" customWidth="1"/>
    <col min="8975" max="8975" width="7.7109375" customWidth="1"/>
    <col min="8976" max="8980" width="0" hidden="1" customWidth="1"/>
    <col min="8981" max="8981" width="10.7109375" customWidth="1"/>
    <col min="8982" max="8982" width="15.7109375" customWidth="1"/>
    <col min="8983" max="8983" width="4.140625" customWidth="1"/>
    <col min="9217" max="9219" width="4.140625" customWidth="1"/>
    <col min="9220" max="9221" width="13.7109375" customWidth="1"/>
    <col min="9222" max="9222" width="25.7109375" customWidth="1"/>
    <col min="9223" max="9223" width="35.7109375" customWidth="1"/>
    <col min="9224" max="9224" width="8.7109375" customWidth="1"/>
    <col min="9225" max="9225" width="0" hidden="1" customWidth="1"/>
    <col min="9226" max="9227" width="15.7109375" customWidth="1"/>
    <col min="9228" max="9230" width="9.7109375" customWidth="1"/>
    <col min="9231" max="9231" width="7.7109375" customWidth="1"/>
    <col min="9232" max="9236" width="0" hidden="1" customWidth="1"/>
    <col min="9237" max="9237" width="10.7109375" customWidth="1"/>
    <col min="9238" max="9238" width="15.7109375" customWidth="1"/>
    <col min="9239" max="9239" width="4.140625" customWidth="1"/>
    <col min="9473" max="9475" width="4.140625" customWidth="1"/>
    <col min="9476" max="9477" width="13.7109375" customWidth="1"/>
    <col min="9478" max="9478" width="25.7109375" customWidth="1"/>
    <col min="9479" max="9479" width="35.7109375" customWidth="1"/>
    <col min="9480" max="9480" width="8.7109375" customWidth="1"/>
    <col min="9481" max="9481" width="0" hidden="1" customWidth="1"/>
    <col min="9482" max="9483" width="15.7109375" customWidth="1"/>
    <col min="9484" max="9486" width="9.7109375" customWidth="1"/>
    <col min="9487" max="9487" width="7.7109375" customWidth="1"/>
    <col min="9488" max="9492" width="0" hidden="1" customWidth="1"/>
    <col min="9493" max="9493" width="10.7109375" customWidth="1"/>
    <col min="9494" max="9494" width="15.7109375" customWidth="1"/>
    <col min="9495" max="9495" width="4.140625" customWidth="1"/>
    <col min="9729" max="9731" width="4.140625" customWidth="1"/>
    <col min="9732" max="9733" width="13.7109375" customWidth="1"/>
    <col min="9734" max="9734" width="25.7109375" customWidth="1"/>
    <col min="9735" max="9735" width="35.7109375" customWidth="1"/>
    <col min="9736" max="9736" width="8.7109375" customWidth="1"/>
    <col min="9737" max="9737" width="0" hidden="1" customWidth="1"/>
    <col min="9738" max="9739" width="15.7109375" customWidth="1"/>
    <col min="9740" max="9742" width="9.7109375" customWidth="1"/>
    <col min="9743" max="9743" width="7.7109375" customWidth="1"/>
    <col min="9744" max="9748" width="0" hidden="1" customWidth="1"/>
    <col min="9749" max="9749" width="10.7109375" customWidth="1"/>
    <col min="9750" max="9750" width="15.7109375" customWidth="1"/>
    <col min="9751" max="9751" width="4.140625" customWidth="1"/>
    <col min="9985" max="9987" width="4.140625" customWidth="1"/>
    <col min="9988" max="9989" width="13.7109375" customWidth="1"/>
    <col min="9990" max="9990" width="25.7109375" customWidth="1"/>
    <col min="9991" max="9991" width="35.7109375" customWidth="1"/>
    <col min="9992" max="9992" width="8.7109375" customWidth="1"/>
    <col min="9993" max="9993" width="0" hidden="1" customWidth="1"/>
    <col min="9994" max="9995" width="15.7109375" customWidth="1"/>
    <col min="9996" max="9998" width="9.7109375" customWidth="1"/>
    <col min="9999" max="9999" width="7.7109375" customWidth="1"/>
    <col min="10000" max="10004" width="0" hidden="1" customWidth="1"/>
    <col min="10005" max="10005" width="10.7109375" customWidth="1"/>
    <col min="10006" max="10006" width="15.7109375" customWidth="1"/>
    <col min="10007" max="10007" width="4.140625" customWidth="1"/>
    <col min="10241" max="10243" width="4.140625" customWidth="1"/>
    <col min="10244" max="10245" width="13.7109375" customWidth="1"/>
    <col min="10246" max="10246" width="25.7109375" customWidth="1"/>
    <col min="10247" max="10247" width="35.7109375" customWidth="1"/>
    <col min="10248" max="10248" width="8.7109375" customWidth="1"/>
    <col min="10249" max="10249" width="0" hidden="1" customWidth="1"/>
    <col min="10250" max="10251" width="15.7109375" customWidth="1"/>
    <col min="10252" max="10254" width="9.7109375" customWidth="1"/>
    <col min="10255" max="10255" width="7.7109375" customWidth="1"/>
    <col min="10256" max="10260" width="0" hidden="1" customWidth="1"/>
    <col min="10261" max="10261" width="10.7109375" customWidth="1"/>
    <col min="10262" max="10262" width="15.7109375" customWidth="1"/>
    <col min="10263" max="10263" width="4.140625" customWidth="1"/>
    <col min="10497" max="10499" width="4.140625" customWidth="1"/>
    <col min="10500" max="10501" width="13.7109375" customWidth="1"/>
    <col min="10502" max="10502" width="25.7109375" customWidth="1"/>
    <col min="10503" max="10503" width="35.7109375" customWidth="1"/>
    <col min="10504" max="10504" width="8.7109375" customWidth="1"/>
    <col min="10505" max="10505" width="0" hidden="1" customWidth="1"/>
    <col min="10506" max="10507" width="15.7109375" customWidth="1"/>
    <col min="10508" max="10510" width="9.7109375" customWidth="1"/>
    <col min="10511" max="10511" width="7.7109375" customWidth="1"/>
    <col min="10512" max="10516" width="0" hidden="1" customWidth="1"/>
    <col min="10517" max="10517" width="10.7109375" customWidth="1"/>
    <col min="10518" max="10518" width="15.7109375" customWidth="1"/>
    <col min="10519" max="10519" width="4.140625" customWidth="1"/>
    <col min="10753" max="10755" width="4.140625" customWidth="1"/>
    <col min="10756" max="10757" width="13.7109375" customWidth="1"/>
    <col min="10758" max="10758" width="25.7109375" customWidth="1"/>
    <col min="10759" max="10759" width="35.7109375" customWidth="1"/>
    <col min="10760" max="10760" width="8.7109375" customWidth="1"/>
    <col min="10761" max="10761" width="0" hidden="1" customWidth="1"/>
    <col min="10762" max="10763" width="15.7109375" customWidth="1"/>
    <col min="10764" max="10766" width="9.7109375" customWidth="1"/>
    <col min="10767" max="10767" width="7.7109375" customWidth="1"/>
    <col min="10768" max="10772" width="0" hidden="1" customWidth="1"/>
    <col min="10773" max="10773" width="10.7109375" customWidth="1"/>
    <col min="10774" max="10774" width="15.7109375" customWidth="1"/>
    <col min="10775" max="10775" width="4.140625" customWidth="1"/>
    <col min="11009" max="11011" width="4.140625" customWidth="1"/>
    <col min="11012" max="11013" width="13.7109375" customWidth="1"/>
    <col min="11014" max="11014" width="25.7109375" customWidth="1"/>
    <col min="11015" max="11015" width="35.7109375" customWidth="1"/>
    <col min="11016" max="11016" width="8.7109375" customWidth="1"/>
    <col min="11017" max="11017" width="0" hidden="1" customWidth="1"/>
    <col min="11018" max="11019" width="15.7109375" customWidth="1"/>
    <col min="11020" max="11022" width="9.7109375" customWidth="1"/>
    <col min="11023" max="11023" width="7.7109375" customWidth="1"/>
    <col min="11024" max="11028" width="0" hidden="1" customWidth="1"/>
    <col min="11029" max="11029" width="10.7109375" customWidth="1"/>
    <col min="11030" max="11030" width="15.7109375" customWidth="1"/>
    <col min="11031" max="11031" width="4.140625" customWidth="1"/>
    <col min="11265" max="11267" width="4.140625" customWidth="1"/>
    <col min="11268" max="11269" width="13.7109375" customWidth="1"/>
    <col min="11270" max="11270" width="25.7109375" customWidth="1"/>
    <col min="11271" max="11271" width="35.7109375" customWidth="1"/>
    <col min="11272" max="11272" width="8.7109375" customWidth="1"/>
    <col min="11273" max="11273" width="0" hidden="1" customWidth="1"/>
    <col min="11274" max="11275" width="15.7109375" customWidth="1"/>
    <col min="11276" max="11278" width="9.7109375" customWidth="1"/>
    <col min="11279" max="11279" width="7.7109375" customWidth="1"/>
    <col min="11280" max="11284" width="0" hidden="1" customWidth="1"/>
    <col min="11285" max="11285" width="10.7109375" customWidth="1"/>
    <col min="11286" max="11286" width="15.7109375" customWidth="1"/>
    <col min="11287" max="11287" width="4.140625" customWidth="1"/>
    <col min="11521" max="11523" width="4.140625" customWidth="1"/>
    <col min="11524" max="11525" width="13.7109375" customWidth="1"/>
    <col min="11526" max="11526" width="25.7109375" customWidth="1"/>
    <col min="11527" max="11527" width="35.7109375" customWidth="1"/>
    <col min="11528" max="11528" width="8.7109375" customWidth="1"/>
    <col min="11529" max="11529" width="0" hidden="1" customWidth="1"/>
    <col min="11530" max="11531" width="15.7109375" customWidth="1"/>
    <col min="11532" max="11534" width="9.7109375" customWidth="1"/>
    <col min="11535" max="11535" width="7.7109375" customWidth="1"/>
    <col min="11536" max="11540" width="0" hidden="1" customWidth="1"/>
    <col min="11541" max="11541" width="10.7109375" customWidth="1"/>
    <col min="11542" max="11542" width="15.7109375" customWidth="1"/>
    <col min="11543" max="11543" width="4.140625" customWidth="1"/>
    <col min="11777" max="11779" width="4.140625" customWidth="1"/>
    <col min="11780" max="11781" width="13.7109375" customWidth="1"/>
    <col min="11782" max="11782" width="25.7109375" customWidth="1"/>
    <col min="11783" max="11783" width="35.7109375" customWidth="1"/>
    <col min="11784" max="11784" width="8.7109375" customWidth="1"/>
    <col min="11785" max="11785" width="0" hidden="1" customWidth="1"/>
    <col min="11786" max="11787" width="15.7109375" customWidth="1"/>
    <col min="11788" max="11790" width="9.7109375" customWidth="1"/>
    <col min="11791" max="11791" width="7.7109375" customWidth="1"/>
    <col min="11792" max="11796" width="0" hidden="1" customWidth="1"/>
    <col min="11797" max="11797" width="10.7109375" customWidth="1"/>
    <col min="11798" max="11798" width="15.7109375" customWidth="1"/>
    <col min="11799" max="11799" width="4.140625" customWidth="1"/>
    <col min="12033" max="12035" width="4.140625" customWidth="1"/>
    <col min="12036" max="12037" width="13.7109375" customWidth="1"/>
    <col min="12038" max="12038" width="25.7109375" customWidth="1"/>
    <col min="12039" max="12039" width="35.7109375" customWidth="1"/>
    <col min="12040" max="12040" width="8.7109375" customWidth="1"/>
    <col min="12041" max="12041" width="0" hidden="1" customWidth="1"/>
    <col min="12042" max="12043" width="15.7109375" customWidth="1"/>
    <col min="12044" max="12046" width="9.7109375" customWidth="1"/>
    <col min="12047" max="12047" width="7.7109375" customWidth="1"/>
    <col min="12048" max="12052" width="0" hidden="1" customWidth="1"/>
    <col min="12053" max="12053" width="10.7109375" customWidth="1"/>
    <col min="12054" max="12054" width="15.7109375" customWidth="1"/>
    <col min="12055" max="12055" width="4.140625" customWidth="1"/>
    <col min="12289" max="12291" width="4.140625" customWidth="1"/>
    <col min="12292" max="12293" width="13.7109375" customWidth="1"/>
    <col min="12294" max="12294" width="25.7109375" customWidth="1"/>
    <col min="12295" max="12295" width="35.7109375" customWidth="1"/>
    <col min="12296" max="12296" width="8.7109375" customWidth="1"/>
    <col min="12297" max="12297" width="0" hidden="1" customWidth="1"/>
    <col min="12298" max="12299" width="15.7109375" customWidth="1"/>
    <col min="12300" max="12302" width="9.7109375" customWidth="1"/>
    <col min="12303" max="12303" width="7.7109375" customWidth="1"/>
    <col min="12304" max="12308" width="0" hidden="1" customWidth="1"/>
    <col min="12309" max="12309" width="10.7109375" customWidth="1"/>
    <col min="12310" max="12310" width="15.7109375" customWidth="1"/>
    <col min="12311" max="12311" width="4.140625" customWidth="1"/>
    <col min="12545" max="12547" width="4.140625" customWidth="1"/>
    <col min="12548" max="12549" width="13.7109375" customWidth="1"/>
    <col min="12550" max="12550" width="25.7109375" customWidth="1"/>
    <col min="12551" max="12551" width="35.7109375" customWidth="1"/>
    <col min="12552" max="12552" width="8.7109375" customWidth="1"/>
    <col min="12553" max="12553" width="0" hidden="1" customWidth="1"/>
    <col min="12554" max="12555" width="15.7109375" customWidth="1"/>
    <col min="12556" max="12558" width="9.7109375" customWidth="1"/>
    <col min="12559" max="12559" width="7.7109375" customWidth="1"/>
    <col min="12560" max="12564" width="0" hidden="1" customWidth="1"/>
    <col min="12565" max="12565" width="10.7109375" customWidth="1"/>
    <col min="12566" max="12566" width="15.7109375" customWidth="1"/>
    <col min="12567" max="12567" width="4.140625" customWidth="1"/>
    <col min="12801" max="12803" width="4.140625" customWidth="1"/>
    <col min="12804" max="12805" width="13.7109375" customWidth="1"/>
    <col min="12806" max="12806" width="25.7109375" customWidth="1"/>
    <col min="12807" max="12807" width="35.7109375" customWidth="1"/>
    <col min="12808" max="12808" width="8.7109375" customWidth="1"/>
    <col min="12809" max="12809" width="0" hidden="1" customWidth="1"/>
    <col min="12810" max="12811" width="15.7109375" customWidth="1"/>
    <col min="12812" max="12814" width="9.7109375" customWidth="1"/>
    <col min="12815" max="12815" width="7.7109375" customWidth="1"/>
    <col min="12816" max="12820" width="0" hidden="1" customWidth="1"/>
    <col min="12821" max="12821" width="10.7109375" customWidth="1"/>
    <col min="12822" max="12822" width="15.7109375" customWidth="1"/>
    <col min="12823" max="12823" width="4.140625" customWidth="1"/>
    <col min="13057" max="13059" width="4.140625" customWidth="1"/>
    <col min="13060" max="13061" width="13.7109375" customWidth="1"/>
    <col min="13062" max="13062" width="25.7109375" customWidth="1"/>
    <col min="13063" max="13063" width="35.7109375" customWidth="1"/>
    <col min="13064" max="13064" width="8.7109375" customWidth="1"/>
    <col min="13065" max="13065" width="0" hidden="1" customWidth="1"/>
    <col min="13066" max="13067" width="15.7109375" customWidth="1"/>
    <col min="13068" max="13070" width="9.7109375" customWidth="1"/>
    <col min="13071" max="13071" width="7.7109375" customWidth="1"/>
    <col min="13072" max="13076" width="0" hidden="1" customWidth="1"/>
    <col min="13077" max="13077" width="10.7109375" customWidth="1"/>
    <col min="13078" max="13078" width="15.7109375" customWidth="1"/>
    <col min="13079" max="13079" width="4.140625" customWidth="1"/>
    <col min="13313" max="13315" width="4.140625" customWidth="1"/>
    <col min="13316" max="13317" width="13.7109375" customWidth="1"/>
    <col min="13318" max="13318" width="25.7109375" customWidth="1"/>
    <col min="13319" max="13319" width="35.7109375" customWidth="1"/>
    <col min="13320" max="13320" width="8.7109375" customWidth="1"/>
    <col min="13321" max="13321" width="0" hidden="1" customWidth="1"/>
    <col min="13322" max="13323" width="15.7109375" customWidth="1"/>
    <col min="13324" max="13326" width="9.7109375" customWidth="1"/>
    <col min="13327" max="13327" width="7.7109375" customWidth="1"/>
    <col min="13328" max="13332" width="0" hidden="1" customWidth="1"/>
    <col min="13333" max="13333" width="10.7109375" customWidth="1"/>
    <col min="13334" max="13334" width="15.7109375" customWidth="1"/>
    <col min="13335" max="13335" width="4.140625" customWidth="1"/>
    <col min="13569" max="13571" width="4.140625" customWidth="1"/>
    <col min="13572" max="13573" width="13.7109375" customWidth="1"/>
    <col min="13574" max="13574" width="25.7109375" customWidth="1"/>
    <col min="13575" max="13575" width="35.7109375" customWidth="1"/>
    <col min="13576" max="13576" width="8.7109375" customWidth="1"/>
    <col min="13577" max="13577" width="0" hidden="1" customWidth="1"/>
    <col min="13578" max="13579" width="15.7109375" customWidth="1"/>
    <col min="13580" max="13582" width="9.7109375" customWidth="1"/>
    <col min="13583" max="13583" width="7.7109375" customWidth="1"/>
    <col min="13584" max="13588" width="0" hidden="1" customWidth="1"/>
    <col min="13589" max="13589" width="10.7109375" customWidth="1"/>
    <col min="13590" max="13590" width="15.7109375" customWidth="1"/>
    <col min="13591" max="13591" width="4.140625" customWidth="1"/>
    <col min="13825" max="13827" width="4.140625" customWidth="1"/>
    <col min="13828" max="13829" width="13.7109375" customWidth="1"/>
    <col min="13830" max="13830" width="25.7109375" customWidth="1"/>
    <col min="13831" max="13831" width="35.7109375" customWidth="1"/>
    <col min="13832" max="13832" width="8.7109375" customWidth="1"/>
    <col min="13833" max="13833" width="0" hidden="1" customWidth="1"/>
    <col min="13834" max="13835" width="15.7109375" customWidth="1"/>
    <col min="13836" max="13838" width="9.7109375" customWidth="1"/>
    <col min="13839" max="13839" width="7.7109375" customWidth="1"/>
    <col min="13840" max="13844" width="0" hidden="1" customWidth="1"/>
    <col min="13845" max="13845" width="10.7109375" customWidth="1"/>
    <col min="13846" max="13846" width="15.7109375" customWidth="1"/>
    <col min="13847" max="13847" width="4.140625" customWidth="1"/>
    <col min="14081" max="14083" width="4.140625" customWidth="1"/>
    <col min="14084" max="14085" width="13.7109375" customWidth="1"/>
    <col min="14086" max="14086" width="25.7109375" customWidth="1"/>
    <col min="14087" max="14087" width="35.7109375" customWidth="1"/>
    <col min="14088" max="14088" width="8.7109375" customWidth="1"/>
    <col min="14089" max="14089" width="0" hidden="1" customWidth="1"/>
    <col min="14090" max="14091" width="15.7109375" customWidth="1"/>
    <col min="14092" max="14094" width="9.7109375" customWidth="1"/>
    <col min="14095" max="14095" width="7.7109375" customWidth="1"/>
    <col min="14096" max="14100" width="0" hidden="1" customWidth="1"/>
    <col min="14101" max="14101" width="10.7109375" customWidth="1"/>
    <col min="14102" max="14102" width="15.7109375" customWidth="1"/>
    <col min="14103" max="14103" width="4.140625" customWidth="1"/>
    <col min="14337" max="14339" width="4.140625" customWidth="1"/>
    <col min="14340" max="14341" width="13.7109375" customWidth="1"/>
    <col min="14342" max="14342" width="25.7109375" customWidth="1"/>
    <col min="14343" max="14343" width="35.7109375" customWidth="1"/>
    <col min="14344" max="14344" width="8.7109375" customWidth="1"/>
    <col min="14345" max="14345" width="0" hidden="1" customWidth="1"/>
    <col min="14346" max="14347" width="15.7109375" customWidth="1"/>
    <col min="14348" max="14350" width="9.7109375" customWidth="1"/>
    <col min="14351" max="14351" width="7.7109375" customWidth="1"/>
    <col min="14352" max="14356" width="0" hidden="1" customWidth="1"/>
    <col min="14357" max="14357" width="10.7109375" customWidth="1"/>
    <col min="14358" max="14358" width="15.7109375" customWidth="1"/>
    <col min="14359" max="14359" width="4.140625" customWidth="1"/>
    <col min="14593" max="14595" width="4.140625" customWidth="1"/>
    <col min="14596" max="14597" width="13.7109375" customWidth="1"/>
    <col min="14598" max="14598" width="25.7109375" customWidth="1"/>
    <col min="14599" max="14599" width="35.7109375" customWidth="1"/>
    <col min="14600" max="14600" width="8.7109375" customWidth="1"/>
    <col min="14601" max="14601" width="0" hidden="1" customWidth="1"/>
    <col min="14602" max="14603" width="15.7109375" customWidth="1"/>
    <col min="14604" max="14606" width="9.7109375" customWidth="1"/>
    <col min="14607" max="14607" width="7.7109375" customWidth="1"/>
    <col min="14608" max="14612" width="0" hidden="1" customWidth="1"/>
    <col min="14613" max="14613" width="10.7109375" customWidth="1"/>
    <col min="14614" max="14614" width="15.7109375" customWidth="1"/>
    <col min="14615" max="14615" width="4.140625" customWidth="1"/>
    <col min="14849" max="14851" width="4.140625" customWidth="1"/>
    <col min="14852" max="14853" width="13.7109375" customWidth="1"/>
    <col min="14854" max="14854" width="25.7109375" customWidth="1"/>
    <col min="14855" max="14855" width="35.7109375" customWidth="1"/>
    <col min="14856" max="14856" width="8.7109375" customWidth="1"/>
    <col min="14857" max="14857" width="0" hidden="1" customWidth="1"/>
    <col min="14858" max="14859" width="15.7109375" customWidth="1"/>
    <col min="14860" max="14862" width="9.7109375" customWidth="1"/>
    <col min="14863" max="14863" width="7.7109375" customWidth="1"/>
    <col min="14864" max="14868" width="0" hidden="1" customWidth="1"/>
    <col min="14869" max="14869" width="10.7109375" customWidth="1"/>
    <col min="14870" max="14870" width="15.7109375" customWidth="1"/>
    <col min="14871" max="14871" width="4.140625" customWidth="1"/>
    <col min="15105" max="15107" width="4.140625" customWidth="1"/>
    <col min="15108" max="15109" width="13.7109375" customWidth="1"/>
    <col min="15110" max="15110" width="25.7109375" customWidth="1"/>
    <col min="15111" max="15111" width="35.7109375" customWidth="1"/>
    <col min="15112" max="15112" width="8.7109375" customWidth="1"/>
    <col min="15113" max="15113" width="0" hidden="1" customWidth="1"/>
    <col min="15114" max="15115" width="15.7109375" customWidth="1"/>
    <col min="15116" max="15118" width="9.7109375" customWidth="1"/>
    <col min="15119" max="15119" width="7.7109375" customWidth="1"/>
    <col min="15120" max="15124" width="0" hidden="1" customWidth="1"/>
    <col min="15125" max="15125" width="10.7109375" customWidth="1"/>
    <col min="15126" max="15126" width="15.7109375" customWidth="1"/>
    <col min="15127" max="15127" width="4.140625" customWidth="1"/>
    <col min="15361" max="15363" width="4.140625" customWidth="1"/>
    <col min="15364" max="15365" width="13.7109375" customWidth="1"/>
    <col min="15366" max="15366" width="25.7109375" customWidth="1"/>
    <col min="15367" max="15367" width="35.7109375" customWidth="1"/>
    <col min="15368" max="15368" width="8.7109375" customWidth="1"/>
    <col min="15369" max="15369" width="0" hidden="1" customWidth="1"/>
    <col min="15370" max="15371" width="15.7109375" customWidth="1"/>
    <col min="15372" max="15374" width="9.7109375" customWidth="1"/>
    <col min="15375" max="15375" width="7.7109375" customWidth="1"/>
    <col min="15376" max="15380" width="0" hidden="1" customWidth="1"/>
    <col min="15381" max="15381" width="10.7109375" customWidth="1"/>
    <col min="15382" max="15382" width="15.7109375" customWidth="1"/>
    <col min="15383" max="15383" width="4.140625" customWidth="1"/>
    <col min="15617" max="15619" width="4.140625" customWidth="1"/>
    <col min="15620" max="15621" width="13.7109375" customWidth="1"/>
    <col min="15622" max="15622" width="25.7109375" customWidth="1"/>
    <col min="15623" max="15623" width="35.7109375" customWidth="1"/>
    <col min="15624" max="15624" width="8.7109375" customWidth="1"/>
    <col min="15625" max="15625" width="0" hidden="1" customWidth="1"/>
    <col min="15626" max="15627" width="15.7109375" customWidth="1"/>
    <col min="15628" max="15630" width="9.7109375" customWidth="1"/>
    <col min="15631" max="15631" width="7.7109375" customWidth="1"/>
    <col min="15632" max="15636" width="0" hidden="1" customWidth="1"/>
    <col min="15637" max="15637" width="10.7109375" customWidth="1"/>
    <col min="15638" max="15638" width="15.7109375" customWidth="1"/>
    <col min="15639" max="15639" width="4.140625" customWidth="1"/>
    <col min="15873" max="15875" width="4.140625" customWidth="1"/>
    <col min="15876" max="15877" width="13.7109375" customWidth="1"/>
    <col min="15878" max="15878" width="25.7109375" customWidth="1"/>
    <col min="15879" max="15879" width="35.7109375" customWidth="1"/>
    <col min="15880" max="15880" width="8.7109375" customWidth="1"/>
    <col min="15881" max="15881" width="0" hidden="1" customWidth="1"/>
    <col min="15882" max="15883" width="15.7109375" customWidth="1"/>
    <col min="15884" max="15886" width="9.7109375" customWidth="1"/>
    <col min="15887" max="15887" width="7.7109375" customWidth="1"/>
    <col min="15888" max="15892" width="0" hidden="1" customWidth="1"/>
    <col min="15893" max="15893" width="10.7109375" customWidth="1"/>
    <col min="15894" max="15894" width="15.7109375" customWidth="1"/>
    <col min="15895" max="15895" width="4.140625" customWidth="1"/>
    <col min="16129" max="16131" width="4.140625" customWidth="1"/>
    <col min="16132" max="16133" width="13.7109375" customWidth="1"/>
    <col min="16134" max="16134" width="25.7109375" customWidth="1"/>
    <col min="16135" max="16135" width="35.7109375" customWidth="1"/>
    <col min="16136" max="16136" width="8.7109375" customWidth="1"/>
    <col min="16137" max="16137" width="0" hidden="1" customWidth="1"/>
    <col min="16138" max="16139" width="15.7109375" customWidth="1"/>
    <col min="16140" max="16142" width="9.7109375" customWidth="1"/>
    <col min="16143" max="16143" width="7.7109375" customWidth="1"/>
    <col min="16144" max="16148" width="0" hidden="1" customWidth="1"/>
    <col min="16149" max="16149" width="10.7109375" customWidth="1"/>
    <col min="16150" max="16150" width="15.7109375" customWidth="1"/>
    <col min="16151" max="16151" width="4.140625" customWidth="1"/>
  </cols>
  <sheetData>
    <row r="1" spans="1:23" s="59" customFormat="1" ht="31.5" customHeight="1" x14ac:dyDescent="0.4">
      <c r="W1" s="351"/>
    </row>
    <row r="2" spans="1:23" s="59" customFormat="1" ht="26.25" x14ac:dyDescent="0.4">
      <c r="B2" s="390" t="str">
        <f>'TOT-0316'!B2</f>
        <v>ANEXO III al Memorandum D.T.E.E. N°  294  / 2017</v>
      </c>
      <c r="C2" s="60"/>
      <c r="D2" s="60"/>
      <c r="E2" s="60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7" customFormat="1" x14ac:dyDescent="0.2"/>
    <row r="4" spans="1:23" s="57" customFormat="1" ht="11.25" x14ac:dyDescent="0.2">
      <c r="A4" s="379" t="s">
        <v>117</v>
      </c>
      <c r="B4" s="124"/>
      <c r="C4" s="379"/>
    </row>
    <row r="5" spans="1:23" s="57" customFormat="1" ht="11.25" x14ac:dyDescent="0.2">
      <c r="A5" s="379" t="s">
        <v>118</v>
      </c>
      <c r="B5" s="124"/>
      <c r="C5" s="124"/>
    </row>
    <row r="6" spans="1:23" s="7" customFormat="1" ht="13.5" thickBot="1" x14ac:dyDescent="0.25"/>
    <row r="7" spans="1:23" s="7" customFormat="1" ht="13.5" thickTop="1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</row>
    <row r="8" spans="1:23" s="61" customFormat="1" ht="20.25" x14ac:dyDescent="0.3">
      <c r="B8" s="118"/>
      <c r="C8" s="391"/>
      <c r="D8" s="391"/>
      <c r="E8" s="391"/>
      <c r="F8" s="16" t="s">
        <v>14</v>
      </c>
      <c r="P8" s="56"/>
      <c r="Q8" s="56"/>
      <c r="R8" s="56"/>
      <c r="S8" s="56"/>
      <c r="T8" s="56"/>
      <c r="U8" s="56"/>
      <c r="V8" s="56"/>
      <c r="W8" s="64"/>
    </row>
    <row r="9" spans="1:23" s="7" customFormat="1" x14ac:dyDescent="0.2">
      <c r="B9" s="32"/>
      <c r="C9" s="5"/>
      <c r="D9" s="5"/>
      <c r="E9" s="5"/>
      <c r="F9" s="5"/>
      <c r="G9" s="5"/>
      <c r="H9" s="5"/>
      <c r="I9" s="115"/>
      <c r="J9" s="115"/>
      <c r="K9" s="115"/>
      <c r="L9" s="115"/>
      <c r="M9" s="115"/>
      <c r="P9" s="5"/>
      <c r="Q9" s="5"/>
      <c r="R9" s="5"/>
      <c r="S9" s="5"/>
      <c r="T9" s="5"/>
      <c r="U9" s="5"/>
      <c r="V9" s="5"/>
      <c r="W9" s="8"/>
    </row>
    <row r="10" spans="1:23" s="61" customFormat="1" ht="20.25" x14ac:dyDescent="0.3">
      <c r="B10" s="118"/>
      <c r="C10" s="391"/>
      <c r="D10" s="391"/>
      <c r="E10" s="391"/>
      <c r="F10" s="16" t="s">
        <v>167</v>
      </c>
      <c r="G10" s="16"/>
      <c r="H10" s="56"/>
      <c r="I10" s="16"/>
      <c r="J10" s="16"/>
      <c r="K10" s="16"/>
      <c r="L10" s="16"/>
      <c r="M10" s="16"/>
      <c r="P10" s="56"/>
      <c r="Q10" s="56"/>
      <c r="R10" s="56"/>
      <c r="S10" s="56"/>
      <c r="T10" s="56"/>
      <c r="U10" s="56"/>
      <c r="V10" s="56"/>
      <c r="W10" s="64"/>
    </row>
    <row r="11" spans="1:23" s="7" customFormat="1" x14ac:dyDescent="0.2">
      <c r="B11" s="32"/>
      <c r="C11" s="5"/>
      <c r="D11" s="5"/>
      <c r="E11" s="5"/>
      <c r="F11" s="116"/>
      <c r="G11" s="115"/>
      <c r="H11" s="5"/>
      <c r="I11" s="115"/>
      <c r="J11" s="115"/>
      <c r="K11" s="115"/>
      <c r="L11" s="115"/>
      <c r="M11" s="115"/>
      <c r="P11" s="5"/>
      <c r="Q11" s="5"/>
      <c r="R11" s="5"/>
      <c r="S11" s="5"/>
      <c r="T11" s="5"/>
      <c r="U11" s="5"/>
      <c r="V11" s="5"/>
      <c r="W11" s="8"/>
    </row>
    <row r="12" spans="1:23" s="65" customFormat="1" ht="19.5" x14ac:dyDescent="0.35">
      <c r="B12" s="84" t="str">
        <f>'TOT-0316'!B14</f>
        <v>Desde el 01 al 31 de Marzo de 2016</v>
      </c>
      <c r="C12" s="87"/>
      <c r="D12" s="87"/>
      <c r="E12" s="87"/>
      <c r="F12" s="87"/>
      <c r="G12" s="87"/>
      <c r="H12" s="87"/>
      <c r="I12" s="87"/>
      <c r="J12" s="123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392"/>
    </row>
    <row r="13" spans="1:23" s="7" customFormat="1" ht="13.5" thickBot="1" x14ac:dyDescent="0.25">
      <c r="B13" s="32"/>
      <c r="C13" s="5"/>
      <c r="D13" s="5"/>
      <c r="E13" s="5"/>
      <c r="I13" s="106"/>
      <c r="K13" s="5"/>
      <c r="L13" s="5"/>
      <c r="M13" s="5"/>
      <c r="N13" s="106"/>
      <c r="O13" s="106"/>
      <c r="P13" s="106"/>
      <c r="Q13" s="5"/>
      <c r="R13" s="5"/>
      <c r="S13" s="5"/>
      <c r="T13" s="5"/>
      <c r="U13" s="5"/>
      <c r="V13" s="5"/>
      <c r="W13" s="8"/>
    </row>
    <row r="14" spans="1:23" s="7" customFormat="1" ht="14.25" thickTop="1" thickBot="1" x14ac:dyDescent="0.25">
      <c r="B14" s="32"/>
      <c r="C14" s="5"/>
      <c r="D14" s="5"/>
      <c r="E14" s="5"/>
      <c r="F14" s="393" t="s">
        <v>168</v>
      </c>
      <c r="G14" s="394" t="s">
        <v>169</v>
      </c>
      <c r="H14" s="395">
        <f>60*'TOT-0316'!B13</f>
        <v>120</v>
      </c>
      <c r="I14" s="106"/>
      <c r="J14" s="396" t="str">
        <f>IF(H14=60," ",IF(H14=120,"  Coeficiente duplicado por tasa de falla &gt;4 Sal. x año/100 km.","  REVISAR COEFICIENTE"))</f>
        <v xml:space="preserve">  Coeficiente duplicado por tasa de falla &gt;4 Sal. x año/100 km.</v>
      </c>
      <c r="K14" s="5"/>
      <c r="L14" s="5"/>
      <c r="M14" s="5"/>
      <c r="N14" s="106"/>
      <c r="O14" s="106"/>
      <c r="P14" s="106"/>
      <c r="Q14" s="5"/>
      <c r="R14" s="5"/>
      <c r="S14" s="5"/>
      <c r="T14" s="5"/>
      <c r="U14" s="5"/>
      <c r="V14" s="5"/>
      <c r="W14" s="8"/>
    </row>
    <row r="15" spans="1:23" s="7" customFormat="1" ht="14.25" thickTop="1" thickBot="1" x14ac:dyDescent="0.25">
      <c r="B15" s="32"/>
      <c r="C15" s="5"/>
      <c r="D15" s="5"/>
      <c r="E15" s="5"/>
      <c r="F15" s="393" t="s">
        <v>170</v>
      </c>
      <c r="G15" s="394">
        <v>16.042999999999999</v>
      </c>
      <c r="H15" s="395">
        <f>50*'TOT-0316'!B13</f>
        <v>100</v>
      </c>
      <c r="J15" s="396" t="str">
        <f>IF(H15=50," ",IF(H15=100,"  Coeficiente duplicado por tasa de falla &gt;4 Sal. x año/100 km.","  REVISAR COEFICIENTE"))</f>
        <v xml:space="preserve">  Coeficiente duplicado por tasa de falla &gt;4 Sal. x año/100 km.</v>
      </c>
      <c r="S15" s="5"/>
      <c r="T15" s="5"/>
      <c r="U15" s="5"/>
      <c r="V15" s="5"/>
      <c r="W15" s="8"/>
    </row>
    <row r="16" spans="1:23" s="7" customFormat="1" ht="14.25" thickTop="1" thickBot="1" x14ac:dyDescent="0.25">
      <c r="B16" s="32"/>
      <c r="C16" s="5"/>
      <c r="D16" s="5"/>
      <c r="E16" s="5"/>
      <c r="F16" s="397" t="s">
        <v>171</v>
      </c>
      <c r="G16" s="398">
        <v>12.029</v>
      </c>
      <c r="H16" s="399">
        <f>25*'TOT-0316'!B13</f>
        <v>50</v>
      </c>
      <c r="J16" s="396" t="str">
        <f>IF(H16=25," ",IF(H16=50,"  Coeficiente duplicado por tasa de falla &gt;4 Sal. x año/100 km.","  REVISAR COEFICIENTE"))</f>
        <v xml:space="preserve">  Coeficiente duplicado por tasa de falla &gt;4 Sal. x año/100 km.</v>
      </c>
      <c r="K16" s="107"/>
      <c r="L16" s="107"/>
      <c r="M16" s="5"/>
      <c r="P16" s="400"/>
      <c r="Q16" s="401"/>
      <c r="R16" s="26"/>
      <c r="S16" s="5"/>
      <c r="T16" s="5"/>
      <c r="U16" s="5"/>
      <c r="V16" s="5"/>
      <c r="W16" s="8"/>
    </row>
    <row r="17" spans="2:23" s="7" customFormat="1" ht="14.25" thickTop="1" thickBot="1" x14ac:dyDescent="0.25">
      <c r="B17" s="32"/>
      <c r="C17" s="5"/>
      <c r="D17" s="5"/>
      <c r="E17" s="5"/>
      <c r="F17" s="402" t="s">
        <v>172</v>
      </c>
      <c r="G17" s="398">
        <v>12.029</v>
      </c>
      <c r="H17" s="403">
        <f>20*'TOT-0316'!B13</f>
        <v>40</v>
      </c>
      <c r="J17" s="396" t="str">
        <f>IF(H17=20," ",IF(H17=40,"  Coeficiente duplicado por tasa de falla &gt;4 Sal. x año/100 km.","  REVISAR COEFICIENTE"))</f>
        <v xml:space="preserve">  Coeficiente duplicado por tasa de falla &gt;4 Sal. x año/100 km.</v>
      </c>
      <c r="K17" s="107"/>
      <c r="L17" s="107"/>
      <c r="M17" s="5"/>
      <c r="P17" s="400"/>
      <c r="Q17" s="401"/>
      <c r="R17" s="26"/>
      <c r="S17" s="5"/>
      <c r="T17" s="5"/>
      <c r="U17" s="5"/>
      <c r="V17" s="5"/>
      <c r="W17" s="8"/>
    </row>
    <row r="18" spans="2:23" s="7" customFormat="1" ht="14.25" thickTop="1" thickBot="1" x14ac:dyDescent="0.25">
      <c r="B18" s="144"/>
      <c r="C18" s="385">
        <v>3</v>
      </c>
      <c r="D18" s="385">
        <v>4</v>
      </c>
      <c r="E18" s="385">
        <v>5</v>
      </c>
      <c r="F18" s="385">
        <v>6</v>
      </c>
      <c r="G18" s="385">
        <v>7</v>
      </c>
      <c r="H18" s="385">
        <v>8</v>
      </c>
      <c r="I18" s="385">
        <v>9</v>
      </c>
      <c r="J18" s="385">
        <v>10</v>
      </c>
      <c r="K18" s="385">
        <v>11</v>
      </c>
      <c r="L18" s="385">
        <v>12</v>
      </c>
      <c r="M18" s="385">
        <v>13</v>
      </c>
      <c r="N18" s="385">
        <v>14</v>
      </c>
      <c r="O18" s="385">
        <v>15</v>
      </c>
      <c r="P18" s="385">
        <v>16</v>
      </c>
      <c r="Q18" s="385">
        <v>17</v>
      </c>
      <c r="R18" s="385">
        <v>18</v>
      </c>
      <c r="S18" s="385">
        <v>19</v>
      </c>
      <c r="T18" s="385">
        <v>20</v>
      </c>
      <c r="U18" s="385">
        <v>21</v>
      </c>
      <c r="V18" s="385">
        <v>22</v>
      </c>
      <c r="W18" s="145"/>
    </row>
    <row r="19" spans="2:23" s="7" customFormat="1" ht="33.950000000000003" customHeight="1" thickTop="1" thickBot="1" x14ac:dyDescent="0.25">
      <c r="B19" s="32"/>
      <c r="C19" s="131" t="s">
        <v>20</v>
      </c>
      <c r="D19" s="131" t="s">
        <v>115</v>
      </c>
      <c r="E19" s="131" t="s">
        <v>116</v>
      </c>
      <c r="F19" s="179" t="s">
        <v>42</v>
      </c>
      <c r="G19" s="175" t="s">
        <v>43</v>
      </c>
      <c r="H19" s="178" t="s">
        <v>21</v>
      </c>
      <c r="I19" s="222" t="s">
        <v>23</v>
      </c>
      <c r="J19" s="175" t="s">
        <v>24</v>
      </c>
      <c r="K19" s="175" t="s">
        <v>25</v>
      </c>
      <c r="L19" s="179" t="s">
        <v>45</v>
      </c>
      <c r="M19" s="179" t="s">
        <v>46</v>
      </c>
      <c r="N19" s="133" t="s">
        <v>28</v>
      </c>
      <c r="O19" s="175" t="s">
        <v>48</v>
      </c>
      <c r="P19" s="404" t="s">
        <v>173</v>
      </c>
      <c r="Q19" s="405" t="s">
        <v>51</v>
      </c>
      <c r="R19" s="406" t="s">
        <v>52</v>
      </c>
      <c r="S19" s="407"/>
      <c r="T19" s="295" t="s">
        <v>34</v>
      </c>
      <c r="U19" s="220" t="s">
        <v>36</v>
      </c>
      <c r="V19" s="180" t="s">
        <v>37</v>
      </c>
      <c r="W19" s="145"/>
    </row>
    <row r="20" spans="2:23" s="7" customFormat="1" ht="17.100000000000001" customHeight="1" thickTop="1" x14ac:dyDescent="0.25">
      <c r="B20" s="32"/>
      <c r="C20" s="363"/>
      <c r="D20" s="363"/>
      <c r="E20" s="363"/>
      <c r="F20" s="362"/>
      <c r="G20" s="362"/>
      <c r="H20" s="408"/>
      <c r="I20" s="409"/>
      <c r="J20" s="410"/>
      <c r="K20" s="410"/>
      <c r="L20" s="19"/>
      <c r="M20" s="19"/>
      <c r="N20" s="362"/>
      <c r="O20" s="362"/>
      <c r="P20" s="411"/>
      <c r="Q20" s="412"/>
      <c r="R20" s="413"/>
      <c r="S20" s="414"/>
      <c r="T20" s="415"/>
      <c r="U20" s="416"/>
      <c r="V20" s="417"/>
      <c r="W20" s="145"/>
    </row>
    <row r="21" spans="2:23" s="7" customFormat="1" ht="17.100000000000001" customHeight="1" x14ac:dyDescent="0.25">
      <c r="B21" s="32"/>
      <c r="C21" s="418"/>
      <c r="D21" s="418"/>
      <c r="E21" s="418"/>
      <c r="F21" s="419"/>
      <c r="G21" s="419"/>
      <c r="H21" s="420"/>
      <c r="I21" s="421"/>
      <c r="J21" s="422"/>
      <c r="K21" s="422"/>
      <c r="L21" s="345"/>
      <c r="M21" s="345"/>
      <c r="N21" s="419"/>
      <c r="O21" s="419"/>
      <c r="P21" s="423"/>
      <c r="Q21" s="424"/>
      <c r="R21" s="425"/>
      <c r="S21" s="426"/>
      <c r="T21" s="427"/>
      <c r="U21" s="428"/>
      <c r="V21" s="429"/>
      <c r="W21" s="145"/>
    </row>
    <row r="22" spans="2:23" s="7" customFormat="1" ht="17.100000000000001" customHeight="1" x14ac:dyDescent="0.25">
      <c r="B22" s="32"/>
      <c r="C22" s="419">
        <v>35</v>
      </c>
      <c r="D22" s="419">
        <v>299650</v>
      </c>
      <c r="E22" s="419">
        <v>849</v>
      </c>
      <c r="F22" s="430" t="s">
        <v>165</v>
      </c>
      <c r="G22" s="430" t="s">
        <v>219</v>
      </c>
      <c r="H22" s="431">
        <v>33</v>
      </c>
      <c r="I22" s="432">
        <f>IF(H22=220,$G$14,IF(AND(H22&lt;=132,H22&gt;=66),$G$15,IF(AND(H22&lt;66,H22&gt;=33),$G$16,$G$17)))</f>
        <v>12.029</v>
      </c>
      <c r="J22" s="422">
        <v>42430</v>
      </c>
      <c r="K22" s="422">
        <v>42430.656944444447</v>
      </c>
      <c r="L22" s="433">
        <f>IF(F22="","",(K22-J22)*24)</f>
        <v>15.766666666720994</v>
      </c>
      <c r="M22" s="434">
        <f>IF(F22="","",ROUND((K22-J22)*24*60,0))</f>
        <v>946</v>
      </c>
      <c r="N22" s="435" t="s">
        <v>142</v>
      </c>
      <c r="O22" s="436" t="str">
        <f t="shared" ref="O22:O41" si="0">IF(F22="","",IF(OR(N22="P",N22="RP"),"--","NO"))</f>
        <v>NO</v>
      </c>
      <c r="P22" s="437">
        <f>IF(H22=220,$H$14,IF(AND(H22&lt;=132,H22&gt;=66),$H$15,IF(AND(H22&lt;66,H22&gt;=33),$H$16,$H$17)))</f>
        <v>50</v>
      </c>
      <c r="Q22" s="438" t="str">
        <f>IF(N22="P",I22*P22*ROUND(M22/60,2)*0.1,"--")</f>
        <v>--</v>
      </c>
      <c r="R22" s="425">
        <f>IF(AND(N22="F",O22="NO"),I22*P22,"--")</f>
        <v>601.45000000000005</v>
      </c>
      <c r="S22" s="426">
        <f>IF(N22="F",I22*P22*ROUND(M22/60,2),"--")</f>
        <v>9484.8665000000001</v>
      </c>
      <c r="T22" s="427" t="str">
        <f>IF(N22="RF",I22*P22*ROUND(M22/60,2),"--")</f>
        <v>--</v>
      </c>
      <c r="U22" s="435" t="s">
        <v>140</v>
      </c>
      <c r="V22" s="439">
        <f>IF(F22="","",SUM(Q22:T22)*IF(U22="SI",1,2)*IF(H22="500/220",0,1))</f>
        <v>10086.316500000001</v>
      </c>
      <c r="W22" s="347"/>
    </row>
    <row r="23" spans="2:23" s="7" customFormat="1" ht="17.100000000000001" customHeight="1" x14ac:dyDescent="0.25">
      <c r="B23" s="32"/>
      <c r="C23" s="419">
        <v>36</v>
      </c>
      <c r="D23" s="419">
        <v>300793</v>
      </c>
      <c r="E23" s="419">
        <v>2038</v>
      </c>
      <c r="F23" s="430" t="s">
        <v>221</v>
      </c>
      <c r="G23" s="430" t="s">
        <v>222</v>
      </c>
      <c r="H23" s="431">
        <v>33</v>
      </c>
      <c r="I23" s="432">
        <f t="shared" ref="I23:I38" si="1">IF(H23=220,$G$14,IF(AND(H23&lt;=132,H23&gt;=66),$G$15,IF(AND(H23&lt;66,H23&gt;=33),$G$16,$G$17)))</f>
        <v>12.029</v>
      </c>
      <c r="J23" s="422">
        <v>42459.272222222222</v>
      </c>
      <c r="K23" s="422">
        <v>42459.582638888889</v>
      </c>
      <c r="L23" s="433">
        <f t="shared" ref="L23:L38" si="2">IF(F23="","",(K23-J23)*24)</f>
        <v>7.4500000000116415</v>
      </c>
      <c r="M23" s="434">
        <f t="shared" ref="M23:M38" si="3">IF(F23="","",ROUND((K23-J23)*24*60,0))</f>
        <v>447</v>
      </c>
      <c r="N23" s="435" t="s">
        <v>139</v>
      </c>
      <c r="O23" s="436" t="str">
        <f t="shared" si="0"/>
        <v>--</v>
      </c>
      <c r="P23" s="437">
        <f t="shared" ref="P23:P38" si="4">IF(H23=220,$H$14,IF(AND(H23&lt;=132,H23&gt;=66),$H$15,IF(AND(H23&lt;66,H23&gt;=33),$H$16,$H$17)))</f>
        <v>50</v>
      </c>
      <c r="Q23" s="438">
        <f t="shared" ref="Q23:Q38" si="5">IF(N23="P",I23*P23*ROUND(M23/60,2)*0.1,"--")</f>
        <v>448.08025000000009</v>
      </c>
      <c r="R23" s="425" t="str">
        <f t="shared" ref="R23:R38" si="6">IF(AND(N23="F",O23="NO"),I23*P23,"--")</f>
        <v>--</v>
      </c>
      <c r="S23" s="426" t="str">
        <f t="shared" ref="S23:S38" si="7">IF(N23="F",I23*P23*ROUND(M23/60,2),"--")</f>
        <v>--</v>
      </c>
      <c r="T23" s="427" t="str">
        <f t="shared" ref="T23:T38" si="8">IF(N23="RF",I23*P23*ROUND(M23/60,2),"--")</f>
        <v>--</v>
      </c>
      <c r="U23" s="435" t="s">
        <v>140</v>
      </c>
      <c r="V23" s="439">
        <f t="shared" ref="V23:V41" si="9">IF(F23="","",SUM(Q23:T23)*IF(U23="SI",1,2)*IF(H23="500/220",0,1))</f>
        <v>448.08025000000009</v>
      </c>
      <c r="W23" s="347"/>
    </row>
    <row r="24" spans="2:23" s="7" customFormat="1" ht="17.100000000000001" customHeight="1" x14ac:dyDescent="0.25">
      <c r="B24" s="32"/>
      <c r="C24" s="419"/>
      <c r="D24" s="419"/>
      <c r="E24" s="419"/>
      <c r="F24" s="430"/>
      <c r="G24" s="430"/>
      <c r="H24" s="431"/>
      <c r="I24" s="432">
        <f t="shared" si="1"/>
        <v>12.029</v>
      </c>
      <c r="J24" s="422"/>
      <c r="K24" s="422"/>
      <c r="L24" s="433" t="str">
        <f t="shared" si="2"/>
        <v/>
      </c>
      <c r="M24" s="434" t="str">
        <f t="shared" si="3"/>
        <v/>
      </c>
      <c r="N24" s="435"/>
      <c r="O24" s="436" t="str">
        <f t="shared" si="0"/>
        <v/>
      </c>
      <c r="P24" s="437">
        <f t="shared" si="4"/>
        <v>40</v>
      </c>
      <c r="Q24" s="438" t="str">
        <f t="shared" si="5"/>
        <v>--</v>
      </c>
      <c r="R24" s="425" t="str">
        <f t="shared" si="6"/>
        <v>--</v>
      </c>
      <c r="S24" s="426" t="str">
        <f t="shared" si="7"/>
        <v>--</v>
      </c>
      <c r="T24" s="427" t="str">
        <f t="shared" si="8"/>
        <v>--</v>
      </c>
      <c r="U24" s="435" t="str">
        <f t="shared" ref="U24:U38" si="10">IF(F24="","","SI")</f>
        <v/>
      </c>
      <c r="V24" s="439" t="str">
        <f t="shared" si="9"/>
        <v/>
      </c>
      <c r="W24" s="347"/>
    </row>
    <row r="25" spans="2:23" s="7" customFormat="1" ht="17.100000000000001" customHeight="1" x14ac:dyDescent="0.25">
      <c r="B25" s="32"/>
      <c r="C25" s="419"/>
      <c r="D25" s="419"/>
      <c r="E25" s="419"/>
      <c r="F25" s="430"/>
      <c r="G25" s="430"/>
      <c r="H25" s="431"/>
      <c r="I25" s="432">
        <f t="shared" si="1"/>
        <v>12.029</v>
      </c>
      <c r="J25" s="422"/>
      <c r="K25" s="422"/>
      <c r="L25" s="433" t="str">
        <f t="shared" si="2"/>
        <v/>
      </c>
      <c r="M25" s="434" t="str">
        <f t="shared" si="3"/>
        <v/>
      </c>
      <c r="N25" s="435"/>
      <c r="O25" s="436" t="str">
        <f t="shared" si="0"/>
        <v/>
      </c>
      <c r="P25" s="437">
        <f t="shared" si="4"/>
        <v>40</v>
      </c>
      <c r="Q25" s="438" t="str">
        <f t="shared" si="5"/>
        <v>--</v>
      </c>
      <c r="R25" s="425" t="str">
        <f t="shared" si="6"/>
        <v>--</v>
      </c>
      <c r="S25" s="426" t="str">
        <f t="shared" si="7"/>
        <v>--</v>
      </c>
      <c r="T25" s="427" t="str">
        <f t="shared" si="8"/>
        <v>--</v>
      </c>
      <c r="U25" s="435" t="str">
        <f t="shared" si="10"/>
        <v/>
      </c>
      <c r="V25" s="439" t="str">
        <f t="shared" si="9"/>
        <v/>
      </c>
      <c r="W25" s="347"/>
    </row>
    <row r="26" spans="2:23" s="7" customFormat="1" ht="17.100000000000001" customHeight="1" x14ac:dyDescent="0.25">
      <c r="B26" s="32"/>
      <c r="C26" s="419"/>
      <c r="D26" s="419"/>
      <c r="E26" s="419"/>
      <c r="F26" s="430"/>
      <c r="G26" s="430"/>
      <c r="H26" s="431"/>
      <c r="I26" s="432">
        <f t="shared" si="1"/>
        <v>12.029</v>
      </c>
      <c r="J26" s="422"/>
      <c r="K26" s="422"/>
      <c r="L26" s="433" t="str">
        <f t="shared" si="2"/>
        <v/>
      </c>
      <c r="M26" s="434" t="str">
        <f t="shared" si="3"/>
        <v/>
      </c>
      <c r="N26" s="435"/>
      <c r="O26" s="436" t="str">
        <f t="shared" si="0"/>
        <v/>
      </c>
      <c r="P26" s="437">
        <f t="shared" si="4"/>
        <v>40</v>
      </c>
      <c r="Q26" s="438" t="str">
        <f t="shared" si="5"/>
        <v>--</v>
      </c>
      <c r="R26" s="425" t="str">
        <f t="shared" si="6"/>
        <v>--</v>
      </c>
      <c r="S26" s="426" t="str">
        <f t="shared" si="7"/>
        <v>--</v>
      </c>
      <c r="T26" s="427" t="str">
        <f t="shared" si="8"/>
        <v>--</v>
      </c>
      <c r="U26" s="435" t="str">
        <f t="shared" si="10"/>
        <v/>
      </c>
      <c r="V26" s="439" t="str">
        <f t="shared" si="9"/>
        <v/>
      </c>
      <c r="W26" s="347"/>
    </row>
    <row r="27" spans="2:23" s="7" customFormat="1" ht="17.100000000000001" customHeight="1" x14ac:dyDescent="0.25">
      <c r="B27" s="32"/>
      <c r="C27" s="419"/>
      <c r="D27" s="419"/>
      <c r="E27" s="419"/>
      <c r="F27" s="430"/>
      <c r="G27" s="430"/>
      <c r="H27" s="431"/>
      <c r="I27" s="432">
        <f t="shared" si="1"/>
        <v>12.029</v>
      </c>
      <c r="J27" s="422"/>
      <c r="K27" s="422"/>
      <c r="L27" s="433" t="str">
        <f t="shared" si="2"/>
        <v/>
      </c>
      <c r="M27" s="434" t="str">
        <f t="shared" si="3"/>
        <v/>
      </c>
      <c r="N27" s="435"/>
      <c r="O27" s="436" t="str">
        <f t="shared" si="0"/>
        <v/>
      </c>
      <c r="P27" s="437">
        <f t="shared" si="4"/>
        <v>40</v>
      </c>
      <c r="Q27" s="438" t="str">
        <f t="shared" si="5"/>
        <v>--</v>
      </c>
      <c r="R27" s="425" t="str">
        <f t="shared" si="6"/>
        <v>--</v>
      </c>
      <c r="S27" s="426" t="str">
        <f t="shared" si="7"/>
        <v>--</v>
      </c>
      <c r="T27" s="427" t="str">
        <f t="shared" si="8"/>
        <v>--</v>
      </c>
      <c r="U27" s="435" t="str">
        <f t="shared" si="10"/>
        <v/>
      </c>
      <c r="V27" s="439" t="str">
        <f t="shared" si="9"/>
        <v/>
      </c>
      <c r="W27" s="347"/>
    </row>
    <row r="28" spans="2:23" s="7" customFormat="1" ht="17.100000000000001" customHeight="1" x14ac:dyDescent="0.25">
      <c r="B28" s="32"/>
      <c r="C28" s="419"/>
      <c r="D28" s="419"/>
      <c r="E28" s="419"/>
      <c r="F28" s="430"/>
      <c r="G28" s="430"/>
      <c r="H28" s="431"/>
      <c r="I28" s="432">
        <f t="shared" si="1"/>
        <v>12.029</v>
      </c>
      <c r="J28" s="422"/>
      <c r="K28" s="422"/>
      <c r="L28" s="433" t="str">
        <f t="shared" si="2"/>
        <v/>
      </c>
      <c r="M28" s="434" t="str">
        <f t="shared" si="3"/>
        <v/>
      </c>
      <c r="N28" s="435"/>
      <c r="O28" s="436" t="str">
        <f t="shared" si="0"/>
        <v/>
      </c>
      <c r="P28" s="437">
        <f t="shared" si="4"/>
        <v>40</v>
      </c>
      <c r="Q28" s="438" t="str">
        <f t="shared" si="5"/>
        <v>--</v>
      </c>
      <c r="R28" s="425" t="str">
        <f t="shared" si="6"/>
        <v>--</v>
      </c>
      <c r="S28" s="426" t="str">
        <f t="shared" si="7"/>
        <v>--</v>
      </c>
      <c r="T28" s="427" t="str">
        <f t="shared" si="8"/>
        <v>--</v>
      </c>
      <c r="U28" s="435" t="str">
        <f t="shared" si="10"/>
        <v/>
      </c>
      <c r="V28" s="439" t="str">
        <f t="shared" si="9"/>
        <v/>
      </c>
      <c r="W28" s="347"/>
    </row>
    <row r="29" spans="2:23" s="7" customFormat="1" ht="17.100000000000001" customHeight="1" x14ac:dyDescent="0.25">
      <c r="B29" s="32"/>
      <c r="C29" s="419"/>
      <c r="D29" s="419"/>
      <c r="E29" s="419"/>
      <c r="F29" s="430"/>
      <c r="G29" s="430"/>
      <c r="H29" s="431"/>
      <c r="I29" s="432">
        <f t="shared" si="1"/>
        <v>12.029</v>
      </c>
      <c r="J29" s="422"/>
      <c r="K29" s="422"/>
      <c r="L29" s="433" t="str">
        <f t="shared" si="2"/>
        <v/>
      </c>
      <c r="M29" s="434" t="str">
        <f t="shared" si="3"/>
        <v/>
      </c>
      <c r="N29" s="435"/>
      <c r="O29" s="436" t="str">
        <f t="shared" si="0"/>
        <v/>
      </c>
      <c r="P29" s="437">
        <f t="shared" si="4"/>
        <v>40</v>
      </c>
      <c r="Q29" s="438" t="str">
        <f t="shared" si="5"/>
        <v>--</v>
      </c>
      <c r="R29" s="425" t="str">
        <f t="shared" si="6"/>
        <v>--</v>
      </c>
      <c r="S29" s="426" t="str">
        <f t="shared" si="7"/>
        <v>--</v>
      </c>
      <c r="T29" s="427" t="str">
        <f t="shared" si="8"/>
        <v>--</v>
      </c>
      <c r="U29" s="435" t="str">
        <f t="shared" si="10"/>
        <v/>
      </c>
      <c r="V29" s="439" t="str">
        <f t="shared" si="9"/>
        <v/>
      </c>
      <c r="W29" s="347"/>
    </row>
    <row r="30" spans="2:23" s="7" customFormat="1" ht="17.100000000000001" customHeight="1" x14ac:dyDescent="0.25">
      <c r="B30" s="32"/>
      <c r="C30" s="419"/>
      <c r="D30" s="419"/>
      <c r="E30" s="419"/>
      <c r="F30" s="430"/>
      <c r="G30" s="430"/>
      <c r="H30" s="431"/>
      <c r="I30" s="432">
        <f t="shared" si="1"/>
        <v>12.029</v>
      </c>
      <c r="J30" s="422"/>
      <c r="K30" s="422"/>
      <c r="L30" s="433" t="str">
        <f t="shared" si="2"/>
        <v/>
      </c>
      <c r="M30" s="434" t="str">
        <f t="shared" si="3"/>
        <v/>
      </c>
      <c r="N30" s="435"/>
      <c r="O30" s="436" t="str">
        <f t="shared" si="0"/>
        <v/>
      </c>
      <c r="P30" s="437">
        <f t="shared" si="4"/>
        <v>40</v>
      </c>
      <c r="Q30" s="438" t="str">
        <f t="shared" si="5"/>
        <v>--</v>
      </c>
      <c r="R30" s="425" t="str">
        <f t="shared" si="6"/>
        <v>--</v>
      </c>
      <c r="S30" s="426" t="str">
        <f t="shared" si="7"/>
        <v>--</v>
      </c>
      <c r="T30" s="427" t="str">
        <f t="shared" si="8"/>
        <v>--</v>
      </c>
      <c r="U30" s="435" t="str">
        <f t="shared" si="10"/>
        <v/>
      </c>
      <c r="V30" s="439" t="str">
        <f t="shared" si="9"/>
        <v/>
      </c>
      <c r="W30" s="347"/>
    </row>
    <row r="31" spans="2:23" s="7" customFormat="1" ht="17.100000000000001" customHeight="1" x14ac:dyDescent="0.25">
      <c r="B31" s="32"/>
      <c r="C31" s="419"/>
      <c r="D31" s="419"/>
      <c r="E31" s="419"/>
      <c r="F31" s="430"/>
      <c r="G31" s="430"/>
      <c r="H31" s="431"/>
      <c r="I31" s="432">
        <f t="shared" si="1"/>
        <v>12.029</v>
      </c>
      <c r="J31" s="422"/>
      <c r="K31" s="422"/>
      <c r="L31" s="433" t="str">
        <f t="shared" si="2"/>
        <v/>
      </c>
      <c r="M31" s="434" t="str">
        <f t="shared" si="3"/>
        <v/>
      </c>
      <c r="N31" s="435"/>
      <c r="O31" s="436" t="str">
        <f t="shared" si="0"/>
        <v/>
      </c>
      <c r="P31" s="437">
        <f t="shared" si="4"/>
        <v>40</v>
      </c>
      <c r="Q31" s="438" t="str">
        <f t="shared" si="5"/>
        <v>--</v>
      </c>
      <c r="R31" s="425" t="str">
        <f t="shared" si="6"/>
        <v>--</v>
      </c>
      <c r="S31" s="426" t="str">
        <f t="shared" si="7"/>
        <v>--</v>
      </c>
      <c r="T31" s="427" t="str">
        <f t="shared" si="8"/>
        <v>--</v>
      </c>
      <c r="U31" s="435" t="str">
        <f t="shared" si="10"/>
        <v/>
      </c>
      <c r="V31" s="439" t="str">
        <f t="shared" si="9"/>
        <v/>
      </c>
      <c r="W31" s="347"/>
    </row>
    <row r="32" spans="2:23" s="7" customFormat="1" ht="17.100000000000001" customHeight="1" x14ac:dyDescent="0.25">
      <c r="B32" s="32"/>
      <c r="C32" s="419"/>
      <c r="D32" s="419"/>
      <c r="E32" s="419"/>
      <c r="F32" s="430"/>
      <c r="G32" s="430"/>
      <c r="H32" s="431"/>
      <c r="I32" s="432">
        <f t="shared" si="1"/>
        <v>12.029</v>
      </c>
      <c r="J32" s="422"/>
      <c r="K32" s="422"/>
      <c r="L32" s="433" t="str">
        <f t="shared" si="2"/>
        <v/>
      </c>
      <c r="M32" s="434" t="str">
        <f t="shared" si="3"/>
        <v/>
      </c>
      <c r="N32" s="435"/>
      <c r="O32" s="436" t="str">
        <f t="shared" si="0"/>
        <v/>
      </c>
      <c r="P32" s="437">
        <f t="shared" si="4"/>
        <v>40</v>
      </c>
      <c r="Q32" s="438" t="str">
        <f t="shared" si="5"/>
        <v>--</v>
      </c>
      <c r="R32" s="425" t="str">
        <f t="shared" si="6"/>
        <v>--</v>
      </c>
      <c r="S32" s="426" t="str">
        <f t="shared" si="7"/>
        <v>--</v>
      </c>
      <c r="T32" s="427" t="str">
        <f t="shared" si="8"/>
        <v>--</v>
      </c>
      <c r="U32" s="435" t="str">
        <f t="shared" si="10"/>
        <v/>
      </c>
      <c r="V32" s="439" t="str">
        <f t="shared" si="9"/>
        <v/>
      </c>
      <c r="W32" s="347"/>
    </row>
    <row r="33" spans="1:23" s="7" customFormat="1" ht="17.100000000000001" customHeight="1" x14ac:dyDescent="0.25">
      <c r="B33" s="32"/>
      <c r="C33" s="419"/>
      <c r="D33" s="419"/>
      <c r="E33" s="419"/>
      <c r="F33" s="430"/>
      <c r="G33" s="430"/>
      <c r="H33" s="431"/>
      <c r="I33" s="432">
        <f t="shared" si="1"/>
        <v>12.029</v>
      </c>
      <c r="J33" s="422"/>
      <c r="K33" s="422"/>
      <c r="L33" s="433" t="str">
        <f t="shared" si="2"/>
        <v/>
      </c>
      <c r="M33" s="434" t="str">
        <f t="shared" si="3"/>
        <v/>
      </c>
      <c r="N33" s="435"/>
      <c r="O33" s="436" t="str">
        <f t="shared" si="0"/>
        <v/>
      </c>
      <c r="P33" s="437">
        <f t="shared" si="4"/>
        <v>40</v>
      </c>
      <c r="Q33" s="438" t="str">
        <f t="shared" si="5"/>
        <v>--</v>
      </c>
      <c r="R33" s="425" t="str">
        <f t="shared" si="6"/>
        <v>--</v>
      </c>
      <c r="S33" s="426" t="str">
        <f t="shared" si="7"/>
        <v>--</v>
      </c>
      <c r="T33" s="427" t="str">
        <f t="shared" si="8"/>
        <v>--</v>
      </c>
      <c r="U33" s="435" t="str">
        <f t="shared" si="10"/>
        <v/>
      </c>
      <c r="V33" s="439" t="str">
        <f t="shared" si="9"/>
        <v/>
      </c>
      <c r="W33" s="347"/>
    </row>
    <row r="34" spans="1:23" s="7" customFormat="1" ht="17.100000000000001" customHeight="1" x14ac:dyDescent="0.25">
      <c r="B34" s="32"/>
      <c r="C34" s="419"/>
      <c r="D34" s="419"/>
      <c r="E34" s="419"/>
      <c r="F34" s="430"/>
      <c r="G34" s="430"/>
      <c r="H34" s="431"/>
      <c r="I34" s="432">
        <f t="shared" si="1"/>
        <v>12.029</v>
      </c>
      <c r="J34" s="422"/>
      <c r="K34" s="422"/>
      <c r="L34" s="433" t="str">
        <f t="shared" si="2"/>
        <v/>
      </c>
      <c r="M34" s="434" t="str">
        <f t="shared" si="3"/>
        <v/>
      </c>
      <c r="N34" s="435"/>
      <c r="O34" s="436" t="str">
        <f t="shared" si="0"/>
        <v/>
      </c>
      <c r="P34" s="437">
        <f t="shared" si="4"/>
        <v>40</v>
      </c>
      <c r="Q34" s="438" t="str">
        <f t="shared" si="5"/>
        <v>--</v>
      </c>
      <c r="R34" s="425" t="str">
        <f t="shared" si="6"/>
        <v>--</v>
      </c>
      <c r="S34" s="426" t="str">
        <f t="shared" si="7"/>
        <v>--</v>
      </c>
      <c r="T34" s="427" t="str">
        <f t="shared" si="8"/>
        <v>--</v>
      </c>
      <c r="U34" s="435" t="str">
        <f t="shared" si="10"/>
        <v/>
      </c>
      <c r="V34" s="439" t="str">
        <f t="shared" si="9"/>
        <v/>
      </c>
      <c r="W34" s="347"/>
    </row>
    <row r="35" spans="1:23" s="7" customFormat="1" ht="17.100000000000001" customHeight="1" x14ac:dyDescent="0.25">
      <c r="B35" s="32"/>
      <c r="C35" s="419"/>
      <c r="D35" s="419"/>
      <c r="E35" s="419"/>
      <c r="F35" s="430"/>
      <c r="G35" s="430"/>
      <c r="H35" s="431"/>
      <c r="I35" s="432">
        <f t="shared" si="1"/>
        <v>12.029</v>
      </c>
      <c r="J35" s="422"/>
      <c r="K35" s="422"/>
      <c r="L35" s="433" t="str">
        <f t="shared" si="2"/>
        <v/>
      </c>
      <c r="M35" s="434" t="str">
        <f t="shared" si="3"/>
        <v/>
      </c>
      <c r="N35" s="435"/>
      <c r="O35" s="436" t="str">
        <f t="shared" si="0"/>
        <v/>
      </c>
      <c r="P35" s="437">
        <f t="shared" si="4"/>
        <v>40</v>
      </c>
      <c r="Q35" s="438" t="str">
        <f t="shared" si="5"/>
        <v>--</v>
      </c>
      <c r="R35" s="425" t="str">
        <f t="shared" si="6"/>
        <v>--</v>
      </c>
      <c r="S35" s="426" t="str">
        <f t="shared" si="7"/>
        <v>--</v>
      </c>
      <c r="T35" s="427" t="str">
        <f t="shared" si="8"/>
        <v>--</v>
      </c>
      <c r="U35" s="435" t="str">
        <f t="shared" si="10"/>
        <v/>
      </c>
      <c r="V35" s="439" t="str">
        <f t="shared" si="9"/>
        <v/>
      </c>
      <c r="W35" s="347"/>
    </row>
    <row r="36" spans="1:23" s="7" customFormat="1" ht="17.100000000000001" customHeight="1" x14ac:dyDescent="0.25">
      <c r="B36" s="32"/>
      <c r="C36" s="419"/>
      <c r="D36" s="419"/>
      <c r="E36" s="419"/>
      <c r="F36" s="430"/>
      <c r="G36" s="430"/>
      <c r="H36" s="431"/>
      <c r="I36" s="432">
        <f t="shared" si="1"/>
        <v>12.029</v>
      </c>
      <c r="J36" s="422"/>
      <c r="K36" s="422"/>
      <c r="L36" s="433" t="str">
        <f t="shared" si="2"/>
        <v/>
      </c>
      <c r="M36" s="434" t="str">
        <f t="shared" si="3"/>
        <v/>
      </c>
      <c r="N36" s="435"/>
      <c r="O36" s="436" t="str">
        <f t="shared" si="0"/>
        <v/>
      </c>
      <c r="P36" s="437">
        <f t="shared" si="4"/>
        <v>40</v>
      </c>
      <c r="Q36" s="438" t="str">
        <f t="shared" si="5"/>
        <v>--</v>
      </c>
      <c r="R36" s="425" t="str">
        <f t="shared" si="6"/>
        <v>--</v>
      </c>
      <c r="S36" s="426" t="str">
        <f t="shared" si="7"/>
        <v>--</v>
      </c>
      <c r="T36" s="427" t="str">
        <f t="shared" si="8"/>
        <v>--</v>
      </c>
      <c r="U36" s="435" t="str">
        <f t="shared" si="10"/>
        <v/>
      </c>
      <c r="V36" s="439" t="str">
        <f t="shared" si="9"/>
        <v/>
      </c>
      <c r="W36" s="347"/>
    </row>
    <row r="37" spans="1:23" s="7" customFormat="1" ht="17.100000000000001" customHeight="1" x14ac:dyDescent="0.25">
      <c r="B37" s="32"/>
      <c r="C37" s="419"/>
      <c r="D37" s="419"/>
      <c r="E37" s="419"/>
      <c r="F37" s="430"/>
      <c r="G37" s="430"/>
      <c r="H37" s="431"/>
      <c r="I37" s="432">
        <f t="shared" si="1"/>
        <v>12.029</v>
      </c>
      <c r="J37" s="422"/>
      <c r="K37" s="422"/>
      <c r="L37" s="433" t="str">
        <f t="shared" si="2"/>
        <v/>
      </c>
      <c r="M37" s="434" t="str">
        <f t="shared" si="3"/>
        <v/>
      </c>
      <c r="N37" s="435"/>
      <c r="O37" s="436" t="str">
        <f t="shared" si="0"/>
        <v/>
      </c>
      <c r="P37" s="437">
        <f t="shared" si="4"/>
        <v>40</v>
      </c>
      <c r="Q37" s="438" t="str">
        <f t="shared" si="5"/>
        <v>--</v>
      </c>
      <c r="R37" s="425" t="str">
        <f t="shared" si="6"/>
        <v>--</v>
      </c>
      <c r="S37" s="426" t="str">
        <f t="shared" si="7"/>
        <v>--</v>
      </c>
      <c r="T37" s="427" t="str">
        <f t="shared" si="8"/>
        <v>--</v>
      </c>
      <c r="U37" s="435" t="str">
        <f t="shared" si="10"/>
        <v/>
      </c>
      <c r="V37" s="439" t="str">
        <f t="shared" si="9"/>
        <v/>
      </c>
      <c r="W37" s="347"/>
    </row>
    <row r="38" spans="1:23" s="7" customFormat="1" ht="17.100000000000001" customHeight="1" x14ac:dyDescent="0.25">
      <c r="B38" s="32"/>
      <c r="C38" s="419"/>
      <c r="D38" s="419"/>
      <c r="E38" s="419"/>
      <c r="F38" s="430"/>
      <c r="G38" s="430"/>
      <c r="H38" s="431"/>
      <c r="I38" s="432">
        <f t="shared" si="1"/>
        <v>12.029</v>
      </c>
      <c r="J38" s="422"/>
      <c r="K38" s="422"/>
      <c r="L38" s="433" t="str">
        <f t="shared" si="2"/>
        <v/>
      </c>
      <c r="M38" s="434" t="str">
        <f t="shared" si="3"/>
        <v/>
      </c>
      <c r="N38" s="435"/>
      <c r="O38" s="436" t="str">
        <f t="shared" si="0"/>
        <v/>
      </c>
      <c r="P38" s="437">
        <f t="shared" si="4"/>
        <v>40</v>
      </c>
      <c r="Q38" s="438" t="str">
        <f t="shared" si="5"/>
        <v>--</v>
      </c>
      <c r="R38" s="425" t="str">
        <f t="shared" si="6"/>
        <v>--</v>
      </c>
      <c r="S38" s="426" t="str">
        <f t="shared" si="7"/>
        <v>--</v>
      </c>
      <c r="T38" s="427" t="str">
        <f t="shared" si="8"/>
        <v>--</v>
      </c>
      <c r="U38" s="435" t="str">
        <f t="shared" si="10"/>
        <v/>
      </c>
      <c r="V38" s="439" t="str">
        <f t="shared" si="9"/>
        <v/>
      </c>
      <c r="W38" s="145"/>
    </row>
    <row r="39" spans="1:23" s="7" customFormat="1" ht="17.100000000000001" customHeight="1" x14ac:dyDescent="0.25">
      <c r="B39" s="32"/>
      <c r="C39" s="419"/>
      <c r="D39" s="419"/>
      <c r="E39" s="419"/>
      <c r="F39" s="430"/>
      <c r="G39" s="430"/>
      <c r="H39" s="431"/>
      <c r="I39" s="432">
        <f>IF(H39=220,$G$14,IF(AND(H39&lt;=132,H39&gt;=66),$G$15,IF(AND(H39&lt;66,H39&gt;=33),$G$16,$G$17)))</f>
        <v>12.029</v>
      </c>
      <c r="J39" s="422"/>
      <c r="K39" s="422"/>
      <c r="L39" s="433" t="str">
        <f>IF(F39="","",(K39-J39)*24)</f>
        <v/>
      </c>
      <c r="M39" s="434" t="str">
        <f>IF(F39="","",ROUND((K39-J39)*24*60,0))</f>
        <v/>
      </c>
      <c r="N39" s="435"/>
      <c r="O39" s="436" t="str">
        <f t="shared" si="0"/>
        <v/>
      </c>
      <c r="P39" s="437">
        <f>IF(H39=220,$H$14,IF(AND(H39&lt;=132,H39&gt;=66),$H$15,IF(AND(H39&lt;66,H39&gt;=33),$H$16,$H$17)))</f>
        <v>40</v>
      </c>
      <c r="Q39" s="438" t="str">
        <f>IF(N39="P",I39*P39*ROUND(M39/60,2)*0.1,"--")</f>
        <v>--</v>
      </c>
      <c r="R39" s="425" t="str">
        <f>IF(AND(N39="F",O39="NO"),I39*P39,"--")</f>
        <v>--</v>
      </c>
      <c r="S39" s="426" t="str">
        <f>IF(N39="F",I39*P39*ROUND(M39/60,2),"--")</f>
        <v>--</v>
      </c>
      <c r="T39" s="427" t="str">
        <f>IF(N39="RF",I39*P39*ROUND(M39/60,2),"--")</f>
        <v>--</v>
      </c>
      <c r="U39" s="435" t="str">
        <f>IF(F39="","","SI")</f>
        <v/>
      </c>
      <c r="V39" s="439" t="str">
        <f t="shared" si="9"/>
        <v/>
      </c>
      <c r="W39" s="145"/>
    </row>
    <row r="40" spans="1:23" s="7" customFormat="1" ht="17.100000000000001" customHeight="1" x14ac:dyDescent="0.25">
      <c r="B40" s="32"/>
      <c r="C40" s="419"/>
      <c r="D40" s="419"/>
      <c r="E40" s="419"/>
      <c r="F40" s="430"/>
      <c r="G40" s="430"/>
      <c r="H40" s="431"/>
      <c r="I40" s="432">
        <f>IF(H40=220,$G$14,IF(AND(H40&lt;=132,H40&gt;=66),$G$15,IF(AND(H40&lt;66,H40&gt;=33),$G$16,$G$17)))</f>
        <v>12.029</v>
      </c>
      <c r="J40" s="422"/>
      <c r="K40" s="422"/>
      <c r="L40" s="433" t="str">
        <f>IF(F40="","",(K40-J40)*24)</f>
        <v/>
      </c>
      <c r="M40" s="434" t="str">
        <f>IF(F40="","",ROUND((K40-J40)*24*60,0))</f>
        <v/>
      </c>
      <c r="N40" s="435"/>
      <c r="O40" s="436" t="str">
        <f t="shared" si="0"/>
        <v/>
      </c>
      <c r="P40" s="437">
        <f>IF(H40=220,$H$14,IF(AND(H40&lt;=132,H40&gt;=66),$H$15,IF(AND(H40&lt;66,H40&gt;=33),$H$16,$H$17)))</f>
        <v>40</v>
      </c>
      <c r="Q40" s="438" t="str">
        <f>IF(N40="P",I40*P40*ROUND(M40/60,2)*0.1,"--")</f>
        <v>--</v>
      </c>
      <c r="R40" s="425" t="str">
        <f>IF(AND(N40="F",O40="NO"),I40*P40,"--")</f>
        <v>--</v>
      </c>
      <c r="S40" s="426" t="str">
        <f>IF(N40="F",I40*P40*ROUND(M40/60,2),"--")</f>
        <v>--</v>
      </c>
      <c r="T40" s="427" t="str">
        <f>IF(N40="RF",I40*P40*ROUND(M40/60,2),"--")</f>
        <v>--</v>
      </c>
      <c r="U40" s="435" t="str">
        <f>IF(F40="","","SI")</f>
        <v/>
      </c>
      <c r="V40" s="439" t="str">
        <f t="shared" si="9"/>
        <v/>
      </c>
      <c r="W40" s="145"/>
    </row>
    <row r="41" spans="1:23" s="7" customFormat="1" ht="17.100000000000001" customHeight="1" x14ac:dyDescent="0.25">
      <c r="B41" s="32"/>
      <c r="C41" s="419"/>
      <c r="D41" s="419"/>
      <c r="E41" s="419"/>
      <c r="F41" s="430"/>
      <c r="G41" s="430"/>
      <c r="H41" s="431"/>
      <c r="I41" s="432">
        <f>IF(H41=220,$G$14,IF(AND(H41&lt;=132,H41&gt;=66),$G$15,IF(AND(H41&lt;66,H41&gt;=33),$G$16,$G$17)))</f>
        <v>12.029</v>
      </c>
      <c r="J41" s="422"/>
      <c r="K41" s="422"/>
      <c r="L41" s="433" t="str">
        <f>IF(F41="","",(K41-J41)*24)</f>
        <v/>
      </c>
      <c r="M41" s="434" t="str">
        <f>IF(F41="","",ROUND((K41-J41)*24*60,0))</f>
        <v/>
      </c>
      <c r="N41" s="435"/>
      <c r="O41" s="436" t="str">
        <f t="shared" si="0"/>
        <v/>
      </c>
      <c r="P41" s="437">
        <f>IF(H41=220,$H$14,IF(AND(H41&lt;=132,H41&gt;=66),$H$15,IF(AND(H41&lt;66,H41&gt;=33),$H$16,$H$17)))</f>
        <v>40</v>
      </c>
      <c r="Q41" s="438" t="str">
        <f>IF(N41="P",I41*P41*ROUND(M41/60,2)*0.1,"--")</f>
        <v>--</v>
      </c>
      <c r="R41" s="425" t="str">
        <f>IF(AND(N41="F",O41="NO"),I41*P41,"--")</f>
        <v>--</v>
      </c>
      <c r="S41" s="426" t="str">
        <f>IF(N41="F",I41*P41*ROUND(M41/60,2),"--")</f>
        <v>--</v>
      </c>
      <c r="T41" s="427" t="str">
        <f>IF(N41="RF",I41*P41*ROUND(M41/60,2),"--")</f>
        <v>--</v>
      </c>
      <c r="U41" s="435" t="str">
        <f>IF(F41="","","SI")</f>
        <v/>
      </c>
      <c r="V41" s="439" t="str">
        <f t="shared" si="9"/>
        <v/>
      </c>
      <c r="W41" s="145"/>
    </row>
    <row r="42" spans="1:23" s="7" customFormat="1" ht="17.100000000000001" customHeight="1" thickBot="1" x14ac:dyDescent="0.3">
      <c r="B42" s="32"/>
      <c r="C42" s="440"/>
      <c r="D42" s="440"/>
      <c r="E42" s="440"/>
      <c r="F42" s="440"/>
      <c r="G42" s="440"/>
      <c r="H42" s="440"/>
      <c r="I42" s="441"/>
      <c r="J42" s="440"/>
      <c r="K42" s="440"/>
      <c r="L42" s="442"/>
      <c r="M42" s="442"/>
      <c r="N42" s="440"/>
      <c r="O42" s="440"/>
      <c r="P42" s="443"/>
      <c r="Q42" s="444"/>
      <c r="R42" s="445"/>
      <c r="S42" s="446"/>
      <c r="T42" s="447"/>
      <c r="U42" s="442"/>
      <c r="V42" s="448"/>
      <c r="W42" s="145"/>
    </row>
    <row r="43" spans="1:23" s="7" customFormat="1" ht="17.100000000000001" customHeight="1" thickTop="1" thickBot="1" x14ac:dyDescent="0.3">
      <c r="B43" s="32"/>
      <c r="C43" s="196" t="s">
        <v>38</v>
      </c>
      <c r="D43" s="387" t="s">
        <v>174</v>
      </c>
      <c r="E43" s="198"/>
      <c r="F43" s="197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49">
        <f>SUM(Q20:Q42)</f>
        <v>448.08025000000009</v>
      </c>
      <c r="R43" s="450">
        <f>SUM(R20:R42)</f>
        <v>601.45000000000005</v>
      </c>
      <c r="S43" s="450">
        <f>SUM(S20:S42)</f>
        <v>9484.8665000000001</v>
      </c>
      <c r="T43" s="451">
        <f>SUM(T20:T42)</f>
        <v>0</v>
      </c>
      <c r="U43" s="452"/>
      <c r="V43" s="228">
        <f>ROUND(SUM(V20:V42),2)</f>
        <v>10534.4</v>
      </c>
      <c r="W43" s="145"/>
    </row>
    <row r="44" spans="1:23" s="211" customFormat="1" ht="9.75" thickTop="1" x14ac:dyDescent="0.15">
      <c r="B44" s="201"/>
      <c r="C44" s="198"/>
      <c r="D44" s="198"/>
      <c r="E44" s="198"/>
      <c r="F44" s="199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7"/>
      <c r="V44" s="218"/>
      <c r="W44" s="219"/>
    </row>
    <row r="45" spans="1:23" s="7" customFormat="1" ht="17.100000000000001" customHeight="1" thickBot="1" x14ac:dyDescent="0.25">
      <c r="A45" s="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</row>
    <row r="46" spans="1:23" ht="17.100000000000001" customHeight="1" thickTop="1" x14ac:dyDescent="0.2">
      <c r="A46" s="453"/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</row>
    <row r="47" spans="1:23" ht="17.100000000000001" customHeight="1" x14ac:dyDescent="0.2">
      <c r="C47" s="453"/>
      <c r="D47" s="453"/>
      <c r="E47" s="453"/>
      <c r="F47" s="453"/>
    </row>
    <row r="48" spans="1:23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</sheetData>
  <pageMargins left="0.39370078740157483" right="0.19685039370078741" top="0.78740157480314965" bottom="0.6" header="0.51181102362204722" footer="0.21"/>
  <pageSetup paperSize="9" scale="66" orientation="landscape" horizontalDpi="1200" verticalDpi="1200" r:id="rId1"/>
  <headerFooter alignWithMargins="0">
    <oddFooter>&amp;L&amp;"Times New Roman,Normal"&amp;8&amp;Z&amp;F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Button 1">
              <controlPr defaultSize="0" print="0" autoFill="0" autoPict="0" macro="[2]!Actualizar_Referencias">
                <anchor moveWithCells="1" sizeWithCells="1">
                  <from>
                    <xdr:col>0</xdr:col>
                    <xdr:colOff>28575</xdr:colOff>
                    <xdr:row>42</xdr:row>
                    <xdr:rowOff>9525</xdr:rowOff>
                  </from>
                  <to>
                    <xdr:col>2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B116"/>
  <sheetViews>
    <sheetView topLeftCell="B1" zoomScale="80" zoomScaleNormal="80" workbookViewId="0">
      <selection activeCell="M37" sqref="M37"/>
    </sheetView>
  </sheetViews>
  <sheetFormatPr baseColWidth="10" defaultColWidth="13.42578125" defaultRowHeight="12.75" outlineLevelCol="1" x14ac:dyDescent="0.2"/>
  <cols>
    <col min="1" max="1" width="43" style="491" customWidth="1"/>
    <col min="2" max="2" width="15.7109375" style="491" customWidth="1"/>
    <col min="3" max="3" width="4.7109375" style="491" customWidth="1"/>
    <col min="4" max="4" width="41.140625" style="491" customWidth="1"/>
    <col min="5" max="5" width="16.5703125" style="491" customWidth="1"/>
    <col min="6" max="6" width="10.85546875" style="491" customWidth="1"/>
    <col min="7" max="7" width="11.7109375" style="491" hidden="1" customWidth="1"/>
    <col min="8" max="8" width="16.28515625" style="491" customWidth="1"/>
    <col min="9" max="9" width="16.140625" style="491" customWidth="1"/>
    <col min="10" max="10" width="8.7109375" style="491" customWidth="1"/>
    <col min="11" max="11" width="12.7109375" style="491" customWidth="1"/>
    <col min="12" max="12" width="10.42578125" style="491" customWidth="1"/>
    <col min="13" max="13" width="15.42578125" style="491" customWidth="1"/>
    <col min="14" max="14" width="13.140625" style="491" hidden="1" customWidth="1" outlineLevel="1"/>
    <col min="15" max="15" width="12.28515625" style="491" hidden="1" customWidth="1" outlineLevel="1"/>
    <col min="16" max="17" width="11.140625" style="491" hidden="1" customWidth="1" outlineLevel="1"/>
    <col min="18" max="21" width="4" style="491" hidden="1" customWidth="1" outlineLevel="1"/>
    <col min="22" max="23" width="12.28515625" style="491" hidden="1" customWidth="1" outlineLevel="1"/>
    <col min="24" max="24" width="15.7109375" style="491" customWidth="1" collapsed="1"/>
    <col min="25" max="256" width="13.42578125" style="491"/>
    <col min="257" max="257" width="43" style="491" customWidth="1"/>
    <col min="258" max="258" width="15.7109375" style="491" customWidth="1"/>
    <col min="259" max="259" width="4.7109375" style="491" customWidth="1"/>
    <col min="260" max="260" width="41.140625" style="491" customWidth="1"/>
    <col min="261" max="261" width="16.5703125" style="491" customWidth="1"/>
    <col min="262" max="262" width="10.85546875" style="491" customWidth="1"/>
    <col min="263" max="263" width="0" style="491" hidden="1" customWidth="1"/>
    <col min="264" max="264" width="16.28515625" style="491" customWidth="1"/>
    <col min="265" max="265" width="16.140625" style="491" customWidth="1"/>
    <col min="266" max="266" width="8.7109375" style="491" customWidth="1"/>
    <col min="267" max="267" width="12.7109375" style="491" customWidth="1"/>
    <col min="268" max="268" width="10.42578125" style="491" customWidth="1"/>
    <col min="269" max="269" width="15.42578125" style="491" customWidth="1"/>
    <col min="270" max="279" width="0" style="491" hidden="1" customWidth="1"/>
    <col min="280" max="280" width="15.7109375" style="491" customWidth="1"/>
    <col min="281" max="512" width="13.42578125" style="491"/>
    <col min="513" max="513" width="43" style="491" customWidth="1"/>
    <col min="514" max="514" width="15.7109375" style="491" customWidth="1"/>
    <col min="515" max="515" width="4.7109375" style="491" customWidth="1"/>
    <col min="516" max="516" width="41.140625" style="491" customWidth="1"/>
    <col min="517" max="517" width="16.5703125" style="491" customWidth="1"/>
    <col min="518" max="518" width="10.85546875" style="491" customWidth="1"/>
    <col min="519" max="519" width="0" style="491" hidden="1" customWidth="1"/>
    <col min="520" max="520" width="16.28515625" style="491" customWidth="1"/>
    <col min="521" max="521" width="16.140625" style="491" customWidth="1"/>
    <col min="522" max="522" width="8.7109375" style="491" customWidth="1"/>
    <col min="523" max="523" width="12.7109375" style="491" customWidth="1"/>
    <col min="524" max="524" width="10.42578125" style="491" customWidth="1"/>
    <col min="525" max="525" width="15.42578125" style="491" customWidth="1"/>
    <col min="526" max="535" width="0" style="491" hidden="1" customWidth="1"/>
    <col min="536" max="536" width="15.7109375" style="491" customWidth="1"/>
    <col min="537" max="768" width="13.42578125" style="491"/>
    <col min="769" max="769" width="43" style="491" customWidth="1"/>
    <col min="770" max="770" width="15.7109375" style="491" customWidth="1"/>
    <col min="771" max="771" width="4.7109375" style="491" customWidth="1"/>
    <col min="772" max="772" width="41.140625" style="491" customWidth="1"/>
    <col min="773" max="773" width="16.5703125" style="491" customWidth="1"/>
    <col min="774" max="774" width="10.85546875" style="491" customWidth="1"/>
    <col min="775" max="775" width="0" style="491" hidden="1" customWidth="1"/>
    <col min="776" max="776" width="16.28515625" style="491" customWidth="1"/>
    <col min="777" max="777" width="16.140625" style="491" customWidth="1"/>
    <col min="778" max="778" width="8.7109375" style="491" customWidth="1"/>
    <col min="779" max="779" width="12.7109375" style="491" customWidth="1"/>
    <col min="780" max="780" width="10.42578125" style="491" customWidth="1"/>
    <col min="781" max="781" width="15.42578125" style="491" customWidth="1"/>
    <col min="782" max="791" width="0" style="491" hidden="1" customWidth="1"/>
    <col min="792" max="792" width="15.7109375" style="491" customWidth="1"/>
    <col min="793" max="1024" width="13.42578125" style="491"/>
    <col min="1025" max="1025" width="43" style="491" customWidth="1"/>
    <col min="1026" max="1026" width="15.7109375" style="491" customWidth="1"/>
    <col min="1027" max="1027" width="4.7109375" style="491" customWidth="1"/>
    <col min="1028" max="1028" width="41.140625" style="491" customWidth="1"/>
    <col min="1029" max="1029" width="16.5703125" style="491" customWidth="1"/>
    <col min="1030" max="1030" width="10.85546875" style="491" customWidth="1"/>
    <col min="1031" max="1031" width="0" style="491" hidden="1" customWidth="1"/>
    <col min="1032" max="1032" width="16.28515625" style="491" customWidth="1"/>
    <col min="1033" max="1033" width="16.140625" style="491" customWidth="1"/>
    <col min="1034" max="1034" width="8.7109375" style="491" customWidth="1"/>
    <col min="1035" max="1035" width="12.7109375" style="491" customWidth="1"/>
    <col min="1036" max="1036" width="10.42578125" style="491" customWidth="1"/>
    <col min="1037" max="1037" width="15.42578125" style="491" customWidth="1"/>
    <col min="1038" max="1047" width="0" style="491" hidden="1" customWidth="1"/>
    <col min="1048" max="1048" width="15.7109375" style="491" customWidth="1"/>
    <col min="1049" max="1280" width="13.42578125" style="491"/>
    <col min="1281" max="1281" width="43" style="491" customWidth="1"/>
    <col min="1282" max="1282" width="15.7109375" style="491" customWidth="1"/>
    <col min="1283" max="1283" width="4.7109375" style="491" customWidth="1"/>
    <col min="1284" max="1284" width="41.140625" style="491" customWidth="1"/>
    <col min="1285" max="1285" width="16.5703125" style="491" customWidth="1"/>
    <col min="1286" max="1286" width="10.85546875" style="491" customWidth="1"/>
    <col min="1287" max="1287" width="0" style="491" hidden="1" customWidth="1"/>
    <col min="1288" max="1288" width="16.28515625" style="491" customWidth="1"/>
    <col min="1289" max="1289" width="16.140625" style="491" customWidth="1"/>
    <col min="1290" max="1290" width="8.7109375" style="491" customWidth="1"/>
    <col min="1291" max="1291" width="12.7109375" style="491" customWidth="1"/>
    <col min="1292" max="1292" width="10.42578125" style="491" customWidth="1"/>
    <col min="1293" max="1293" width="15.42578125" style="491" customWidth="1"/>
    <col min="1294" max="1303" width="0" style="491" hidden="1" customWidth="1"/>
    <col min="1304" max="1304" width="15.7109375" style="491" customWidth="1"/>
    <col min="1305" max="1536" width="13.42578125" style="491"/>
    <col min="1537" max="1537" width="43" style="491" customWidth="1"/>
    <col min="1538" max="1538" width="15.7109375" style="491" customWidth="1"/>
    <col min="1539" max="1539" width="4.7109375" style="491" customWidth="1"/>
    <col min="1540" max="1540" width="41.140625" style="491" customWidth="1"/>
    <col min="1541" max="1541" width="16.5703125" style="491" customWidth="1"/>
    <col min="1542" max="1542" width="10.85546875" style="491" customWidth="1"/>
    <col min="1543" max="1543" width="0" style="491" hidden="1" customWidth="1"/>
    <col min="1544" max="1544" width="16.28515625" style="491" customWidth="1"/>
    <col min="1545" max="1545" width="16.140625" style="491" customWidth="1"/>
    <col min="1546" max="1546" width="8.7109375" style="491" customWidth="1"/>
    <col min="1547" max="1547" width="12.7109375" style="491" customWidth="1"/>
    <col min="1548" max="1548" width="10.42578125" style="491" customWidth="1"/>
    <col min="1549" max="1549" width="15.42578125" style="491" customWidth="1"/>
    <col min="1550" max="1559" width="0" style="491" hidden="1" customWidth="1"/>
    <col min="1560" max="1560" width="15.7109375" style="491" customWidth="1"/>
    <col min="1561" max="1792" width="13.42578125" style="491"/>
    <col min="1793" max="1793" width="43" style="491" customWidth="1"/>
    <col min="1794" max="1794" width="15.7109375" style="491" customWidth="1"/>
    <col min="1795" max="1795" width="4.7109375" style="491" customWidth="1"/>
    <col min="1796" max="1796" width="41.140625" style="491" customWidth="1"/>
    <col min="1797" max="1797" width="16.5703125" style="491" customWidth="1"/>
    <col min="1798" max="1798" width="10.85546875" style="491" customWidth="1"/>
    <col min="1799" max="1799" width="0" style="491" hidden="1" customWidth="1"/>
    <col min="1800" max="1800" width="16.28515625" style="491" customWidth="1"/>
    <col min="1801" max="1801" width="16.140625" style="491" customWidth="1"/>
    <col min="1802" max="1802" width="8.7109375" style="491" customWidth="1"/>
    <col min="1803" max="1803" width="12.7109375" style="491" customWidth="1"/>
    <col min="1804" max="1804" width="10.42578125" style="491" customWidth="1"/>
    <col min="1805" max="1805" width="15.42578125" style="491" customWidth="1"/>
    <col min="1806" max="1815" width="0" style="491" hidden="1" customWidth="1"/>
    <col min="1816" max="1816" width="15.7109375" style="491" customWidth="1"/>
    <col min="1817" max="2048" width="13.42578125" style="491"/>
    <col min="2049" max="2049" width="43" style="491" customWidth="1"/>
    <col min="2050" max="2050" width="15.7109375" style="491" customWidth="1"/>
    <col min="2051" max="2051" width="4.7109375" style="491" customWidth="1"/>
    <col min="2052" max="2052" width="41.140625" style="491" customWidth="1"/>
    <col min="2053" max="2053" width="16.5703125" style="491" customWidth="1"/>
    <col min="2054" max="2054" width="10.85546875" style="491" customWidth="1"/>
    <col min="2055" max="2055" width="0" style="491" hidden="1" customWidth="1"/>
    <col min="2056" max="2056" width="16.28515625" style="491" customWidth="1"/>
    <col min="2057" max="2057" width="16.140625" style="491" customWidth="1"/>
    <col min="2058" max="2058" width="8.7109375" style="491" customWidth="1"/>
    <col min="2059" max="2059" width="12.7109375" style="491" customWidth="1"/>
    <col min="2060" max="2060" width="10.42578125" style="491" customWidth="1"/>
    <col min="2061" max="2061" width="15.42578125" style="491" customWidth="1"/>
    <col min="2062" max="2071" width="0" style="491" hidden="1" customWidth="1"/>
    <col min="2072" max="2072" width="15.7109375" style="491" customWidth="1"/>
    <col min="2073" max="2304" width="13.42578125" style="491"/>
    <col min="2305" max="2305" width="43" style="491" customWidth="1"/>
    <col min="2306" max="2306" width="15.7109375" style="491" customWidth="1"/>
    <col min="2307" max="2307" width="4.7109375" style="491" customWidth="1"/>
    <col min="2308" max="2308" width="41.140625" style="491" customWidth="1"/>
    <col min="2309" max="2309" width="16.5703125" style="491" customWidth="1"/>
    <col min="2310" max="2310" width="10.85546875" style="491" customWidth="1"/>
    <col min="2311" max="2311" width="0" style="491" hidden="1" customWidth="1"/>
    <col min="2312" max="2312" width="16.28515625" style="491" customWidth="1"/>
    <col min="2313" max="2313" width="16.140625" style="491" customWidth="1"/>
    <col min="2314" max="2314" width="8.7109375" style="491" customWidth="1"/>
    <col min="2315" max="2315" width="12.7109375" style="491" customWidth="1"/>
    <col min="2316" max="2316" width="10.42578125" style="491" customWidth="1"/>
    <col min="2317" max="2317" width="15.42578125" style="491" customWidth="1"/>
    <col min="2318" max="2327" width="0" style="491" hidden="1" customWidth="1"/>
    <col min="2328" max="2328" width="15.7109375" style="491" customWidth="1"/>
    <col min="2329" max="2560" width="13.42578125" style="491"/>
    <col min="2561" max="2561" width="43" style="491" customWidth="1"/>
    <col min="2562" max="2562" width="15.7109375" style="491" customWidth="1"/>
    <col min="2563" max="2563" width="4.7109375" style="491" customWidth="1"/>
    <col min="2564" max="2564" width="41.140625" style="491" customWidth="1"/>
    <col min="2565" max="2565" width="16.5703125" style="491" customWidth="1"/>
    <col min="2566" max="2566" width="10.85546875" style="491" customWidth="1"/>
    <col min="2567" max="2567" width="0" style="491" hidden="1" customWidth="1"/>
    <col min="2568" max="2568" width="16.28515625" style="491" customWidth="1"/>
    <col min="2569" max="2569" width="16.140625" style="491" customWidth="1"/>
    <col min="2570" max="2570" width="8.7109375" style="491" customWidth="1"/>
    <col min="2571" max="2571" width="12.7109375" style="491" customWidth="1"/>
    <col min="2572" max="2572" width="10.42578125" style="491" customWidth="1"/>
    <col min="2573" max="2573" width="15.42578125" style="491" customWidth="1"/>
    <col min="2574" max="2583" width="0" style="491" hidden="1" customWidth="1"/>
    <col min="2584" max="2584" width="15.7109375" style="491" customWidth="1"/>
    <col min="2585" max="2816" width="13.42578125" style="491"/>
    <col min="2817" max="2817" width="43" style="491" customWidth="1"/>
    <col min="2818" max="2818" width="15.7109375" style="491" customWidth="1"/>
    <col min="2819" max="2819" width="4.7109375" style="491" customWidth="1"/>
    <col min="2820" max="2820" width="41.140625" style="491" customWidth="1"/>
    <col min="2821" max="2821" width="16.5703125" style="491" customWidth="1"/>
    <col min="2822" max="2822" width="10.85546875" style="491" customWidth="1"/>
    <col min="2823" max="2823" width="0" style="491" hidden="1" customWidth="1"/>
    <col min="2824" max="2824" width="16.28515625" style="491" customWidth="1"/>
    <col min="2825" max="2825" width="16.140625" style="491" customWidth="1"/>
    <col min="2826" max="2826" width="8.7109375" style="491" customWidth="1"/>
    <col min="2827" max="2827" width="12.7109375" style="491" customWidth="1"/>
    <col min="2828" max="2828" width="10.42578125" style="491" customWidth="1"/>
    <col min="2829" max="2829" width="15.42578125" style="491" customWidth="1"/>
    <col min="2830" max="2839" width="0" style="491" hidden="1" customWidth="1"/>
    <col min="2840" max="2840" width="15.7109375" style="491" customWidth="1"/>
    <col min="2841" max="3072" width="13.42578125" style="491"/>
    <col min="3073" max="3073" width="43" style="491" customWidth="1"/>
    <col min="3074" max="3074" width="15.7109375" style="491" customWidth="1"/>
    <col min="3075" max="3075" width="4.7109375" style="491" customWidth="1"/>
    <col min="3076" max="3076" width="41.140625" style="491" customWidth="1"/>
    <col min="3077" max="3077" width="16.5703125" style="491" customWidth="1"/>
    <col min="3078" max="3078" width="10.85546875" style="491" customWidth="1"/>
    <col min="3079" max="3079" width="0" style="491" hidden="1" customWidth="1"/>
    <col min="3080" max="3080" width="16.28515625" style="491" customWidth="1"/>
    <col min="3081" max="3081" width="16.140625" style="491" customWidth="1"/>
    <col min="3082" max="3082" width="8.7109375" style="491" customWidth="1"/>
    <col min="3083" max="3083" width="12.7109375" style="491" customWidth="1"/>
    <col min="3084" max="3084" width="10.42578125" style="491" customWidth="1"/>
    <col min="3085" max="3085" width="15.42578125" style="491" customWidth="1"/>
    <col min="3086" max="3095" width="0" style="491" hidden="1" customWidth="1"/>
    <col min="3096" max="3096" width="15.7109375" style="491" customWidth="1"/>
    <col min="3097" max="3328" width="13.42578125" style="491"/>
    <col min="3329" max="3329" width="43" style="491" customWidth="1"/>
    <col min="3330" max="3330" width="15.7109375" style="491" customWidth="1"/>
    <col min="3331" max="3331" width="4.7109375" style="491" customWidth="1"/>
    <col min="3332" max="3332" width="41.140625" style="491" customWidth="1"/>
    <col min="3333" max="3333" width="16.5703125" style="491" customWidth="1"/>
    <col min="3334" max="3334" width="10.85546875" style="491" customWidth="1"/>
    <col min="3335" max="3335" width="0" style="491" hidden="1" customWidth="1"/>
    <col min="3336" max="3336" width="16.28515625" style="491" customWidth="1"/>
    <col min="3337" max="3337" width="16.140625" style="491" customWidth="1"/>
    <col min="3338" max="3338" width="8.7109375" style="491" customWidth="1"/>
    <col min="3339" max="3339" width="12.7109375" style="491" customWidth="1"/>
    <col min="3340" max="3340" width="10.42578125" style="491" customWidth="1"/>
    <col min="3341" max="3341" width="15.42578125" style="491" customWidth="1"/>
    <col min="3342" max="3351" width="0" style="491" hidden="1" customWidth="1"/>
    <col min="3352" max="3352" width="15.7109375" style="491" customWidth="1"/>
    <col min="3353" max="3584" width="13.42578125" style="491"/>
    <col min="3585" max="3585" width="43" style="491" customWidth="1"/>
    <col min="3586" max="3586" width="15.7109375" style="491" customWidth="1"/>
    <col min="3587" max="3587" width="4.7109375" style="491" customWidth="1"/>
    <col min="3588" max="3588" width="41.140625" style="491" customWidth="1"/>
    <col min="3589" max="3589" width="16.5703125" style="491" customWidth="1"/>
    <col min="3590" max="3590" width="10.85546875" style="491" customWidth="1"/>
    <col min="3591" max="3591" width="0" style="491" hidden="1" customWidth="1"/>
    <col min="3592" max="3592" width="16.28515625" style="491" customWidth="1"/>
    <col min="3593" max="3593" width="16.140625" style="491" customWidth="1"/>
    <col min="3594" max="3594" width="8.7109375" style="491" customWidth="1"/>
    <col min="3595" max="3595" width="12.7109375" style="491" customWidth="1"/>
    <col min="3596" max="3596" width="10.42578125" style="491" customWidth="1"/>
    <col min="3597" max="3597" width="15.42578125" style="491" customWidth="1"/>
    <col min="3598" max="3607" width="0" style="491" hidden="1" customWidth="1"/>
    <col min="3608" max="3608" width="15.7109375" style="491" customWidth="1"/>
    <col min="3609" max="3840" width="13.42578125" style="491"/>
    <col min="3841" max="3841" width="43" style="491" customWidth="1"/>
    <col min="3842" max="3842" width="15.7109375" style="491" customWidth="1"/>
    <col min="3843" max="3843" width="4.7109375" style="491" customWidth="1"/>
    <col min="3844" max="3844" width="41.140625" style="491" customWidth="1"/>
    <col min="3845" max="3845" width="16.5703125" style="491" customWidth="1"/>
    <col min="3846" max="3846" width="10.85546875" style="491" customWidth="1"/>
    <col min="3847" max="3847" width="0" style="491" hidden="1" customWidth="1"/>
    <col min="3848" max="3848" width="16.28515625" style="491" customWidth="1"/>
    <col min="3849" max="3849" width="16.140625" style="491" customWidth="1"/>
    <col min="3850" max="3850" width="8.7109375" style="491" customWidth="1"/>
    <col min="3851" max="3851" width="12.7109375" style="491" customWidth="1"/>
    <col min="3852" max="3852" width="10.42578125" style="491" customWidth="1"/>
    <col min="3853" max="3853" width="15.42578125" style="491" customWidth="1"/>
    <col min="3854" max="3863" width="0" style="491" hidden="1" customWidth="1"/>
    <col min="3864" max="3864" width="15.7109375" style="491" customWidth="1"/>
    <col min="3865" max="4096" width="13.42578125" style="491"/>
    <col min="4097" max="4097" width="43" style="491" customWidth="1"/>
    <col min="4098" max="4098" width="15.7109375" style="491" customWidth="1"/>
    <col min="4099" max="4099" width="4.7109375" style="491" customWidth="1"/>
    <col min="4100" max="4100" width="41.140625" style="491" customWidth="1"/>
    <col min="4101" max="4101" width="16.5703125" style="491" customWidth="1"/>
    <col min="4102" max="4102" width="10.85546875" style="491" customWidth="1"/>
    <col min="4103" max="4103" width="0" style="491" hidden="1" customWidth="1"/>
    <col min="4104" max="4104" width="16.28515625" style="491" customWidth="1"/>
    <col min="4105" max="4105" width="16.140625" style="491" customWidth="1"/>
    <col min="4106" max="4106" width="8.7109375" style="491" customWidth="1"/>
    <col min="4107" max="4107" width="12.7109375" style="491" customWidth="1"/>
    <col min="4108" max="4108" width="10.42578125" style="491" customWidth="1"/>
    <col min="4109" max="4109" width="15.42578125" style="491" customWidth="1"/>
    <col min="4110" max="4119" width="0" style="491" hidden="1" customWidth="1"/>
    <col min="4120" max="4120" width="15.7109375" style="491" customWidth="1"/>
    <col min="4121" max="4352" width="13.42578125" style="491"/>
    <col min="4353" max="4353" width="43" style="491" customWidth="1"/>
    <col min="4354" max="4354" width="15.7109375" style="491" customWidth="1"/>
    <col min="4355" max="4355" width="4.7109375" style="491" customWidth="1"/>
    <col min="4356" max="4356" width="41.140625" style="491" customWidth="1"/>
    <col min="4357" max="4357" width="16.5703125" style="491" customWidth="1"/>
    <col min="4358" max="4358" width="10.85546875" style="491" customWidth="1"/>
    <col min="4359" max="4359" width="0" style="491" hidden="1" customWidth="1"/>
    <col min="4360" max="4360" width="16.28515625" style="491" customWidth="1"/>
    <col min="4361" max="4361" width="16.140625" style="491" customWidth="1"/>
    <col min="4362" max="4362" width="8.7109375" style="491" customWidth="1"/>
    <col min="4363" max="4363" width="12.7109375" style="491" customWidth="1"/>
    <col min="4364" max="4364" width="10.42578125" style="491" customWidth="1"/>
    <col min="4365" max="4365" width="15.42578125" style="491" customWidth="1"/>
    <col min="4366" max="4375" width="0" style="491" hidden="1" customWidth="1"/>
    <col min="4376" max="4376" width="15.7109375" style="491" customWidth="1"/>
    <col min="4377" max="4608" width="13.42578125" style="491"/>
    <col min="4609" max="4609" width="43" style="491" customWidth="1"/>
    <col min="4610" max="4610" width="15.7109375" style="491" customWidth="1"/>
    <col min="4611" max="4611" width="4.7109375" style="491" customWidth="1"/>
    <col min="4612" max="4612" width="41.140625" style="491" customWidth="1"/>
    <col min="4613" max="4613" width="16.5703125" style="491" customWidth="1"/>
    <col min="4614" max="4614" width="10.85546875" style="491" customWidth="1"/>
    <col min="4615" max="4615" width="0" style="491" hidden="1" customWidth="1"/>
    <col min="4616" max="4616" width="16.28515625" style="491" customWidth="1"/>
    <col min="4617" max="4617" width="16.140625" style="491" customWidth="1"/>
    <col min="4618" max="4618" width="8.7109375" style="491" customWidth="1"/>
    <col min="4619" max="4619" width="12.7109375" style="491" customWidth="1"/>
    <col min="4620" max="4620" width="10.42578125" style="491" customWidth="1"/>
    <col min="4621" max="4621" width="15.42578125" style="491" customWidth="1"/>
    <col min="4622" max="4631" width="0" style="491" hidden="1" customWidth="1"/>
    <col min="4632" max="4632" width="15.7109375" style="491" customWidth="1"/>
    <col min="4633" max="4864" width="13.42578125" style="491"/>
    <col min="4865" max="4865" width="43" style="491" customWidth="1"/>
    <col min="4866" max="4866" width="15.7109375" style="491" customWidth="1"/>
    <col min="4867" max="4867" width="4.7109375" style="491" customWidth="1"/>
    <col min="4868" max="4868" width="41.140625" style="491" customWidth="1"/>
    <col min="4869" max="4869" width="16.5703125" style="491" customWidth="1"/>
    <col min="4870" max="4870" width="10.85546875" style="491" customWidth="1"/>
    <col min="4871" max="4871" width="0" style="491" hidden="1" customWidth="1"/>
    <col min="4872" max="4872" width="16.28515625" style="491" customWidth="1"/>
    <col min="4873" max="4873" width="16.140625" style="491" customWidth="1"/>
    <col min="4874" max="4874" width="8.7109375" style="491" customWidth="1"/>
    <col min="4875" max="4875" width="12.7109375" style="491" customWidth="1"/>
    <col min="4876" max="4876" width="10.42578125" style="491" customWidth="1"/>
    <col min="4877" max="4877" width="15.42578125" style="491" customWidth="1"/>
    <col min="4878" max="4887" width="0" style="491" hidden="1" customWidth="1"/>
    <col min="4888" max="4888" width="15.7109375" style="491" customWidth="1"/>
    <col min="4889" max="5120" width="13.42578125" style="491"/>
    <col min="5121" max="5121" width="43" style="491" customWidth="1"/>
    <col min="5122" max="5122" width="15.7109375" style="491" customWidth="1"/>
    <col min="5123" max="5123" width="4.7109375" style="491" customWidth="1"/>
    <col min="5124" max="5124" width="41.140625" style="491" customWidth="1"/>
    <col min="5125" max="5125" width="16.5703125" style="491" customWidth="1"/>
    <col min="5126" max="5126" width="10.85546875" style="491" customWidth="1"/>
    <col min="5127" max="5127" width="0" style="491" hidden="1" customWidth="1"/>
    <col min="5128" max="5128" width="16.28515625" style="491" customWidth="1"/>
    <col min="5129" max="5129" width="16.140625" style="491" customWidth="1"/>
    <col min="5130" max="5130" width="8.7109375" style="491" customWidth="1"/>
    <col min="5131" max="5131" width="12.7109375" style="491" customWidth="1"/>
    <col min="5132" max="5132" width="10.42578125" style="491" customWidth="1"/>
    <col min="5133" max="5133" width="15.42578125" style="491" customWidth="1"/>
    <col min="5134" max="5143" width="0" style="491" hidden="1" customWidth="1"/>
    <col min="5144" max="5144" width="15.7109375" style="491" customWidth="1"/>
    <col min="5145" max="5376" width="13.42578125" style="491"/>
    <col min="5377" max="5377" width="43" style="491" customWidth="1"/>
    <col min="5378" max="5378" width="15.7109375" style="491" customWidth="1"/>
    <col min="5379" max="5379" width="4.7109375" style="491" customWidth="1"/>
    <col min="5380" max="5380" width="41.140625" style="491" customWidth="1"/>
    <col min="5381" max="5381" width="16.5703125" style="491" customWidth="1"/>
    <col min="5382" max="5382" width="10.85546875" style="491" customWidth="1"/>
    <col min="5383" max="5383" width="0" style="491" hidden="1" customWidth="1"/>
    <col min="5384" max="5384" width="16.28515625" style="491" customWidth="1"/>
    <col min="5385" max="5385" width="16.140625" style="491" customWidth="1"/>
    <col min="5386" max="5386" width="8.7109375" style="491" customWidth="1"/>
    <col min="5387" max="5387" width="12.7109375" style="491" customWidth="1"/>
    <col min="5388" max="5388" width="10.42578125" style="491" customWidth="1"/>
    <col min="5389" max="5389" width="15.42578125" style="491" customWidth="1"/>
    <col min="5390" max="5399" width="0" style="491" hidden="1" customWidth="1"/>
    <col min="5400" max="5400" width="15.7109375" style="491" customWidth="1"/>
    <col min="5401" max="5632" width="13.42578125" style="491"/>
    <col min="5633" max="5633" width="43" style="491" customWidth="1"/>
    <col min="5634" max="5634" width="15.7109375" style="491" customWidth="1"/>
    <col min="5635" max="5635" width="4.7109375" style="491" customWidth="1"/>
    <col min="5636" max="5636" width="41.140625" style="491" customWidth="1"/>
    <col min="5637" max="5637" width="16.5703125" style="491" customWidth="1"/>
    <col min="5638" max="5638" width="10.85546875" style="491" customWidth="1"/>
    <col min="5639" max="5639" width="0" style="491" hidden="1" customWidth="1"/>
    <col min="5640" max="5640" width="16.28515625" style="491" customWidth="1"/>
    <col min="5641" max="5641" width="16.140625" style="491" customWidth="1"/>
    <col min="5642" max="5642" width="8.7109375" style="491" customWidth="1"/>
    <col min="5643" max="5643" width="12.7109375" style="491" customWidth="1"/>
    <col min="5644" max="5644" width="10.42578125" style="491" customWidth="1"/>
    <col min="5645" max="5645" width="15.42578125" style="491" customWidth="1"/>
    <col min="5646" max="5655" width="0" style="491" hidden="1" customWidth="1"/>
    <col min="5656" max="5656" width="15.7109375" style="491" customWidth="1"/>
    <col min="5657" max="5888" width="13.42578125" style="491"/>
    <col min="5889" max="5889" width="43" style="491" customWidth="1"/>
    <col min="5890" max="5890" width="15.7109375" style="491" customWidth="1"/>
    <col min="5891" max="5891" width="4.7109375" style="491" customWidth="1"/>
    <col min="5892" max="5892" width="41.140625" style="491" customWidth="1"/>
    <col min="5893" max="5893" width="16.5703125" style="491" customWidth="1"/>
    <col min="5894" max="5894" width="10.85546875" style="491" customWidth="1"/>
    <col min="5895" max="5895" width="0" style="491" hidden="1" customWidth="1"/>
    <col min="5896" max="5896" width="16.28515625" style="491" customWidth="1"/>
    <col min="5897" max="5897" width="16.140625" style="491" customWidth="1"/>
    <col min="5898" max="5898" width="8.7109375" style="491" customWidth="1"/>
    <col min="5899" max="5899" width="12.7109375" style="491" customWidth="1"/>
    <col min="5900" max="5900" width="10.42578125" style="491" customWidth="1"/>
    <col min="5901" max="5901" width="15.42578125" style="491" customWidth="1"/>
    <col min="5902" max="5911" width="0" style="491" hidden="1" customWidth="1"/>
    <col min="5912" max="5912" width="15.7109375" style="491" customWidth="1"/>
    <col min="5913" max="6144" width="13.42578125" style="491"/>
    <col min="6145" max="6145" width="43" style="491" customWidth="1"/>
    <col min="6146" max="6146" width="15.7109375" style="491" customWidth="1"/>
    <col min="6147" max="6147" width="4.7109375" style="491" customWidth="1"/>
    <col min="6148" max="6148" width="41.140625" style="491" customWidth="1"/>
    <col min="6149" max="6149" width="16.5703125" style="491" customWidth="1"/>
    <col min="6150" max="6150" width="10.85546875" style="491" customWidth="1"/>
    <col min="6151" max="6151" width="0" style="491" hidden="1" customWidth="1"/>
    <col min="6152" max="6152" width="16.28515625" style="491" customWidth="1"/>
    <col min="6153" max="6153" width="16.140625" style="491" customWidth="1"/>
    <col min="6154" max="6154" width="8.7109375" style="491" customWidth="1"/>
    <col min="6155" max="6155" width="12.7109375" style="491" customWidth="1"/>
    <col min="6156" max="6156" width="10.42578125" style="491" customWidth="1"/>
    <col min="6157" max="6157" width="15.42578125" style="491" customWidth="1"/>
    <col min="6158" max="6167" width="0" style="491" hidden="1" customWidth="1"/>
    <col min="6168" max="6168" width="15.7109375" style="491" customWidth="1"/>
    <col min="6169" max="6400" width="13.42578125" style="491"/>
    <col min="6401" max="6401" width="43" style="491" customWidth="1"/>
    <col min="6402" max="6402" width="15.7109375" style="491" customWidth="1"/>
    <col min="6403" max="6403" width="4.7109375" style="491" customWidth="1"/>
    <col min="6404" max="6404" width="41.140625" style="491" customWidth="1"/>
    <col min="6405" max="6405" width="16.5703125" style="491" customWidth="1"/>
    <col min="6406" max="6406" width="10.85546875" style="491" customWidth="1"/>
    <col min="6407" max="6407" width="0" style="491" hidden="1" customWidth="1"/>
    <col min="6408" max="6408" width="16.28515625" style="491" customWidth="1"/>
    <col min="6409" max="6409" width="16.140625" style="491" customWidth="1"/>
    <col min="6410" max="6410" width="8.7109375" style="491" customWidth="1"/>
    <col min="6411" max="6411" width="12.7109375" style="491" customWidth="1"/>
    <col min="6412" max="6412" width="10.42578125" style="491" customWidth="1"/>
    <col min="6413" max="6413" width="15.42578125" style="491" customWidth="1"/>
    <col min="6414" max="6423" width="0" style="491" hidden="1" customWidth="1"/>
    <col min="6424" max="6424" width="15.7109375" style="491" customWidth="1"/>
    <col min="6425" max="6656" width="13.42578125" style="491"/>
    <col min="6657" max="6657" width="43" style="491" customWidth="1"/>
    <col min="6658" max="6658" width="15.7109375" style="491" customWidth="1"/>
    <col min="6659" max="6659" width="4.7109375" style="491" customWidth="1"/>
    <col min="6660" max="6660" width="41.140625" style="491" customWidth="1"/>
    <col min="6661" max="6661" width="16.5703125" style="491" customWidth="1"/>
    <col min="6662" max="6662" width="10.85546875" style="491" customWidth="1"/>
    <col min="6663" max="6663" width="0" style="491" hidden="1" customWidth="1"/>
    <col min="6664" max="6664" width="16.28515625" style="491" customWidth="1"/>
    <col min="6665" max="6665" width="16.140625" style="491" customWidth="1"/>
    <col min="6666" max="6666" width="8.7109375" style="491" customWidth="1"/>
    <col min="6667" max="6667" width="12.7109375" style="491" customWidth="1"/>
    <col min="6668" max="6668" width="10.42578125" style="491" customWidth="1"/>
    <col min="6669" max="6669" width="15.42578125" style="491" customWidth="1"/>
    <col min="6670" max="6679" width="0" style="491" hidden="1" customWidth="1"/>
    <col min="6680" max="6680" width="15.7109375" style="491" customWidth="1"/>
    <col min="6681" max="6912" width="13.42578125" style="491"/>
    <col min="6913" max="6913" width="43" style="491" customWidth="1"/>
    <col min="6914" max="6914" width="15.7109375" style="491" customWidth="1"/>
    <col min="6915" max="6915" width="4.7109375" style="491" customWidth="1"/>
    <col min="6916" max="6916" width="41.140625" style="491" customWidth="1"/>
    <col min="6917" max="6917" width="16.5703125" style="491" customWidth="1"/>
    <col min="6918" max="6918" width="10.85546875" style="491" customWidth="1"/>
    <col min="6919" max="6919" width="0" style="491" hidden="1" customWidth="1"/>
    <col min="6920" max="6920" width="16.28515625" style="491" customWidth="1"/>
    <col min="6921" max="6921" width="16.140625" style="491" customWidth="1"/>
    <col min="6922" max="6922" width="8.7109375" style="491" customWidth="1"/>
    <col min="6923" max="6923" width="12.7109375" style="491" customWidth="1"/>
    <col min="6924" max="6924" width="10.42578125" style="491" customWidth="1"/>
    <col min="6925" max="6925" width="15.42578125" style="491" customWidth="1"/>
    <col min="6926" max="6935" width="0" style="491" hidden="1" customWidth="1"/>
    <col min="6936" max="6936" width="15.7109375" style="491" customWidth="1"/>
    <col min="6937" max="7168" width="13.42578125" style="491"/>
    <col min="7169" max="7169" width="43" style="491" customWidth="1"/>
    <col min="7170" max="7170" width="15.7109375" style="491" customWidth="1"/>
    <col min="7171" max="7171" width="4.7109375" style="491" customWidth="1"/>
    <col min="7172" max="7172" width="41.140625" style="491" customWidth="1"/>
    <col min="7173" max="7173" width="16.5703125" style="491" customWidth="1"/>
    <col min="7174" max="7174" width="10.85546875" style="491" customWidth="1"/>
    <col min="7175" max="7175" width="0" style="491" hidden="1" customWidth="1"/>
    <col min="7176" max="7176" width="16.28515625" style="491" customWidth="1"/>
    <col min="7177" max="7177" width="16.140625" style="491" customWidth="1"/>
    <col min="7178" max="7178" width="8.7109375" style="491" customWidth="1"/>
    <col min="7179" max="7179" width="12.7109375" style="491" customWidth="1"/>
    <col min="7180" max="7180" width="10.42578125" style="491" customWidth="1"/>
    <col min="7181" max="7181" width="15.42578125" style="491" customWidth="1"/>
    <col min="7182" max="7191" width="0" style="491" hidden="1" customWidth="1"/>
    <col min="7192" max="7192" width="15.7109375" style="491" customWidth="1"/>
    <col min="7193" max="7424" width="13.42578125" style="491"/>
    <col min="7425" max="7425" width="43" style="491" customWidth="1"/>
    <col min="7426" max="7426" width="15.7109375" style="491" customWidth="1"/>
    <col min="7427" max="7427" width="4.7109375" style="491" customWidth="1"/>
    <col min="7428" max="7428" width="41.140625" style="491" customWidth="1"/>
    <col min="7429" max="7429" width="16.5703125" style="491" customWidth="1"/>
    <col min="7430" max="7430" width="10.85546875" style="491" customWidth="1"/>
    <col min="7431" max="7431" width="0" style="491" hidden="1" customWidth="1"/>
    <col min="7432" max="7432" width="16.28515625" style="491" customWidth="1"/>
    <col min="7433" max="7433" width="16.140625" style="491" customWidth="1"/>
    <col min="7434" max="7434" width="8.7109375" style="491" customWidth="1"/>
    <col min="7435" max="7435" width="12.7109375" style="491" customWidth="1"/>
    <col min="7436" max="7436" width="10.42578125" style="491" customWidth="1"/>
    <col min="7437" max="7437" width="15.42578125" style="491" customWidth="1"/>
    <col min="7438" max="7447" width="0" style="491" hidden="1" customWidth="1"/>
    <col min="7448" max="7448" width="15.7109375" style="491" customWidth="1"/>
    <col min="7449" max="7680" width="13.42578125" style="491"/>
    <col min="7681" max="7681" width="43" style="491" customWidth="1"/>
    <col min="7682" max="7682" width="15.7109375" style="491" customWidth="1"/>
    <col min="7683" max="7683" width="4.7109375" style="491" customWidth="1"/>
    <col min="7684" max="7684" width="41.140625" style="491" customWidth="1"/>
    <col min="7685" max="7685" width="16.5703125" style="491" customWidth="1"/>
    <col min="7686" max="7686" width="10.85546875" style="491" customWidth="1"/>
    <col min="7687" max="7687" width="0" style="491" hidden="1" customWidth="1"/>
    <col min="7688" max="7688" width="16.28515625" style="491" customWidth="1"/>
    <col min="7689" max="7689" width="16.140625" style="491" customWidth="1"/>
    <col min="7690" max="7690" width="8.7109375" style="491" customWidth="1"/>
    <col min="7691" max="7691" width="12.7109375" style="491" customWidth="1"/>
    <col min="7692" max="7692" width="10.42578125" style="491" customWidth="1"/>
    <col min="7693" max="7693" width="15.42578125" style="491" customWidth="1"/>
    <col min="7694" max="7703" width="0" style="491" hidden="1" customWidth="1"/>
    <col min="7704" max="7704" width="15.7109375" style="491" customWidth="1"/>
    <col min="7705" max="7936" width="13.42578125" style="491"/>
    <col min="7937" max="7937" width="43" style="491" customWidth="1"/>
    <col min="7938" max="7938" width="15.7109375" style="491" customWidth="1"/>
    <col min="7939" max="7939" width="4.7109375" style="491" customWidth="1"/>
    <col min="7940" max="7940" width="41.140625" style="491" customWidth="1"/>
    <col min="7941" max="7941" width="16.5703125" style="491" customWidth="1"/>
    <col min="7942" max="7942" width="10.85546875" style="491" customWidth="1"/>
    <col min="7943" max="7943" width="0" style="491" hidden="1" customWidth="1"/>
    <col min="7944" max="7944" width="16.28515625" style="491" customWidth="1"/>
    <col min="7945" max="7945" width="16.140625" style="491" customWidth="1"/>
    <col min="7946" max="7946" width="8.7109375" style="491" customWidth="1"/>
    <col min="7947" max="7947" width="12.7109375" style="491" customWidth="1"/>
    <col min="7948" max="7948" width="10.42578125" style="491" customWidth="1"/>
    <col min="7949" max="7949" width="15.42578125" style="491" customWidth="1"/>
    <col min="7950" max="7959" width="0" style="491" hidden="1" customWidth="1"/>
    <col min="7960" max="7960" width="15.7109375" style="491" customWidth="1"/>
    <col min="7961" max="8192" width="13.42578125" style="491"/>
    <col min="8193" max="8193" width="43" style="491" customWidth="1"/>
    <col min="8194" max="8194" width="15.7109375" style="491" customWidth="1"/>
    <col min="8195" max="8195" width="4.7109375" style="491" customWidth="1"/>
    <col min="8196" max="8196" width="41.140625" style="491" customWidth="1"/>
    <col min="8197" max="8197" width="16.5703125" style="491" customWidth="1"/>
    <col min="8198" max="8198" width="10.85546875" style="491" customWidth="1"/>
    <col min="8199" max="8199" width="0" style="491" hidden="1" customWidth="1"/>
    <col min="8200" max="8200" width="16.28515625" style="491" customWidth="1"/>
    <col min="8201" max="8201" width="16.140625" style="491" customWidth="1"/>
    <col min="8202" max="8202" width="8.7109375" style="491" customWidth="1"/>
    <col min="8203" max="8203" width="12.7109375" style="491" customWidth="1"/>
    <col min="8204" max="8204" width="10.42578125" style="491" customWidth="1"/>
    <col min="8205" max="8205" width="15.42578125" style="491" customWidth="1"/>
    <col min="8206" max="8215" width="0" style="491" hidden="1" customWidth="1"/>
    <col min="8216" max="8216" width="15.7109375" style="491" customWidth="1"/>
    <col min="8217" max="8448" width="13.42578125" style="491"/>
    <col min="8449" max="8449" width="43" style="491" customWidth="1"/>
    <col min="8450" max="8450" width="15.7109375" style="491" customWidth="1"/>
    <col min="8451" max="8451" width="4.7109375" style="491" customWidth="1"/>
    <col min="8452" max="8452" width="41.140625" style="491" customWidth="1"/>
    <col min="8453" max="8453" width="16.5703125" style="491" customWidth="1"/>
    <col min="8454" max="8454" width="10.85546875" style="491" customWidth="1"/>
    <col min="8455" max="8455" width="0" style="491" hidden="1" customWidth="1"/>
    <col min="8456" max="8456" width="16.28515625" style="491" customWidth="1"/>
    <col min="8457" max="8457" width="16.140625" style="491" customWidth="1"/>
    <col min="8458" max="8458" width="8.7109375" style="491" customWidth="1"/>
    <col min="8459" max="8459" width="12.7109375" style="491" customWidth="1"/>
    <col min="8460" max="8460" width="10.42578125" style="491" customWidth="1"/>
    <col min="8461" max="8461" width="15.42578125" style="491" customWidth="1"/>
    <col min="8462" max="8471" width="0" style="491" hidden="1" customWidth="1"/>
    <col min="8472" max="8472" width="15.7109375" style="491" customWidth="1"/>
    <col min="8473" max="8704" width="13.42578125" style="491"/>
    <col min="8705" max="8705" width="43" style="491" customWidth="1"/>
    <col min="8706" max="8706" width="15.7109375" style="491" customWidth="1"/>
    <col min="8707" max="8707" width="4.7109375" style="491" customWidth="1"/>
    <col min="8708" max="8708" width="41.140625" style="491" customWidth="1"/>
    <col min="8709" max="8709" width="16.5703125" style="491" customWidth="1"/>
    <col min="8710" max="8710" width="10.85546875" style="491" customWidth="1"/>
    <col min="8711" max="8711" width="0" style="491" hidden="1" customWidth="1"/>
    <col min="8712" max="8712" width="16.28515625" style="491" customWidth="1"/>
    <col min="8713" max="8713" width="16.140625" style="491" customWidth="1"/>
    <col min="8714" max="8714" width="8.7109375" style="491" customWidth="1"/>
    <col min="8715" max="8715" width="12.7109375" style="491" customWidth="1"/>
    <col min="8716" max="8716" width="10.42578125" style="491" customWidth="1"/>
    <col min="8717" max="8717" width="15.42578125" style="491" customWidth="1"/>
    <col min="8718" max="8727" width="0" style="491" hidden="1" customWidth="1"/>
    <col min="8728" max="8728" width="15.7109375" style="491" customWidth="1"/>
    <col min="8729" max="8960" width="13.42578125" style="491"/>
    <col min="8961" max="8961" width="43" style="491" customWidth="1"/>
    <col min="8962" max="8962" width="15.7109375" style="491" customWidth="1"/>
    <col min="8963" max="8963" width="4.7109375" style="491" customWidth="1"/>
    <col min="8964" max="8964" width="41.140625" style="491" customWidth="1"/>
    <col min="8965" max="8965" width="16.5703125" style="491" customWidth="1"/>
    <col min="8966" max="8966" width="10.85546875" style="491" customWidth="1"/>
    <col min="8967" max="8967" width="0" style="491" hidden="1" customWidth="1"/>
    <col min="8968" max="8968" width="16.28515625" style="491" customWidth="1"/>
    <col min="8969" max="8969" width="16.140625" style="491" customWidth="1"/>
    <col min="8970" max="8970" width="8.7109375" style="491" customWidth="1"/>
    <col min="8971" max="8971" width="12.7109375" style="491" customWidth="1"/>
    <col min="8972" max="8972" width="10.42578125" style="491" customWidth="1"/>
    <col min="8973" max="8973" width="15.42578125" style="491" customWidth="1"/>
    <col min="8974" max="8983" width="0" style="491" hidden="1" customWidth="1"/>
    <col min="8984" max="8984" width="15.7109375" style="491" customWidth="1"/>
    <col min="8985" max="9216" width="13.42578125" style="491"/>
    <col min="9217" max="9217" width="43" style="491" customWidth="1"/>
    <col min="9218" max="9218" width="15.7109375" style="491" customWidth="1"/>
    <col min="9219" max="9219" width="4.7109375" style="491" customWidth="1"/>
    <col min="9220" max="9220" width="41.140625" style="491" customWidth="1"/>
    <col min="9221" max="9221" width="16.5703125" style="491" customWidth="1"/>
    <col min="9222" max="9222" width="10.85546875" style="491" customWidth="1"/>
    <col min="9223" max="9223" width="0" style="491" hidden="1" customWidth="1"/>
    <col min="9224" max="9224" width="16.28515625" style="491" customWidth="1"/>
    <col min="9225" max="9225" width="16.140625" style="491" customWidth="1"/>
    <col min="9226" max="9226" width="8.7109375" style="491" customWidth="1"/>
    <col min="9227" max="9227" width="12.7109375" style="491" customWidth="1"/>
    <col min="9228" max="9228" width="10.42578125" style="491" customWidth="1"/>
    <col min="9229" max="9229" width="15.42578125" style="491" customWidth="1"/>
    <col min="9230" max="9239" width="0" style="491" hidden="1" customWidth="1"/>
    <col min="9240" max="9240" width="15.7109375" style="491" customWidth="1"/>
    <col min="9241" max="9472" width="13.42578125" style="491"/>
    <col min="9473" max="9473" width="43" style="491" customWidth="1"/>
    <col min="9474" max="9474" width="15.7109375" style="491" customWidth="1"/>
    <col min="9475" max="9475" width="4.7109375" style="491" customWidth="1"/>
    <col min="9476" max="9476" width="41.140625" style="491" customWidth="1"/>
    <col min="9477" max="9477" width="16.5703125" style="491" customWidth="1"/>
    <col min="9478" max="9478" width="10.85546875" style="491" customWidth="1"/>
    <col min="9479" max="9479" width="0" style="491" hidden="1" customWidth="1"/>
    <col min="9480" max="9480" width="16.28515625" style="491" customWidth="1"/>
    <col min="9481" max="9481" width="16.140625" style="491" customWidth="1"/>
    <col min="9482" max="9482" width="8.7109375" style="491" customWidth="1"/>
    <col min="9483" max="9483" width="12.7109375" style="491" customWidth="1"/>
    <col min="9484" max="9484" width="10.42578125" style="491" customWidth="1"/>
    <col min="9485" max="9485" width="15.42578125" style="491" customWidth="1"/>
    <col min="9486" max="9495" width="0" style="491" hidden="1" customWidth="1"/>
    <col min="9496" max="9496" width="15.7109375" style="491" customWidth="1"/>
    <col min="9497" max="9728" width="13.42578125" style="491"/>
    <col min="9729" max="9729" width="43" style="491" customWidth="1"/>
    <col min="9730" max="9730" width="15.7109375" style="491" customWidth="1"/>
    <col min="9731" max="9731" width="4.7109375" style="491" customWidth="1"/>
    <col min="9732" max="9732" width="41.140625" style="491" customWidth="1"/>
    <col min="9733" max="9733" width="16.5703125" style="491" customWidth="1"/>
    <col min="9734" max="9734" width="10.85546875" style="491" customWidth="1"/>
    <col min="9735" max="9735" width="0" style="491" hidden="1" customWidth="1"/>
    <col min="9736" max="9736" width="16.28515625" style="491" customWidth="1"/>
    <col min="9737" max="9737" width="16.140625" style="491" customWidth="1"/>
    <col min="9738" max="9738" width="8.7109375" style="491" customWidth="1"/>
    <col min="9739" max="9739" width="12.7109375" style="491" customWidth="1"/>
    <col min="9740" max="9740" width="10.42578125" style="491" customWidth="1"/>
    <col min="9741" max="9741" width="15.42578125" style="491" customWidth="1"/>
    <col min="9742" max="9751" width="0" style="491" hidden="1" customWidth="1"/>
    <col min="9752" max="9752" width="15.7109375" style="491" customWidth="1"/>
    <col min="9753" max="9984" width="13.42578125" style="491"/>
    <col min="9985" max="9985" width="43" style="491" customWidth="1"/>
    <col min="9986" max="9986" width="15.7109375" style="491" customWidth="1"/>
    <col min="9987" max="9987" width="4.7109375" style="491" customWidth="1"/>
    <col min="9988" max="9988" width="41.140625" style="491" customWidth="1"/>
    <col min="9989" max="9989" width="16.5703125" style="491" customWidth="1"/>
    <col min="9990" max="9990" width="10.85546875" style="491" customWidth="1"/>
    <col min="9991" max="9991" width="0" style="491" hidden="1" customWidth="1"/>
    <col min="9992" max="9992" width="16.28515625" style="491" customWidth="1"/>
    <col min="9993" max="9993" width="16.140625" style="491" customWidth="1"/>
    <col min="9994" max="9994" width="8.7109375" style="491" customWidth="1"/>
    <col min="9995" max="9995" width="12.7109375" style="491" customWidth="1"/>
    <col min="9996" max="9996" width="10.42578125" style="491" customWidth="1"/>
    <col min="9997" max="9997" width="15.42578125" style="491" customWidth="1"/>
    <col min="9998" max="10007" width="0" style="491" hidden="1" customWidth="1"/>
    <col min="10008" max="10008" width="15.7109375" style="491" customWidth="1"/>
    <col min="10009" max="10240" width="13.42578125" style="491"/>
    <col min="10241" max="10241" width="43" style="491" customWidth="1"/>
    <col min="10242" max="10242" width="15.7109375" style="491" customWidth="1"/>
    <col min="10243" max="10243" width="4.7109375" style="491" customWidth="1"/>
    <col min="10244" max="10244" width="41.140625" style="491" customWidth="1"/>
    <col min="10245" max="10245" width="16.5703125" style="491" customWidth="1"/>
    <col min="10246" max="10246" width="10.85546875" style="491" customWidth="1"/>
    <col min="10247" max="10247" width="0" style="491" hidden="1" customWidth="1"/>
    <col min="10248" max="10248" width="16.28515625" style="491" customWidth="1"/>
    <col min="10249" max="10249" width="16.140625" style="491" customWidth="1"/>
    <col min="10250" max="10250" width="8.7109375" style="491" customWidth="1"/>
    <col min="10251" max="10251" width="12.7109375" style="491" customWidth="1"/>
    <col min="10252" max="10252" width="10.42578125" style="491" customWidth="1"/>
    <col min="10253" max="10253" width="15.42578125" style="491" customWidth="1"/>
    <col min="10254" max="10263" width="0" style="491" hidden="1" customWidth="1"/>
    <col min="10264" max="10264" width="15.7109375" style="491" customWidth="1"/>
    <col min="10265" max="10496" width="13.42578125" style="491"/>
    <col min="10497" max="10497" width="43" style="491" customWidth="1"/>
    <col min="10498" max="10498" width="15.7109375" style="491" customWidth="1"/>
    <col min="10499" max="10499" width="4.7109375" style="491" customWidth="1"/>
    <col min="10500" max="10500" width="41.140625" style="491" customWidth="1"/>
    <col min="10501" max="10501" width="16.5703125" style="491" customWidth="1"/>
    <col min="10502" max="10502" width="10.85546875" style="491" customWidth="1"/>
    <col min="10503" max="10503" width="0" style="491" hidden="1" customWidth="1"/>
    <col min="10504" max="10504" width="16.28515625" style="491" customWidth="1"/>
    <col min="10505" max="10505" width="16.140625" style="491" customWidth="1"/>
    <col min="10506" max="10506" width="8.7109375" style="491" customWidth="1"/>
    <col min="10507" max="10507" width="12.7109375" style="491" customWidth="1"/>
    <col min="10508" max="10508" width="10.42578125" style="491" customWidth="1"/>
    <col min="10509" max="10509" width="15.42578125" style="491" customWidth="1"/>
    <col min="10510" max="10519" width="0" style="491" hidden="1" customWidth="1"/>
    <col min="10520" max="10520" width="15.7109375" style="491" customWidth="1"/>
    <col min="10521" max="10752" width="13.42578125" style="491"/>
    <col min="10753" max="10753" width="43" style="491" customWidth="1"/>
    <col min="10754" max="10754" width="15.7109375" style="491" customWidth="1"/>
    <col min="10755" max="10755" width="4.7109375" style="491" customWidth="1"/>
    <col min="10756" max="10756" width="41.140625" style="491" customWidth="1"/>
    <col min="10757" max="10757" width="16.5703125" style="491" customWidth="1"/>
    <col min="10758" max="10758" width="10.85546875" style="491" customWidth="1"/>
    <col min="10759" max="10759" width="0" style="491" hidden="1" customWidth="1"/>
    <col min="10760" max="10760" width="16.28515625" style="491" customWidth="1"/>
    <col min="10761" max="10761" width="16.140625" style="491" customWidth="1"/>
    <col min="10762" max="10762" width="8.7109375" style="491" customWidth="1"/>
    <col min="10763" max="10763" width="12.7109375" style="491" customWidth="1"/>
    <col min="10764" max="10764" width="10.42578125" style="491" customWidth="1"/>
    <col min="10765" max="10765" width="15.42578125" style="491" customWidth="1"/>
    <col min="10766" max="10775" width="0" style="491" hidden="1" customWidth="1"/>
    <col min="10776" max="10776" width="15.7109375" style="491" customWidth="1"/>
    <col min="10777" max="11008" width="13.42578125" style="491"/>
    <col min="11009" max="11009" width="43" style="491" customWidth="1"/>
    <col min="11010" max="11010" width="15.7109375" style="491" customWidth="1"/>
    <col min="11011" max="11011" width="4.7109375" style="491" customWidth="1"/>
    <col min="11012" max="11012" width="41.140625" style="491" customWidth="1"/>
    <col min="11013" max="11013" width="16.5703125" style="491" customWidth="1"/>
    <col min="11014" max="11014" width="10.85546875" style="491" customWidth="1"/>
    <col min="11015" max="11015" width="0" style="491" hidden="1" customWidth="1"/>
    <col min="11016" max="11016" width="16.28515625" style="491" customWidth="1"/>
    <col min="11017" max="11017" width="16.140625" style="491" customWidth="1"/>
    <col min="11018" max="11018" width="8.7109375" style="491" customWidth="1"/>
    <col min="11019" max="11019" width="12.7109375" style="491" customWidth="1"/>
    <col min="11020" max="11020" width="10.42578125" style="491" customWidth="1"/>
    <col min="11021" max="11021" width="15.42578125" style="491" customWidth="1"/>
    <col min="11022" max="11031" width="0" style="491" hidden="1" customWidth="1"/>
    <col min="11032" max="11032" width="15.7109375" style="491" customWidth="1"/>
    <col min="11033" max="11264" width="13.42578125" style="491"/>
    <col min="11265" max="11265" width="43" style="491" customWidth="1"/>
    <col min="11266" max="11266" width="15.7109375" style="491" customWidth="1"/>
    <col min="11267" max="11267" width="4.7109375" style="491" customWidth="1"/>
    <col min="11268" max="11268" width="41.140625" style="491" customWidth="1"/>
    <col min="11269" max="11269" width="16.5703125" style="491" customWidth="1"/>
    <col min="11270" max="11270" width="10.85546875" style="491" customWidth="1"/>
    <col min="11271" max="11271" width="0" style="491" hidden="1" customWidth="1"/>
    <col min="11272" max="11272" width="16.28515625" style="491" customWidth="1"/>
    <col min="11273" max="11273" width="16.140625" style="491" customWidth="1"/>
    <col min="11274" max="11274" width="8.7109375" style="491" customWidth="1"/>
    <col min="11275" max="11275" width="12.7109375" style="491" customWidth="1"/>
    <col min="11276" max="11276" width="10.42578125" style="491" customWidth="1"/>
    <col min="11277" max="11277" width="15.42578125" style="491" customWidth="1"/>
    <col min="11278" max="11287" width="0" style="491" hidden="1" customWidth="1"/>
    <col min="11288" max="11288" width="15.7109375" style="491" customWidth="1"/>
    <col min="11289" max="11520" width="13.42578125" style="491"/>
    <col min="11521" max="11521" width="43" style="491" customWidth="1"/>
    <col min="11522" max="11522" width="15.7109375" style="491" customWidth="1"/>
    <col min="11523" max="11523" width="4.7109375" style="491" customWidth="1"/>
    <col min="11524" max="11524" width="41.140625" style="491" customWidth="1"/>
    <col min="11525" max="11525" width="16.5703125" style="491" customWidth="1"/>
    <col min="11526" max="11526" width="10.85546875" style="491" customWidth="1"/>
    <col min="11527" max="11527" width="0" style="491" hidden="1" customWidth="1"/>
    <col min="11528" max="11528" width="16.28515625" style="491" customWidth="1"/>
    <col min="11529" max="11529" width="16.140625" style="491" customWidth="1"/>
    <col min="11530" max="11530" width="8.7109375" style="491" customWidth="1"/>
    <col min="11531" max="11531" width="12.7109375" style="491" customWidth="1"/>
    <col min="11532" max="11532" width="10.42578125" style="491" customWidth="1"/>
    <col min="11533" max="11533" width="15.42578125" style="491" customWidth="1"/>
    <col min="11534" max="11543" width="0" style="491" hidden="1" customWidth="1"/>
    <col min="11544" max="11544" width="15.7109375" style="491" customWidth="1"/>
    <col min="11545" max="11776" width="13.42578125" style="491"/>
    <col min="11777" max="11777" width="43" style="491" customWidth="1"/>
    <col min="11778" max="11778" width="15.7109375" style="491" customWidth="1"/>
    <col min="11779" max="11779" width="4.7109375" style="491" customWidth="1"/>
    <col min="11780" max="11780" width="41.140625" style="491" customWidth="1"/>
    <col min="11781" max="11781" width="16.5703125" style="491" customWidth="1"/>
    <col min="11782" max="11782" width="10.85546875" style="491" customWidth="1"/>
    <col min="11783" max="11783" width="0" style="491" hidden="1" customWidth="1"/>
    <col min="11784" max="11784" width="16.28515625" style="491" customWidth="1"/>
    <col min="11785" max="11785" width="16.140625" style="491" customWidth="1"/>
    <col min="11786" max="11786" width="8.7109375" style="491" customWidth="1"/>
    <col min="11787" max="11787" width="12.7109375" style="491" customWidth="1"/>
    <col min="11788" max="11788" width="10.42578125" style="491" customWidth="1"/>
    <col min="11789" max="11789" width="15.42578125" style="491" customWidth="1"/>
    <col min="11790" max="11799" width="0" style="491" hidden="1" customWidth="1"/>
    <col min="11800" max="11800" width="15.7109375" style="491" customWidth="1"/>
    <col min="11801" max="12032" width="13.42578125" style="491"/>
    <col min="12033" max="12033" width="43" style="491" customWidth="1"/>
    <col min="12034" max="12034" width="15.7109375" style="491" customWidth="1"/>
    <col min="12035" max="12035" width="4.7109375" style="491" customWidth="1"/>
    <col min="12036" max="12036" width="41.140625" style="491" customWidth="1"/>
    <col min="12037" max="12037" width="16.5703125" style="491" customWidth="1"/>
    <col min="12038" max="12038" width="10.85546875" style="491" customWidth="1"/>
    <col min="12039" max="12039" width="0" style="491" hidden="1" customWidth="1"/>
    <col min="12040" max="12040" width="16.28515625" style="491" customWidth="1"/>
    <col min="12041" max="12041" width="16.140625" style="491" customWidth="1"/>
    <col min="12042" max="12042" width="8.7109375" style="491" customWidth="1"/>
    <col min="12043" max="12043" width="12.7109375" style="491" customWidth="1"/>
    <col min="12044" max="12044" width="10.42578125" style="491" customWidth="1"/>
    <col min="12045" max="12045" width="15.42578125" style="491" customWidth="1"/>
    <col min="12046" max="12055" width="0" style="491" hidden="1" customWidth="1"/>
    <col min="12056" max="12056" width="15.7109375" style="491" customWidth="1"/>
    <col min="12057" max="12288" width="13.42578125" style="491"/>
    <col min="12289" max="12289" width="43" style="491" customWidth="1"/>
    <col min="12290" max="12290" width="15.7109375" style="491" customWidth="1"/>
    <col min="12291" max="12291" width="4.7109375" style="491" customWidth="1"/>
    <col min="12292" max="12292" width="41.140625" style="491" customWidth="1"/>
    <col min="12293" max="12293" width="16.5703125" style="491" customWidth="1"/>
    <col min="12294" max="12294" width="10.85546875" style="491" customWidth="1"/>
    <col min="12295" max="12295" width="0" style="491" hidden="1" customWidth="1"/>
    <col min="12296" max="12296" width="16.28515625" style="491" customWidth="1"/>
    <col min="12297" max="12297" width="16.140625" style="491" customWidth="1"/>
    <col min="12298" max="12298" width="8.7109375" style="491" customWidth="1"/>
    <col min="12299" max="12299" width="12.7109375" style="491" customWidth="1"/>
    <col min="12300" max="12300" width="10.42578125" style="491" customWidth="1"/>
    <col min="12301" max="12301" width="15.42578125" style="491" customWidth="1"/>
    <col min="12302" max="12311" width="0" style="491" hidden="1" customWidth="1"/>
    <col min="12312" max="12312" width="15.7109375" style="491" customWidth="1"/>
    <col min="12313" max="12544" width="13.42578125" style="491"/>
    <col min="12545" max="12545" width="43" style="491" customWidth="1"/>
    <col min="12546" max="12546" width="15.7109375" style="491" customWidth="1"/>
    <col min="12547" max="12547" width="4.7109375" style="491" customWidth="1"/>
    <col min="12548" max="12548" width="41.140625" style="491" customWidth="1"/>
    <col min="12549" max="12549" width="16.5703125" style="491" customWidth="1"/>
    <col min="12550" max="12550" width="10.85546875" style="491" customWidth="1"/>
    <col min="12551" max="12551" width="0" style="491" hidden="1" customWidth="1"/>
    <col min="12552" max="12552" width="16.28515625" style="491" customWidth="1"/>
    <col min="12553" max="12553" width="16.140625" style="491" customWidth="1"/>
    <col min="12554" max="12554" width="8.7109375" style="491" customWidth="1"/>
    <col min="12555" max="12555" width="12.7109375" style="491" customWidth="1"/>
    <col min="12556" max="12556" width="10.42578125" style="491" customWidth="1"/>
    <col min="12557" max="12557" width="15.42578125" style="491" customWidth="1"/>
    <col min="12558" max="12567" width="0" style="491" hidden="1" customWidth="1"/>
    <col min="12568" max="12568" width="15.7109375" style="491" customWidth="1"/>
    <col min="12569" max="12800" width="13.42578125" style="491"/>
    <col min="12801" max="12801" width="43" style="491" customWidth="1"/>
    <col min="12802" max="12802" width="15.7109375" style="491" customWidth="1"/>
    <col min="12803" max="12803" width="4.7109375" style="491" customWidth="1"/>
    <col min="12804" max="12804" width="41.140625" style="491" customWidth="1"/>
    <col min="12805" max="12805" width="16.5703125" style="491" customWidth="1"/>
    <col min="12806" max="12806" width="10.85546875" style="491" customWidth="1"/>
    <col min="12807" max="12807" width="0" style="491" hidden="1" customWidth="1"/>
    <col min="12808" max="12808" width="16.28515625" style="491" customWidth="1"/>
    <col min="12809" max="12809" width="16.140625" style="491" customWidth="1"/>
    <col min="12810" max="12810" width="8.7109375" style="491" customWidth="1"/>
    <col min="12811" max="12811" width="12.7109375" style="491" customWidth="1"/>
    <col min="12812" max="12812" width="10.42578125" style="491" customWidth="1"/>
    <col min="12813" max="12813" width="15.42578125" style="491" customWidth="1"/>
    <col min="12814" max="12823" width="0" style="491" hidden="1" customWidth="1"/>
    <col min="12824" max="12824" width="15.7109375" style="491" customWidth="1"/>
    <col min="12825" max="13056" width="13.42578125" style="491"/>
    <col min="13057" max="13057" width="43" style="491" customWidth="1"/>
    <col min="13058" max="13058" width="15.7109375" style="491" customWidth="1"/>
    <col min="13059" max="13059" width="4.7109375" style="491" customWidth="1"/>
    <col min="13060" max="13060" width="41.140625" style="491" customWidth="1"/>
    <col min="13061" max="13061" width="16.5703125" style="491" customWidth="1"/>
    <col min="13062" max="13062" width="10.85546875" style="491" customWidth="1"/>
    <col min="13063" max="13063" width="0" style="491" hidden="1" customWidth="1"/>
    <col min="13064" max="13064" width="16.28515625" style="491" customWidth="1"/>
    <col min="13065" max="13065" width="16.140625" style="491" customWidth="1"/>
    <col min="13066" max="13066" width="8.7109375" style="491" customWidth="1"/>
    <col min="13067" max="13067" width="12.7109375" style="491" customWidth="1"/>
    <col min="13068" max="13068" width="10.42578125" style="491" customWidth="1"/>
    <col min="13069" max="13069" width="15.42578125" style="491" customWidth="1"/>
    <col min="13070" max="13079" width="0" style="491" hidden="1" customWidth="1"/>
    <col min="13080" max="13080" width="15.7109375" style="491" customWidth="1"/>
    <col min="13081" max="13312" width="13.42578125" style="491"/>
    <col min="13313" max="13313" width="43" style="491" customWidth="1"/>
    <col min="13314" max="13314" width="15.7109375" style="491" customWidth="1"/>
    <col min="13315" max="13315" width="4.7109375" style="491" customWidth="1"/>
    <col min="13316" max="13316" width="41.140625" style="491" customWidth="1"/>
    <col min="13317" max="13317" width="16.5703125" style="491" customWidth="1"/>
    <col min="13318" max="13318" width="10.85546875" style="491" customWidth="1"/>
    <col min="13319" max="13319" width="0" style="491" hidden="1" customWidth="1"/>
    <col min="13320" max="13320" width="16.28515625" style="491" customWidth="1"/>
    <col min="13321" max="13321" width="16.140625" style="491" customWidth="1"/>
    <col min="13322" max="13322" width="8.7109375" style="491" customWidth="1"/>
    <col min="13323" max="13323" width="12.7109375" style="491" customWidth="1"/>
    <col min="13324" max="13324" width="10.42578125" style="491" customWidth="1"/>
    <col min="13325" max="13325" width="15.42578125" style="491" customWidth="1"/>
    <col min="13326" max="13335" width="0" style="491" hidden="1" customWidth="1"/>
    <col min="13336" max="13336" width="15.7109375" style="491" customWidth="1"/>
    <col min="13337" max="13568" width="13.42578125" style="491"/>
    <col min="13569" max="13569" width="43" style="491" customWidth="1"/>
    <col min="13570" max="13570" width="15.7109375" style="491" customWidth="1"/>
    <col min="13571" max="13571" width="4.7109375" style="491" customWidth="1"/>
    <col min="13572" max="13572" width="41.140625" style="491" customWidth="1"/>
    <col min="13573" max="13573" width="16.5703125" style="491" customWidth="1"/>
    <col min="13574" max="13574" width="10.85546875" style="491" customWidth="1"/>
    <col min="13575" max="13575" width="0" style="491" hidden="1" customWidth="1"/>
    <col min="13576" max="13576" width="16.28515625" style="491" customWidth="1"/>
    <col min="13577" max="13577" width="16.140625" style="491" customWidth="1"/>
    <col min="13578" max="13578" width="8.7109375" style="491" customWidth="1"/>
    <col min="13579" max="13579" width="12.7109375" style="491" customWidth="1"/>
    <col min="13580" max="13580" width="10.42578125" style="491" customWidth="1"/>
    <col min="13581" max="13581" width="15.42578125" style="491" customWidth="1"/>
    <col min="13582" max="13591" width="0" style="491" hidden="1" customWidth="1"/>
    <col min="13592" max="13592" width="15.7109375" style="491" customWidth="1"/>
    <col min="13593" max="13824" width="13.42578125" style="491"/>
    <col min="13825" max="13825" width="43" style="491" customWidth="1"/>
    <col min="13826" max="13826" width="15.7109375" style="491" customWidth="1"/>
    <col min="13827" max="13827" width="4.7109375" style="491" customWidth="1"/>
    <col min="13828" max="13828" width="41.140625" style="491" customWidth="1"/>
    <col min="13829" max="13829" width="16.5703125" style="491" customWidth="1"/>
    <col min="13830" max="13830" width="10.85546875" style="491" customWidth="1"/>
    <col min="13831" max="13831" width="0" style="491" hidden="1" customWidth="1"/>
    <col min="13832" max="13832" width="16.28515625" style="491" customWidth="1"/>
    <col min="13833" max="13833" width="16.140625" style="491" customWidth="1"/>
    <col min="13834" max="13834" width="8.7109375" style="491" customWidth="1"/>
    <col min="13835" max="13835" width="12.7109375" style="491" customWidth="1"/>
    <col min="13836" max="13836" width="10.42578125" style="491" customWidth="1"/>
    <col min="13837" max="13837" width="15.42578125" style="491" customWidth="1"/>
    <col min="13838" max="13847" width="0" style="491" hidden="1" customWidth="1"/>
    <col min="13848" max="13848" width="15.7109375" style="491" customWidth="1"/>
    <col min="13849" max="14080" width="13.42578125" style="491"/>
    <col min="14081" max="14081" width="43" style="491" customWidth="1"/>
    <col min="14082" max="14082" width="15.7109375" style="491" customWidth="1"/>
    <col min="14083" max="14083" width="4.7109375" style="491" customWidth="1"/>
    <col min="14084" max="14084" width="41.140625" style="491" customWidth="1"/>
    <col min="14085" max="14085" width="16.5703125" style="491" customWidth="1"/>
    <col min="14086" max="14086" width="10.85546875" style="491" customWidth="1"/>
    <col min="14087" max="14087" width="0" style="491" hidden="1" customWidth="1"/>
    <col min="14088" max="14088" width="16.28515625" style="491" customWidth="1"/>
    <col min="14089" max="14089" width="16.140625" style="491" customWidth="1"/>
    <col min="14090" max="14090" width="8.7109375" style="491" customWidth="1"/>
    <col min="14091" max="14091" width="12.7109375" style="491" customWidth="1"/>
    <col min="14092" max="14092" width="10.42578125" style="491" customWidth="1"/>
    <col min="14093" max="14093" width="15.42578125" style="491" customWidth="1"/>
    <col min="14094" max="14103" width="0" style="491" hidden="1" customWidth="1"/>
    <col min="14104" max="14104" width="15.7109375" style="491" customWidth="1"/>
    <col min="14105" max="14336" width="13.42578125" style="491"/>
    <col min="14337" max="14337" width="43" style="491" customWidth="1"/>
    <col min="14338" max="14338" width="15.7109375" style="491" customWidth="1"/>
    <col min="14339" max="14339" width="4.7109375" style="491" customWidth="1"/>
    <col min="14340" max="14340" width="41.140625" style="491" customWidth="1"/>
    <col min="14341" max="14341" width="16.5703125" style="491" customWidth="1"/>
    <col min="14342" max="14342" width="10.85546875" style="491" customWidth="1"/>
    <col min="14343" max="14343" width="0" style="491" hidden="1" customWidth="1"/>
    <col min="14344" max="14344" width="16.28515625" style="491" customWidth="1"/>
    <col min="14345" max="14345" width="16.140625" style="491" customWidth="1"/>
    <col min="14346" max="14346" width="8.7109375" style="491" customWidth="1"/>
    <col min="14347" max="14347" width="12.7109375" style="491" customWidth="1"/>
    <col min="14348" max="14348" width="10.42578125" style="491" customWidth="1"/>
    <col min="14349" max="14349" width="15.42578125" style="491" customWidth="1"/>
    <col min="14350" max="14359" width="0" style="491" hidden="1" customWidth="1"/>
    <col min="14360" max="14360" width="15.7109375" style="491" customWidth="1"/>
    <col min="14361" max="14592" width="13.42578125" style="491"/>
    <col min="14593" max="14593" width="43" style="491" customWidth="1"/>
    <col min="14594" max="14594" width="15.7109375" style="491" customWidth="1"/>
    <col min="14595" max="14595" width="4.7109375" style="491" customWidth="1"/>
    <col min="14596" max="14596" width="41.140625" style="491" customWidth="1"/>
    <col min="14597" max="14597" width="16.5703125" style="491" customWidth="1"/>
    <col min="14598" max="14598" width="10.85546875" style="491" customWidth="1"/>
    <col min="14599" max="14599" width="0" style="491" hidden="1" customWidth="1"/>
    <col min="14600" max="14600" width="16.28515625" style="491" customWidth="1"/>
    <col min="14601" max="14601" width="16.140625" style="491" customWidth="1"/>
    <col min="14602" max="14602" width="8.7109375" style="491" customWidth="1"/>
    <col min="14603" max="14603" width="12.7109375" style="491" customWidth="1"/>
    <col min="14604" max="14604" width="10.42578125" style="491" customWidth="1"/>
    <col min="14605" max="14605" width="15.42578125" style="491" customWidth="1"/>
    <col min="14606" max="14615" width="0" style="491" hidden="1" customWidth="1"/>
    <col min="14616" max="14616" width="15.7109375" style="491" customWidth="1"/>
    <col min="14617" max="14848" width="13.42578125" style="491"/>
    <col min="14849" max="14849" width="43" style="491" customWidth="1"/>
    <col min="14850" max="14850" width="15.7109375" style="491" customWidth="1"/>
    <col min="14851" max="14851" width="4.7109375" style="491" customWidth="1"/>
    <col min="14852" max="14852" width="41.140625" style="491" customWidth="1"/>
    <col min="14853" max="14853" width="16.5703125" style="491" customWidth="1"/>
    <col min="14854" max="14854" width="10.85546875" style="491" customWidth="1"/>
    <col min="14855" max="14855" width="0" style="491" hidden="1" customWidth="1"/>
    <col min="14856" max="14856" width="16.28515625" style="491" customWidth="1"/>
    <col min="14857" max="14857" width="16.140625" style="491" customWidth="1"/>
    <col min="14858" max="14858" width="8.7109375" style="491" customWidth="1"/>
    <col min="14859" max="14859" width="12.7109375" style="491" customWidth="1"/>
    <col min="14860" max="14860" width="10.42578125" style="491" customWidth="1"/>
    <col min="14861" max="14861" width="15.42578125" style="491" customWidth="1"/>
    <col min="14862" max="14871" width="0" style="491" hidden="1" customWidth="1"/>
    <col min="14872" max="14872" width="15.7109375" style="491" customWidth="1"/>
    <col min="14873" max="15104" width="13.42578125" style="491"/>
    <col min="15105" max="15105" width="43" style="491" customWidth="1"/>
    <col min="15106" max="15106" width="15.7109375" style="491" customWidth="1"/>
    <col min="15107" max="15107" width="4.7109375" style="491" customWidth="1"/>
    <col min="15108" max="15108" width="41.140625" style="491" customWidth="1"/>
    <col min="15109" max="15109" width="16.5703125" style="491" customWidth="1"/>
    <col min="15110" max="15110" width="10.85546875" style="491" customWidth="1"/>
    <col min="15111" max="15111" width="0" style="491" hidden="1" customWidth="1"/>
    <col min="15112" max="15112" width="16.28515625" style="491" customWidth="1"/>
    <col min="15113" max="15113" width="16.140625" style="491" customWidth="1"/>
    <col min="15114" max="15114" width="8.7109375" style="491" customWidth="1"/>
    <col min="15115" max="15115" width="12.7109375" style="491" customWidth="1"/>
    <col min="15116" max="15116" width="10.42578125" style="491" customWidth="1"/>
    <col min="15117" max="15117" width="15.42578125" style="491" customWidth="1"/>
    <col min="15118" max="15127" width="0" style="491" hidden="1" customWidth="1"/>
    <col min="15128" max="15128" width="15.7109375" style="491" customWidth="1"/>
    <col min="15129" max="15360" width="13.42578125" style="491"/>
    <col min="15361" max="15361" width="43" style="491" customWidth="1"/>
    <col min="15362" max="15362" width="15.7109375" style="491" customWidth="1"/>
    <col min="15363" max="15363" width="4.7109375" style="491" customWidth="1"/>
    <col min="15364" max="15364" width="41.140625" style="491" customWidth="1"/>
    <col min="15365" max="15365" width="16.5703125" style="491" customWidth="1"/>
    <col min="15366" max="15366" width="10.85546875" style="491" customWidth="1"/>
    <col min="15367" max="15367" width="0" style="491" hidden="1" customWidth="1"/>
    <col min="15368" max="15368" width="16.28515625" style="491" customWidth="1"/>
    <col min="15369" max="15369" width="16.140625" style="491" customWidth="1"/>
    <col min="15370" max="15370" width="8.7109375" style="491" customWidth="1"/>
    <col min="15371" max="15371" width="12.7109375" style="491" customWidth="1"/>
    <col min="15372" max="15372" width="10.42578125" style="491" customWidth="1"/>
    <col min="15373" max="15373" width="15.42578125" style="491" customWidth="1"/>
    <col min="15374" max="15383" width="0" style="491" hidden="1" customWidth="1"/>
    <col min="15384" max="15384" width="15.7109375" style="491" customWidth="1"/>
    <col min="15385" max="15616" width="13.42578125" style="491"/>
    <col min="15617" max="15617" width="43" style="491" customWidth="1"/>
    <col min="15618" max="15618" width="15.7109375" style="491" customWidth="1"/>
    <col min="15619" max="15619" width="4.7109375" style="491" customWidth="1"/>
    <col min="15620" max="15620" width="41.140625" style="491" customWidth="1"/>
    <col min="15621" max="15621" width="16.5703125" style="491" customWidth="1"/>
    <col min="15622" max="15622" width="10.85546875" style="491" customWidth="1"/>
    <col min="15623" max="15623" width="0" style="491" hidden="1" customWidth="1"/>
    <col min="15624" max="15624" width="16.28515625" style="491" customWidth="1"/>
    <col min="15625" max="15625" width="16.140625" style="491" customWidth="1"/>
    <col min="15626" max="15626" width="8.7109375" style="491" customWidth="1"/>
    <col min="15627" max="15627" width="12.7109375" style="491" customWidth="1"/>
    <col min="15628" max="15628" width="10.42578125" style="491" customWidth="1"/>
    <col min="15629" max="15629" width="15.42578125" style="491" customWidth="1"/>
    <col min="15630" max="15639" width="0" style="491" hidden="1" customWidth="1"/>
    <col min="15640" max="15640" width="15.7109375" style="491" customWidth="1"/>
    <col min="15641" max="15872" width="13.42578125" style="491"/>
    <col min="15873" max="15873" width="43" style="491" customWidth="1"/>
    <col min="15874" max="15874" width="15.7109375" style="491" customWidth="1"/>
    <col min="15875" max="15875" width="4.7109375" style="491" customWidth="1"/>
    <col min="15876" max="15876" width="41.140625" style="491" customWidth="1"/>
    <col min="15877" max="15877" width="16.5703125" style="491" customWidth="1"/>
    <col min="15878" max="15878" width="10.85546875" style="491" customWidth="1"/>
    <col min="15879" max="15879" width="0" style="491" hidden="1" customWidth="1"/>
    <col min="15880" max="15880" width="16.28515625" style="491" customWidth="1"/>
    <col min="15881" max="15881" width="16.140625" style="491" customWidth="1"/>
    <col min="15882" max="15882" width="8.7109375" style="491" customWidth="1"/>
    <col min="15883" max="15883" width="12.7109375" style="491" customWidth="1"/>
    <col min="15884" max="15884" width="10.42578125" style="491" customWidth="1"/>
    <col min="15885" max="15885" width="15.42578125" style="491" customWidth="1"/>
    <col min="15886" max="15895" width="0" style="491" hidden="1" customWidth="1"/>
    <col min="15896" max="15896" width="15.7109375" style="491" customWidth="1"/>
    <col min="15897" max="16128" width="13.42578125" style="491"/>
    <col min="16129" max="16129" width="43" style="491" customWidth="1"/>
    <col min="16130" max="16130" width="15.7109375" style="491" customWidth="1"/>
    <col min="16131" max="16131" width="4.7109375" style="491" customWidth="1"/>
    <col min="16132" max="16132" width="41.140625" style="491" customWidth="1"/>
    <col min="16133" max="16133" width="16.5703125" style="491" customWidth="1"/>
    <col min="16134" max="16134" width="10.85546875" style="491" customWidth="1"/>
    <col min="16135" max="16135" width="0" style="491" hidden="1" customWidth="1"/>
    <col min="16136" max="16136" width="16.28515625" style="491" customWidth="1"/>
    <col min="16137" max="16137" width="16.140625" style="491" customWidth="1"/>
    <col min="16138" max="16138" width="8.7109375" style="491" customWidth="1"/>
    <col min="16139" max="16139" width="12.7109375" style="491" customWidth="1"/>
    <col min="16140" max="16140" width="10.42578125" style="491" customWidth="1"/>
    <col min="16141" max="16141" width="15.42578125" style="491" customWidth="1"/>
    <col min="16142" max="16151" width="0" style="491" hidden="1" customWidth="1"/>
    <col min="16152" max="16152" width="15.7109375" style="491" customWidth="1"/>
    <col min="16153" max="16384" width="13.42578125" style="491"/>
  </cols>
  <sheetData>
    <row r="1" spans="1:26" s="470" customFormat="1" ht="32.25" customHeight="1" x14ac:dyDescent="0.4"/>
    <row r="2" spans="1:26" s="470" customFormat="1" ht="26.25" x14ac:dyDescent="0.4">
      <c r="B2" s="471" t="str">
        <f>'TOT-0316'!B2</f>
        <v>ANEXO III al Memorandum D.T.E.E. N°  294  / 2017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6" s="473" customFormat="1" x14ac:dyDescent="0.2"/>
    <row r="4" spans="1:26" s="475" customFormat="1" ht="11.25" x14ac:dyDescent="0.2">
      <c r="A4" s="474" t="s">
        <v>2</v>
      </c>
      <c r="B4" s="474"/>
    </row>
    <row r="5" spans="1:26" s="475" customFormat="1" ht="11.25" x14ac:dyDescent="0.2">
      <c r="A5" s="474" t="s">
        <v>3</v>
      </c>
      <c r="B5" s="474"/>
    </row>
    <row r="6" spans="1:26" s="473" customFormat="1" ht="13.5" thickBot="1" x14ac:dyDescent="0.25"/>
    <row r="7" spans="1:26" s="473" customFormat="1" ht="13.5" thickTop="1" x14ac:dyDescent="0.2">
      <c r="A7" s="476"/>
      <c r="B7" s="477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9"/>
    </row>
    <row r="8" spans="1:26" s="483" customFormat="1" ht="20.25" x14ac:dyDescent="0.3">
      <c r="A8" s="480"/>
      <c r="B8" s="481"/>
      <c r="C8" s="480"/>
      <c r="D8" s="482" t="s">
        <v>14</v>
      </c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4"/>
    </row>
    <row r="9" spans="1:26" ht="15" x14ac:dyDescent="0.25">
      <c r="A9" s="485"/>
      <c r="B9" s="486"/>
      <c r="C9" s="487"/>
      <c r="D9" s="488"/>
      <c r="E9" s="487"/>
      <c r="F9" s="489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5"/>
      <c r="W9" s="485"/>
      <c r="X9" s="485"/>
      <c r="Y9" s="485"/>
      <c r="Z9" s="490"/>
    </row>
    <row r="10" spans="1:26" s="483" customFormat="1" ht="20.25" x14ac:dyDescent="0.3">
      <c r="A10" s="480"/>
      <c r="B10" s="492"/>
      <c r="C10" s="491"/>
      <c r="D10" s="493" t="s">
        <v>183</v>
      </c>
      <c r="E10" s="494"/>
      <c r="F10" s="494"/>
      <c r="G10" s="494"/>
      <c r="H10" s="495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6"/>
      <c r="W10" s="497"/>
      <c r="X10" s="497"/>
      <c r="Y10" s="480"/>
      <c r="Z10" s="484"/>
    </row>
    <row r="11" spans="1:26" s="473" customFormat="1" x14ac:dyDescent="0.2">
      <c r="A11" s="476"/>
      <c r="B11" s="498"/>
      <c r="C11" s="476"/>
      <c r="D11" s="499"/>
      <c r="E11" s="500"/>
      <c r="F11" s="500"/>
      <c r="G11" s="500"/>
      <c r="H11" s="501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2"/>
      <c r="Y11" s="476"/>
      <c r="Z11" s="503"/>
    </row>
    <row r="12" spans="1:26" s="505" customFormat="1" ht="19.5" x14ac:dyDescent="0.35">
      <c r="A12" s="504"/>
      <c r="B12" s="749" t="str">
        <f>'TOT-0316'!B14</f>
        <v>Desde el 01 al 31 de Marzo de 2016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1"/>
    </row>
    <row r="13" spans="1:26" ht="15" x14ac:dyDescent="0.25">
      <c r="A13" s="485"/>
      <c r="B13" s="486"/>
      <c r="C13" s="487"/>
      <c r="D13" s="506"/>
      <c r="E13" s="506"/>
      <c r="F13" s="506"/>
      <c r="G13" s="506"/>
      <c r="H13" s="507"/>
      <c r="I13" s="487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8"/>
      <c r="W13" s="508"/>
      <c r="X13" s="509"/>
      <c r="Y13" s="485"/>
      <c r="Z13" s="490"/>
    </row>
    <row r="14" spans="1:26" ht="15" x14ac:dyDescent="0.25">
      <c r="A14" s="485"/>
      <c r="B14" s="486"/>
      <c r="C14" s="487"/>
      <c r="D14" s="506"/>
      <c r="E14" s="506"/>
      <c r="F14" s="506"/>
      <c r="G14" s="506"/>
      <c r="H14" s="510"/>
      <c r="I14" s="510"/>
      <c r="J14" s="506"/>
      <c r="S14" s="506"/>
      <c r="T14" s="506"/>
      <c r="U14" s="506"/>
      <c r="V14" s="508"/>
      <c r="W14" s="508"/>
      <c r="X14" s="509"/>
      <c r="Y14" s="485"/>
      <c r="Z14" s="490"/>
    </row>
    <row r="15" spans="1:26" ht="15" x14ac:dyDescent="0.25">
      <c r="A15" s="485"/>
      <c r="B15" s="486"/>
      <c r="C15" s="487"/>
      <c r="D15" s="511"/>
      <c r="E15" s="512"/>
      <c r="F15" s="506"/>
      <c r="G15" s="506"/>
      <c r="H15" s="510"/>
      <c r="I15" s="510"/>
      <c r="J15" s="506"/>
      <c r="T15" s="506"/>
      <c r="U15" s="506"/>
      <c r="V15" s="508"/>
      <c r="W15" s="508"/>
      <c r="X15" s="509"/>
      <c r="Y15" s="485"/>
      <c r="Z15" s="490"/>
    </row>
    <row r="16" spans="1:26" ht="16.5" thickBot="1" x14ac:dyDescent="0.3">
      <c r="A16" s="485"/>
      <c r="B16" s="486"/>
      <c r="C16" s="513" t="s">
        <v>184</v>
      </c>
      <c r="D16" s="489"/>
      <c r="E16" s="514"/>
      <c r="F16" s="515"/>
      <c r="G16" s="487"/>
      <c r="H16" s="487"/>
      <c r="I16" s="487"/>
      <c r="J16" s="516"/>
      <c r="K16" s="51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5"/>
      <c r="W16" s="485"/>
      <c r="X16" s="485"/>
      <c r="Y16" s="485"/>
      <c r="Z16" s="490"/>
    </row>
    <row r="17" spans="1:28" ht="16.5" thickBot="1" x14ac:dyDescent="0.3">
      <c r="A17" s="485"/>
      <c r="B17" s="486"/>
      <c r="C17" s="513"/>
      <c r="D17" s="489"/>
      <c r="E17" s="514"/>
      <c r="F17" s="515"/>
      <c r="G17" s="487"/>
      <c r="H17" s="487"/>
      <c r="K17" s="518" t="s">
        <v>173</v>
      </c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5"/>
      <c r="W17" s="485"/>
      <c r="X17" s="485"/>
      <c r="Y17" s="485"/>
      <c r="Z17" s="490"/>
    </row>
    <row r="18" spans="1:28" ht="15.75" x14ac:dyDescent="0.25">
      <c r="A18" s="485"/>
      <c r="B18" s="486"/>
      <c r="C18" s="513"/>
      <c r="D18" s="516" t="s">
        <v>185</v>
      </c>
      <c r="E18" s="519">
        <f>MID(B12,16,2)*24</f>
        <v>744</v>
      </c>
      <c r="F18" s="487" t="s">
        <v>186</v>
      </c>
      <c r="G18" s="506"/>
      <c r="H18" s="520" t="s">
        <v>17</v>
      </c>
      <c r="I18" s="521"/>
      <c r="J18" s="522" t="s">
        <v>169</v>
      </c>
      <c r="K18" s="523">
        <f>30*'TOT-0316'!B13</f>
        <v>60</v>
      </c>
      <c r="L18" s="487"/>
      <c r="S18" s="487"/>
      <c r="T18" s="487"/>
      <c r="U18" s="487"/>
      <c r="V18" s="485"/>
      <c r="W18" s="485"/>
      <c r="X18" s="485"/>
      <c r="Y18" s="485"/>
      <c r="Z18" s="490"/>
    </row>
    <row r="19" spans="1:28" ht="15.75" x14ac:dyDescent="0.25">
      <c r="A19" s="485"/>
      <c r="B19" s="486"/>
      <c r="C19" s="513"/>
      <c r="D19" s="516" t="s">
        <v>187</v>
      </c>
      <c r="E19" s="524">
        <v>2.5000000000000001E-2</v>
      </c>
      <c r="F19" s="506"/>
      <c r="G19" s="506"/>
      <c r="H19" s="525" t="s">
        <v>18</v>
      </c>
      <c r="I19" s="526"/>
      <c r="J19" s="527">
        <v>345.49299999999999</v>
      </c>
      <c r="K19" s="528"/>
      <c r="L19" s="487"/>
      <c r="M19" s="529" t="s">
        <v>188</v>
      </c>
      <c r="N19" s="529"/>
      <c r="O19" s="529"/>
      <c r="P19" s="529"/>
      <c r="Q19" s="529"/>
      <c r="R19" s="529"/>
      <c r="S19" s="487"/>
      <c r="T19" s="487"/>
      <c r="U19" s="487"/>
      <c r="V19" s="485"/>
      <c r="W19" s="485"/>
      <c r="X19" s="485"/>
      <c r="Y19" s="530" t="s">
        <v>169</v>
      </c>
      <c r="Z19" s="490" t="s">
        <v>189</v>
      </c>
      <c r="AA19" s="529"/>
      <c r="AB19" s="529"/>
    </row>
    <row r="20" spans="1:28" ht="16.5" thickBot="1" x14ac:dyDescent="0.3">
      <c r="A20" s="485"/>
      <c r="B20" s="486"/>
      <c r="C20" s="513"/>
      <c r="D20" s="516"/>
      <c r="E20" s="524"/>
      <c r="F20" s="506"/>
      <c r="G20" s="506"/>
      <c r="H20" s="531" t="s">
        <v>176</v>
      </c>
      <c r="I20" s="532"/>
      <c r="J20" s="533" t="s">
        <v>169</v>
      </c>
      <c r="K20" s="534"/>
      <c r="L20" s="487"/>
      <c r="M20" s="529" t="s">
        <v>190</v>
      </c>
      <c r="N20" s="529"/>
      <c r="O20" s="529"/>
      <c r="P20" s="529"/>
      <c r="Q20" s="529"/>
      <c r="R20" s="529"/>
      <c r="S20" s="487"/>
      <c r="T20" s="487"/>
      <c r="U20" s="487"/>
      <c r="V20" s="485"/>
      <c r="W20" s="485"/>
      <c r="X20" s="485"/>
      <c r="Y20" s="530">
        <v>16.042999999999999</v>
      </c>
      <c r="Z20" s="490" t="s">
        <v>191</v>
      </c>
      <c r="AA20" s="529"/>
      <c r="AB20" s="529"/>
    </row>
    <row r="21" spans="1:28" ht="15.75" x14ac:dyDescent="0.25">
      <c r="A21" s="485"/>
      <c r="B21" s="486"/>
      <c r="C21" s="513"/>
      <c r="D21" s="516"/>
      <c r="E21" s="524"/>
      <c r="F21" s="506"/>
      <c r="G21" s="506"/>
      <c r="H21" s="506"/>
      <c r="I21" s="535"/>
      <c r="K21" s="51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5"/>
      <c r="W21" s="485"/>
      <c r="X21" s="485"/>
      <c r="Y21" s="485"/>
      <c r="Z21" s="490"/>
    </row>
    <row r="22" spans="1:28" ht="15" x14ac:dyDescent="0.25">
      <c r="A22" s="485"/>
      <c r="B22" s="486"/>
      <c r="C22" s="536" t="s">
        <v>192</v>
      </c>
      <c r="D22" s="537"/>
      <c r="E22" s="514"/>
      <c r="F22" s="515"/>
      <c r="G22" s="487"/>
      <c r="H22" s="487"/>
      <c r="I22" s="487"/>
      <c r="J22" s="516"/>
      <c r="K22" s="51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5"/>
      <c r="W22" s="485"/>
      <c r="X22" s="485"/>
      <c r="Y22" s="485"/>
      <c r="Z22" s="490"/>
    </row>
    <row r="23" spans="1:28" ht="15.75" thickBot="1" x14ac:dyDescent="0.3">
      <c r="A23" s="485"/>
      <c r="B23" s="486"/>
      <c r="C23" s="487"/>
      <c r="D23" s="487"/>
      <c r="E23" s="487"/>
      <c r="F23" s="487"/>
      <c r="G23" s="487"/>
      <c r="H23" s="538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5"/>
      <c r="W23" s="485"/>
      <c r="X23" s="485"/>
      <c r="Y23" s="485"/>
      <c r="Z23" s="490"/>
    </row>
    <row r="24" spans="1:28" ht="27" thickTop="1" thickBot="1" x14ac:dyDescent="0.3">
      <c r="A24" s="485"/>
      <c r="B24" s="486"/>
      <c r="C24" s="539" t="s">
        <v>20</v>
      </c>
      <c r="D24" s="540" t="s">
        <v>6</v>
      </c>
      <c r="E24" s="541" t="s">
        <v>21</v>
      </c>
      <c r="F24" s="541" t="s">
        <v>22</v>
      </c>
      <c r="G24" s="542" t="s">
        <v>23</v>
      </c>
      <c r="H24" s="540" t="s">
        <v>24</v>
      </c>
      <c r="I24" s="540" t="s">
        <v>25</v>
      </c>
      <c r="J24" s="541" t="s">
        <v>26</v>
      </c>
      <c r="K24" s="541" t="s">
        <v>27</v>
      </c>
      <c r="L24" s="541" t="s">
        <v>28</v>
      </c>
      <c r="M24" s="541" t="s">
        <v>29</v>
      </c>
      <c r="N24" s="543" t="s">
        <v>30</v>
      </c>
      <c r="O24" s="544" t="s">
        <v>31</v>
      </c>
      <c r="P24" s="545" t="s">
        <v>32</v>
      </c>
      <c r="Q24" s="546"/>
      <c r="R24" s="547"/>
      <c r="S24" s="548" t="s">
        <v>33</v>
      </c>
      <c r="T24" s="549"/>
      <c r="U24" s="550"/>
      <c r="V24" s="551" t="s">
        <v>34</v>
      </c>
      <c r="W24" s="552" t="s">
        <v>35</v>
      </c>
      <c r="X24" s="553" t="s">
        <v>36</v>
      </c>
      <c r="Y24" s="554" t="s">
        <v>37</v>
      </c>
      <c r="Z24" s="490"/>
    </row>
    <row r="25" spans="1:28" ht="16.5" thickTop="1" thickBot="1" x14ac:dyDescent="0.3">
      <c r="A25" s="485"/>
      <c r="B25" s="486"/>
      <c r="C25" s="555"/>
      <c r="D25" s="556"/>
      <c r="E25" s="557"/>
      <c r="F25" s="557"/>
      <c r="G25" s="558"/>
      <c r="H25" s="557"/>
      <c r="I25" s="556"/>
      <c r="J25" s="556"/>
      <c r="K25" s="556"/>
      <c r="L25" s="559"/>
      <c r="M25" s="559"/>
      <c r="N25" s="560"/>
      <c r="O25" s="561"/>
      <c r="P25" s="562"/>
      <c r="Q25" s="563"/>
      <c r="R25" s="564"/>
      <c r="S25" s="565"/>
      <c r="T25" s="566"/>
      <c r="U25" s="567"/>
      <c r="V25" s="568"/>
      <c r="W25" s="569"/>
      <c r="X25" s="570"/>
      <c r="Y25" s="571"/>
      <c r="Z25" s="490"/>
    </row>
    <row r="26" spans="1:28" ht="16.5" thickTop="1" thickBot="1" x14ac:dyDescent="0.3">
      <c r="A26" s="485"/>
      <c r="B26" s="486"/>
      <c r="C26" s="572" t="s">
        <v>193</v>
      </c>
      <c r="D26" s="573" t="s">
        <v>177</v>
      </c>
      <c r="E26" s="573">
        <v>132</v>
      </c>
      <c r="F26" s="574">
        <v>101</v>
      </c>
      <c r="G26" s="575">
        <f>IF(F26&gt;25,F26,25)*IF(E26=220,$J$18,IF(E26=132,$J$19,$J$20))/100</f>
        <v>348.94792999999999</v>
      </c>
      <c r="H26" s="40">
        <v>42430.692361111112</v>
      </c>
      <c r="I26" s="40">
        <v>42430.70416666667</v>
      </c>
      <c r="J26" s="576">
        <f>IF(D26="","",(I26-H26)*24)</f>
        <v>0.28333333338377997</v>
      </c>
      <c r="K26" s="577">
        <f>IF(D26="","",ROUND((I26-H26)*24*60,0))</f>
        <v>17</v>
      </c>
      <c r="L26" s="578" t="s">
        <v>142</v>
      </c>
      <c r="M26" s="579" t="str">
        <f>IF(D26="","","--")</f>
        <v>--</v>
      </c>
      <c r="N26" s="580" t="str">
        <f>IF(L26="P",ROUND(K26/60,2)*G26*$K$18*0.01,"--")</f>
        <v>--</v>
      </c>
      <c r="O26" s="581" t="str">
        <f>IF(L26="RP",ROUND(K26/60,2)*G26*$K$18*0.01*M26/100,"--")</f>
        <v>--</v>
      </c>
      <c r="P26" s="582">
        <f>IF(L26="F",G26*$K$18,"--")</f>
        <v>20936.875799999998</v>
      </c>
      <c r="Q26" s="583">
        <f>IF(AND(K26&gt;10,L26="F"),G26*$K$18*IF(K26&gt;180,3,ROUND(K26/60,2)),"--")</f>
        <v>5862.3252240000002</v>
      </c>
      <c r="R26" s="584" t="str">
        <f>IF(AND(L26="F",K26&gt;180),(ROUND(K26/60,2)-3)*G26*$K$18*0.1,"--")</f>
        <v>--</v>
      </c>
      <c r="S26" s="585" t="str">
        <f>IF(L26="R",G26*$K$18*M26/100,"--")</f>
        <v>--</v>
      </c>
      <c r="T26" s="586" t="str">
        <f>IF(AND(K26&gt;10,L26="R"),G26*$K$18*M26/100*IF(K26&gt;180,3,ROUND(K26/60,2)),"--")</f>
        <v>--</v>
      </c>
      <c r="U26" s="587" t="str">
        <f>IF(AND(L26="R",K26&gt;180),(ROUND(K26/60,2)-3)*G26*$K$18*0.1*M26/100,"--")</f>
        <v>--</v>
      </c>
      <c r="V26" s="588" t="str">
        <f>IF(L26="RF",ROUND(K26/60,2)*G26*$K$18*0.1,"--")</f>
        <v>--</v>
      </c>
      <c r="W26" s="589" t="str">
        <f>IF(L26="RR",ROUND(K26/60,2)*G26*$K$18*0.1*M26/100,"--")</f>
        <v>--</v>
      </c>
      <c r="X26" s="590" t="s">
        <v>140</v>
      </c>
      <c r="Y26" s="591">
        <f>IF(D26="","",SUM(N26:W26)*IF(X26="SI",1,2))</f>
        <v>26799.201023999998</v>
      </c>
      <c r="Z26" s="490"/>
    </row>
    <row r="27" spans="1:28" ht="16.5" thickTop="1" thickBot="1" x14ac:dyDescent="0.3">
      <c r="A27" s="485"/>
      <c r="B27" s="486"/>
      <c r="C27" s="572" t="s">
        <v>194</v>
      </c>
      <c r="D27" s="573"/>
      <c r="E27" s="573"/>
      <c r="F27" s="574"/>
      <c r="G27" s="575" t="e">
        <f>IF(F27&gt;25,F27,25)*IF(E27=220,$J$18,IF(E27=132,$J$19,$J$20))/100</f>
        <v>#VALUE!</v>
      </c>
      <c r="H27" s="40"/>
      <c r="I27" s="40"/>
      <c r="J27" s="576" t="str">
        <f>IF(D27="","",(I27-H27)*24)</f>
        <v/>
      </c>
      <c r="K27" s="577" t="str">
        <f>IF(D27="","",ROUND((I27-H27)*24*60,0))</f>
        <v/>
      </c>
      <c r="L27" s="578"/>
      <c r="M27" s="579" t="str">
        <f>IF(D27="","","--")</f>
        <v/>
      </c>
      <c r="N27" s="580" t="str">
        <f>IF(L27="P",ROUND(K27/60,2)*G27*$K$18*0.01,"--")</f>
        <v>--</v>
      </c>
      <c r="O27" s="581" t="str">
        <f>IF(L27="RP",ROUND(K27/60,2)*G27*$K$18*0.01*M27/100,"--")</f>
        <v>--</v>
      </c>
      <c r="P27" s="582" t="str">
        <f>IF(L27="F",G27*$K$18,"--")</f>
        <v>--</v>
      </c>
      <c r="Q27" s="583" t="str">
        <f>IF(AND(K27&gt;10,L27="F"),G27*$K$18*IF(K27&gt;180,3,ROUND(K27/60,2)),"--")</f>
        <v>--</v>
      </c>
      <c r="R27" s="584" t="str">
        <f>IF(AND(L27="F",K27&gt;180),(ROUND(K27/60,2)-3)*G27*$K$18*0.1,"--")</f>
        <v>--</v>
      </c>
      <c r="S27" s="585" t="str">
        <f>IF(L27="R",G27*$K$18*M27/100,"--")</f>
        <v>--</v>
      </c>
      <c r="T27" s="586" t="str">
        <f>IF(AND(K27&gt;10,L27="R"),G27*$K$18*M27/100*IF(K27&gt;180,3,ROUND(K27/60,2)),"--")</f>
        <v>--</v>
      </c>
      <c r="U27" s="587" t="str">
        <f>IF(AND(L27="R",K27&gt;180),(ROUND(K27/60,2)-3)*G27*$K$18*0.1*M27/100,"--")</f>
        <v>--</v>
      </c>
      <c r="V27" s="588" t="str">
        <f>IF(L27="RF",ROUND(K27/60,2)*G27*$K$18*0.1,"--")</f>
        <v>--</v>
      </c>
      <c r="W27" s="589" t="str">
        <f>IF(L27="RR",ROUND(K27/60,2)*G27*$K$18*0.1*M27/100,"--")</f>
        <v>--</v>
      </c>
      <c r="X27" s="590" t="str">
        <f>IF(D27="","","SI")</f>
        <v/>
      </c>
      <c r="Y27" s="591" t="str">
        <f>IF(D27="","",SUM(N27:W27)*IF(X27="SI",1,2))</f>
        <v/>
      </c>
      <c r="Z27" s="490"/>
    </row>
    <row r="28" spans="1:28" ht="16.5" thickTop="1" thickBot="1" x14ac:dyDescent="0.3">
      <c r="A28" s="485"/>
      <c r="B28" s="486"/>
      <c r="C28" s="572" t="s">
        <v>195</v>
      </c>
      <c r="D28" s="573"/>
      <c r="E28" s="573"/>
      <c r="F28" s="574"/>
      <c r="G28" s="575" t="e">
        <f>IF(F28&gt;25,F28,25)*IF(E28=220,$J$18,IF(E28=132,$J$19,$J$20))/100</f>
        <v>#VALUE!</v>
      </c>
      <c r="H28" s="592"/>
      <c r="I28" s="592"/>
      <c r="J28" s="576" t="str">
        <f>IF(D28="","",(I28-H28)*24)</f>
        <v/>
      </c>
      <c r="K28" s="577" t="str">
        <f>IF(D28="","",ROUND((I28-H28)*24*60,0))</f>
        <v/>
      </c>
      <c r="L28" s="578"/>
      <c r="M28" s="579" t="str">
        <f>IF(D28="","","--")</f>
        <v/>
      </c>
      <c r="N28" s="580" t="str">
        <f>IF(L28="P",ROUND(K28/60,2)*G28*$K$18*0.01,"--")</f>
        <v>--</v>
      </c>
      <c r="O28" s="581" t="str">
        <f>IF(L28="RP",ROUND(K28/60,2)*G28*$K$18*0.01*M28/100,"--")</f>
        <v>--</v>
      </c>
      <c r="P28" s="582" t="str">
        <f>IF(L28="F",G28*$K$18,"--")</f>
        <v>--</v>
      </c>
      <c r="Q28" s="583" t="str">
        <f>IF(AND(K28&gt;10,L28="F"),G28*$K$18*IF(K28&gt;180,3,ROUND(K28/60,2)),"--")</f>
        <v>--</v>
      </c>
      <c r="R28" s="584" t="str">
        <f>IF(AND(L28="F",K28&gt;180),(ROUND(K28/60,2)-3)*G28*$K$18*0.1,"--")</f>
        <v>--</v>
      </c>
      <c r="S28" s="585" t="str">
        <f>IF(L28="R",G28*$K$18*M28/100,"--")</f>
        <v>--</v>
      </c>
      <c r="T28" s="586" t="str">
        <f>IF(AND(K28&gt;10,L28="R"),G28*$K$18*M28/100*IF(K28&gt;180,3,ROUND(K28/60,2)),"--")</f>
        <v>--</v>
      </c>
      <c r="U28" s="587" t="str">
        <f>IF(AND(L28="R",K28&gt;180),(ROUND(K28/60,2)-3)*G28*$K$18*0.1*M28/100,"--")</f>
        <v>--</v>
      </c>
      <c r="V28" s="588" t="str">
        <f>IF(L28="RF",ROUND(K28/60,2)*G28*$K$18*0.1,"--")</f>
        <v>--</v>
      </c>
      <c r="W28" s="589" t="str">
        <f>IF(L28="RR",ROUND(K28/60,2)*G28*$K$18*0.1*M28/100,"--")</f>
        <v>--</v>
      </c>
      <c r="X28" s="590" t="str">
        <f>IF(D28="","","SI")</f>
        <v/>
      </c>
      <c r="Y28" s="591" t="str">
        <f>IF(D28="","",SUM(N28:W28)*IF(X28="SI",1,2))</f>
        <v/>
      </c>
      <c r="Z28" s="490"/>
    </row>
    <row r="29" spans="1:28" ht="16.5" thickTop="1" thickBot="1" x14ac:dyDescent="0.3">
      <c r="B29" s="486"/>
      <c r="C29" s="593"/>
      <c r="D29" s="594"/>
      <c r="E29" s="594"/>
      <c r="F29" s="595"/>
      <c r="G29" s="596"/>
      <c r="H29" s="597"/>
      <c r="I29" s="597"/>
      <c r="J29" s="598" t="str">
        <f>IF(D29="","",(I29-H29)*24)</f>
        <v/>
      </c>
      <c r="K29" s="599" t="str">
        <f>IF(D29="","",ROUND((I29-H29)*24*60,0))</f>
        <v/>
      </c>
      <c r="L29" s="600"/>
      <c r="M29" s="601" t="str">
        <f>IF(D29="","","--")</f>
        <v/>
      </c>
      <c r="N29" s="560"/>
      <c r="O29" s="602"/>
      <c r="P29" s="603"/>
      <c r="Q29" s="604"/>
      <c r="R29" s="605"/>
      <c r="S29" s="606"/>
      <c r="T29" s="607"/>
      <c r="U29" s="608"/>
      <c r="V29" s="609"/>
      <c r="W29" s="610"/>
      <c r="X29" s="611" t="str">
        <f>IF(D29="","","SI")</f>
        <v/>
      </c>
      <c r="Y29" s="612" t="str">
        <f>IF(D29="","",SUM(N29:W29)*IF(X29="SI",1,2))</f>
        <v/>
      </c>
      <c r="Z29" s="490"/>
    </row>
    <row r="30" spans="1:28" ht="16.5" thickTop="1" thickBot="1" x14ac:dyDescent="0.3">
      <c r="B30" s="486"/>
      <c r="C30" s="613"/>
      <c r="D30" s="613"/>
      <c r="E30" s="613"/>
      <c r="F30" s="614"/>
      <c r="G30" s="615"/>
      <c r="H30" s="616"/>
      <c r="I30" s="616"/>
      <c r="J30" s="617"/>
      <c r="K30" s="618"/>
      <c r="L30" s="619"/>
      <c r="M30" s="620"/>
      <c r="N30" s="621"/>
      <c r="O30" s="622"/>
      <c r="P30" s="623"/>
      <c r="Q30" s="624"/>
      <c r="R30" s="624"/>
      <c r="S30" s="625"/>
      <c r="T30" s="625"/>
      <c r="U30" s="625"/>
      <c r="V30" s="626"/>
      <c r="W30" s="627"/>
      <c r="X30" s="628"/>
      <c r="Y30" s="629">
        <f>SUM(Y26:Y29)</f>
        <v>26799.201023999998</v>
      </c>
      <c r="Z30" s="490"/>
    </row>
    <row r="31" spans="1:28" ht="16.5" thickTop="1" thickBot="1" x14ac:dyDescent="0.3">
      <c r="B31" s="486"/>
      <c r="C31" s="613"/>
      <c r="D31" s="613"/>
      <c r="E31" s="613"/>
      <c r="F31" s="614"/>
      <c r="G31" s="615"/>
      <c r="H31" s="616"/>
      <c r="I31" s="616"/>
      <c r="J31" s="617"/>
      <c r="K31" s="618"/>
      <c r="L31" s="619"/>
      <c r="M31" s="620"/>
      <c r="N31" s="621"/>
      <c r="O31" s="622"/>
      <c r="P31" s="623"/>
      <c r="Q31" s="624"/>
      <c r="R31" s="624"/>
      <c r="S31" s="625"/>
      <c r="T31" s="625"/>
      <c r="U31" s="625"/>
      <c r="V31" s="626"/>
      <c r="W31" s="627"/>
      <c r="X31" s="628"/>
      <c r="Y31" s="630"/>
      <c r="Z31" s="490"/>
    </row>
    <row r="32" spans="1:28" ht="32.25" customHeight="1" thickTop="1" thickBot="1" x14ac:dyDescent="0.3">
      <c r="B32" s="486"/>
      <c r="C32" s="539" t="s">
        <v>20</v>
      </c>
      <c r="D32" s="631" t="s">
        <v>42</v>
      </c>
      <c r="E32" s="632" t="s">
        <v>43</v>
      </c>
      <c r="F32" s="633" t="s">
        <v>21</v>
      </c>
      <c r="G32" s="634" t="s">
        <v>23</v>
      </c>
      <c r="H32" s="632" t="s">
        <v>24</v>
      </c>
      <c r="I32" s="632" t="s">
        <v>25</v>
      </c>
      <c r="J32" s="631" t="s">
        <v>45</v>
      </c>
      <c r="K32" s="631" t="s">
        <v>46</v>
      </c>
      <c r="L32" s="635" t="s">
        <v>28</v>
      </c>
      <c r="M32" s="632" t="s">
        <v>48</v>
      </c>
      <c r="N32" s="636" t="s">
        <v>173</v>
      </c>
      <c r="O32" s="637" t="s">
        <v>51</v>
      </c>
      <c r="P32" s="638" t="s">
        <v>52</v>
      </c>
      <c r="Q32" s="639"/>
      <c r="R32" s="640"/>
      <c r="S32" s="641"/>
      <c r="T32" s="641"/>
      <c r="U32" s="642"/>
      <c r="V32" s="643" t="s">
        <v>34</v>
      </c>
      <c r="W32" s="644"/>
      <c r="X32" s="645" t="s">
        <v>36</v>
      </c>
      <c r="Y32" s="646" t="s">
        <v>37</v>
      </c>
      <c r="Z32" s="490"/>
    </row>
    <row r="33" spans="2:26" ht="15.75" thickTop="1" x14ac:dyDescent="0.25">
      <c r="B33" s="486"/>
      <c r="C33" s="555"/>
      <c r="D33" s="647"/>
      <c r="E33" s="647"/>
      <c r="F33" s="648"/>
      <c r="G33" s="649"/>
      <c r="H33" s="650"/>
      <c r="I33" s="650"/>
      <c r="J33" s="651"/>
      <c r="K33" s="651"/>
      <c r="L33" s="647"/>
      <c r="M33" s="647"/>
      <c r="N33" s="652"/>
      <c r="O33" s="653"/>
      <c r="P33" s="654"/>
      <c r="Q33" s="655"/>
      <c r="R33" s="624"/>
      <c r="S33" s="625"/>
      <c r="T33" s="625"/>
      <c r="U33" s="625"/>
      <c r="V33" s="656"/>
      <c r="W33" s="657"/>
      <c r="X33" s="658"/>
      <c r="Y33" s="659"/>
      <c r="Z33" s="490"/>
    </row>
    <row r="34" spans="2:26" ht="15" x14ac:dyDescent="0.25">
      <c r="B34" s="486"/>
      <c r="C34" s="572" t="s">
        <v>193</v>
      </c>
      <c r="D34" s="660"/>
      <c r="E34" s="660"/>
      <c r="F34" s="661"/>
      <c r="G34" s="662">
        <f>Y20</f>
        <v>16.042999999999999</v>
      </c>
      <c r="H34" s="663"/>
      <c r="I34" s="663"/>
      <c r="J34" s="664" t="str">
        <f>IF(D34="","",(I34-H34)*24)</f>
        <v/>
      </c>
      <c r="K34" s="665" t="str">
        <f>IF(D34="","",ROUND((I34-H34)*24*60,0))</f>
        <v/>
      </c>
      <c r="L34" s="666"/>
      <c r="M34" s="667" t="str">
        <f>IF(D34="","",IF(OR(L34="P",L34="RP"),"--","NO"))</f>
        <v/>
      </c>
      <c r="N34" s="668">
        <v>50</v>
      </c>
      <c r="O34" s="669" t="str">
        <f>IF(L34="P",G34*N34*ROUND(K34/60,2)*0.1,"--")</f>
        <v>--</v>
      </c>
      <c r="P34" s="670" t="str">
        <f>IF(AND(L34="F",M34="NO"),G34*N34,"--")</f>
        <v>--</v>
      </c>
      <c r="Q34" s="671" t="str">
        <f>IF(L34="F",G34*N34*ROUND(K34/60,2),"--")</f>
        <v>--</v>
      </c>
      <c r="R34" s="624"/>
      <c r="S34" s="625"/>
      <c r="T34" s="625"/>
      <c r="U34" s="625"/>
      <c r="V34" s="672" t="str">
        <f>IF(L34="RF",G34*N34*ROUND(K34/60,2),"--")</f>
        <v>--</v>
      </c>
      <c r="W34" s="657"/>
      <c r="X34" s="666" t="str">
        <f>IF(D34="","","SI")</f>
        <v/>
      </c>
      <c r="Y34" s="673" t="str">
        <f>IF(D34="","",SUM(O34:V34)*IF(X34="SI",1,2)*IF(F34="500/220",0,1))</f>
        <v/>
      </c>
      <c r="Z34" s="490"/>
    </row>
    <row r="35" spans="2:26" ht="15" x14ac:dyDescent="0.25">
      <c r="B35" s="486"/>
      <c r="C35" s="572" t="s">
        <v>194</v>
      </c>
      <c r="D35" s="660"/>
      <c r="E35" s="660"/>
      <c r="F35" s="661"/>
      <c r="G35" s="662">
        <f>Y20</f>
        <v>16.042999999999999</v>
      </c>
      <c r="H35" s="663"/>
      <c r="I35" s="663"/>
      <c r="J35" s="664" t="str">
        <f>IF(D35="","",(I35-H35)*24)</f>
        <v/>
      </c>
      <c r="K35" s="665" t="str">
        <f>IF(D35="","",ROUND((I35-H35)*24*60,0))</f>
        <v/>
      </c>
      <c r="L35" s="666"/>
      <c r="M35" s="667" t="str">
        <f>IF(D35="","",IF(OR(L35="P",L35="RP"),"--","NO"))</f>
        <v/>
      </c>
      <c r="N35" s="668">
        <v>50</v>
      </c>
      <c r="O35" s="669" t="str">
        <f>IF(L35="P",G35*N35*ROUND(K35/60,2)*0.1,"--")</f>
        <v>--</v>
      </c>
      <c r="P35" s="670" t="str">
        <f>IF(AND(L35="F",M35="NO"),G35*N35,"--")</f>
        <v>--</v>
      </c>
      <c r="Q35" s="671" t="str">
        <f>IF(L35="F",G35*N35*ROUND(K35/60,2),"--")</f>
        <v>--</v>
      </c>
      <c r="R35" s="624"/>
      <c r="S35" s="625"/>
      <c r="T35" s="625"/>
      <c r="U35" s="625"/>
      <c r="V35" s="672" t="str">
        <f>IF(L35="RF",G35*N35*ROUND(K35/60,2),"--")</f>
        <v>--</v>
      </c>
      <c r="W35" s="657"/>
      <c r="X35" s="666" t="str">
        <f>IF(D35="","","SI")</f>
        <v/>
      </c>
      <c r="Y35" s="673" t="str">
        <f>IF(D35="","",SUM(O35:V35)*IF(X35="SI",1,2)*IF(F35="500/220",0,1))</f>
        <v/>
      </c>
      <c r="Z35" s="490"/>
    </row>
    <row r="36" spans="2:26" ht="15" x14ac:dyDescent="0.25">
      <c r="B36" s="486"/>
      <c r="C36" s="572" t="s">
        <v>195</v>
      </c>
      <c r="D36" s="660"/>
      <c r="E36" s="660"/>
      <c r="F36" s="661"/>
      <c r="G36" s="662">
        <f>Y20</f>
        <v>16.042999999999999</v>
      </c>
      <c r="H36" s="663"/>
      <c r="I36" s="663"/>
      <c r="J36" s="664" t="str">
        <f>IF(D36="","",(I36-H36)*24)</f>
        <v/>
      </c>
      <c r="K36" s="665" t="str">
        <f>IF(D36="","",ROUND((I36-H36)*24*60,0))</f>
        <v/>
      </c>
      <c r="L36" s="666"/>
      <c r="M36" s="667" t="str">
        <f>IF(D36="","",IF(OR(L36="P",L36="RP"),"--","NO"))</f>
        <v/>
      </c>
      <c r="N36" s="668">
        <v>50</v>
      </c>
      <c r="O36" s="669" t="str">
        <f>IF(L36="P",G36*N36*ROUND(K36/60,2)*0.1,"--")</f>
        <v>--</v>
      </c>
      <c r="P36" s="670" t="str">
        <f>IF(AND(L36="F",M36="NO"),G36*N36,"--")</f>
        <v>--</v>
      </c>
      <c r="Q36" s="671" t="str">
        <f>IF(L36="F",G36*N36*ROUND(K36/60,2),"--")</f>
        <v>--</v>
      </c>
      <c r="R36" s="624"/>
      <c r="S36" s="625"/>
      <c r="T36" s="625"/>
      <c r="U36" s="625"/>
      <c r="V36" s="674" t="str">
        <f>IF(L36="RF",G36*N36*ROUND(K36/60,2),"--")</f>
        <v>--</v>
      </c>
      <c r="W36" s="657"/>
      <c r="X36" s="666" t="str">
        <f>IF(D36="","","SI")</f>
        <v/>
      </c>
      <c r="Y36" s="673" t="str">
        <f>IF(D36="","",SUM(O36:V36)*IF(X36="SI",1,2)*IF(F36="500/220",0,1))</f>
        <v/>
      </c>
      <c r="Z36" s="490"/>
    </row>
    <row r="37" spans="2:26" ht="15.75" thickBot="1" x14ac:dyDescent="0.3">
      <c r="B37" s="486"/>
      <c r="C37" s="593"/>
      <c r="D37" s="675"/>
      <c r="E37" s="594"/>
      <c r="F37" s="595"/>
      <c r="G37" s="676"/>
      <c r="H37" s="677"/>
      <c r="I37" s="678"/>
      <c r="J37" s="679"/>
      <c r="K37" s="680"/>
      <c r="L37" s="681"/>
      <c r="M37" s="682"/>
      <c r="N37" s="683"/>
      <c r="O37" s="684"/>
      <c r="P37" s="685"/>
      <c r="Q37" s="686"/>
      <c r="R37" s="687"/>
      <c r="S37" s="688"/>
      <c r="T37" s="688"/>
      <c r="U37" s="688"/>
      <c r="V37" s="689"/>
      <c r="W37" s="690"/>
      <c r="X37" s="691"/>
      <c r="Y37" s="692"/>
      <c r="Z37" s="490"/>
    </row>
    <row r="38" spans="2:26" ht="16.5" thickTop="1" thickBot="1" x14ac:dyDescent="0.3">
      <c r="B38" s="486"/>
      <c r="C38" s="613"/>
      <c r="D38" s="613"/>
      <c r="E38" s="613"/>
      <c r="F38" s="614"/>
      <c r="G38" s="615"/>
      <c r="H38" s="616"/>
      <c r="I38" s="616"/>
      <c r="J38" s="617"/>
      <c r="K38" s="618"/>
      <c r="L38" s="619"/>
      <c r="M38" s="620"/>
      <c r="N38" s="693"/>
      <c r="O38" s="694"/>
      <c r="P38" s="623"/>
      <c r="Q38" s="624"/>
      <c r="R38" s="624"/>
      <c r="S38" s="625"/>
      <c r="T38" s="625"/>
      <c r="U38" s="625"/>
      <c r="V38" s="695"/>
      <c r="W38" s="627"/>
      <c r="X38" s="628"/>
      <c r="Y38" s="629">
        <f>SUM(Y34:Y37)</f>
        <v>0</v>
      </c>
      <c r="Z38" s="490"/>
    </row>
    <row r="39" spans="2:26" ht="20.25" thickTop="1" thickBot="1" x14ac:dyDescent="0.35">
      <c r="B39" s="486"/>
      <c r="C39" s="613"/>
      <c r="D39" s="613"/>
      <c r="E39" s="613"/>
      <c r="F39" s="614"/>
      <c r="G39" s="614"/>
      <c r="H39" s="696" t="s">
        <v>196</v>
      </c>
      <c r="I39" s="697">
        <f>Y30+Y38</f>
        <v>26799.201023999998</v>
      </c>
      <c r="J39" s="698"/>
      <c r="K39" s="698"/>
      <c r="L39" s="698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8"/>
      <c r="Y39" s="630"/>
      <c r="Z39" s="490"/>
    </row>
    <row r="40" spans="2:26" ht="15.75" thickTop="1" x14ac:dyDescent="0.25">
      <c r="B40" s="486"/>
      <c r="C40" s="613"/>
      <c r="D40" s="613"/>
      <c r="E40" s="613"/>
      <c r="F40" s="614"/>
      <c r="G40" s="698"/>
      <c r="H40" s="698"/>
      <c r="I40" s="698"/>
      <c r="J40" s="698"/>
      <c r="K40" s="698"/>
      <c r="L40" s="698"/>
      <c r="M40" s="699"/>
      <c r="N40" s="700"/>
      <c r="O40" s="701"/>
      <c r="P40" s="701"/>
      <c r="Q40" s="702"/>
      <c r="R40" s="702"/>
      <c r="S40" s="703"/>
      <c r="T40" s="704"/>
      <c r="U40" s="705"/>
      <c r="V40" s="485"/>
      <c r="W40" s="485"/>
      <c r="X40" s="485"/>
      <c r="Y40" s="485"/>
      <c r="Z40" s="490"/>
    </row>
    <row r="41" spans="2:26" ht="15" x14ac:dyDescent="0.25">
      <c r="B41" s="486"/>
      <c r="C41" s="511" t="s">
        <v>197</v>
      </c>
      <c r="D41" s="537"/>
      <c r="E41" s="537"/>
      <c r="F41" s="706"/>
      <c r="G41" s="698"/>
      <c r="H41" s="698"/>
      <c r="I41" s="698"/>
      <c r="J41" s="698"/>
      <c r="K41" s="698"/>
      <c r="L41" s="698"/>
      <c r="M41" s="699"/>
      <c r="N41" s="700"/>
      <c r="O41" s="701"/>
      <c r="P41" s="701"/>
      <c r="Q41" s="702"/>
      <c r="R41" s="702"/>
      <c r="S41" s="703"/>
      <c r="T41" s="704"/>
      <c r="U41" s="705"/>
      <c r="V41" s="485"/>
      <c r="W41" s="485"/>
      <c r="X41" s="485"/>
      <c r="Y41" s="485"/>
      <c r="Z41" s="490"/>
    </row>
    <row r="42" spans="2:26" ht="15" x14ac:dyDescent="0.25">
      <c r="B42" s="486"/>
      <c r="C42" s="707"/>
      <c r="D42" s="537"/>
      <c r="E42" s="537"/>
      <c r="F42" s="706"/>
      <c r="G42" s="698"/>
      <c r="H42" s="698"/>
      <c r="I42" s="698"/>
      <c r="J42" s="698"/>
      <c r="K42" s="698"/>
      <c r="L42" s="698"/>
      <c r="M42" s="699"/>
      <c r="N42" s="700"/>
      <c r="O42" s="701"/>
      <c r="P42" s="701"/>
      <c r="Q42" s="702"/>
      <c r="R42" s="702"/>
      <c r="S42" s="703"/>
      <c r="T42" s="704"/>
      <c r="U42" s="705"/>
      <c r="V42" s="485"/>
      <c r="W42" s="485"/>
      <c r="X42" s="485"/>
      <c r="Y42" s="485"/>
      <c r="Z42" s="490"/>
    </row>
    <row r="43" spans="2:26" ht="15" x14ac:dyDescent="0.25">
      <c r="B43" s="486"/>
      <c r="C43" s="707"/>
      <c r="D43" s="537" t="s">
        <v>198</v>
      </c>
      <c r="E43" s="537" t="s">
        <v>199</v>
      </c>
      <c r="F43" s="706" t="s">
        <v>200</v>
      </c>
      <c r="G43" s="698"/>
      <c r="I43" s="708" t="s">
        <v>201</v>
      </c>
      <c r="K43" s="709" t="s">
        <v>202</v>
      </c>
      <c r="L43" s="698"/>
      <c r="M43" s="699"/>
      <c r="N43" s="700"/>
      <c r="O43" s="701"/>
      <c r="P43" s="701"/>
      <c r="Q43" s="702"/>
      <c r="R43" s="702"/>
      <c r="S43" s="703"/>
      <c r="T43" s="704"/>
      <c r="U43" s="705"/>
      <c r="V43" s="485"/>
      <c r="W43" s="485"/>
      <c r="X43" s="704" t="s">
        <v>203</v>
      </c>
      <c r="Y43" s="485"/>
      <c r="Z43" s="490"/>
    </row>
    <row r="44" spans="2:26" ht="7.5" customHeight="1" x14ac:dyDescent="0.25">
      <c r="B44" s="486"/>
      <c r="C44" s="707"/>
      <c r="D44" s="537"/>
      <c r="E44" s="537"/>
      <c r="F44" s="710"/>
      <c r="G44" s="698"/>
      <c r="I44" s="711"/>
      <c r="J44" s="712"/>
      <c r="K44" s="713"/>
      <c r="L44" s="698"/>
      <c r="M44" s="699"/>
      <c r="N44" s="700"/>
      <c r="O44" s="701"/>
      <c r="P44" s="701"/>
      <c r="Q44" s="702"/>
      <c r="R44" s="702"/>
      <c r="S44" s="703"/>
      <c r="T44" s="714"/>
      <c r="U44" s="705"/>
      <c r="V44" s="485"/>
      <c r="W44" s="485"/>
      <c r="X44" s="715"/>
      <c r="Y44" s="485"/>
      <c r="Z44" s="490"/>
    </row>
    <row r="45" spans="2:26" ht="15.75" x14ac:dyDescent="0.25">
      <c r="B45" s="486"/>
      <c r="C45" s="707"/>
      <c r="D45" s="537" t="s">
        <v>177</v>
      </c>
      <c r="E45" s="537">
        <v>132</v>
      </c>
      <c r="F45" s="710">
        <v>100.7</v>
      </c>
      <c r="G45" s="698"/>
      <c r="I45" s="711">
        <f>F45*$J$19*$E$18/100</f>
        <v>258846.11954400002</v>
      </c>
      <c r="J45" s="712"/>
      <c r="K45" s="713">
        <v>22666</v>
      </c>
      <c r="L45" s="698"/>
      <c r="M45" s="716" t="str">
        <f ca="1">"(DTE "&amp;DATO!$G$14&amp;DATO!$H$14&amp;")"</f>
        <v>(DTE 0316)</v>
      </c>
      <c r="N45" s="700"/>
      <c r="O45" s="701"/>
      <c r="P45" s="701"/>
      <c r="Q45" s="702"/>
      <c r="R45" s="702"/>
      <c r="S45" s="703"/>
      <c r="T45" s="717"/>
      <c r="U45" s="705"/>
      <c r="V45" s="485"/>
      <c r="W45" s="485"/>
      <c r="X45" s="718">
        <f>I45+I49</f>
        <v>270782.11154400004</v>
      </c>
      <c r="Y45" s="485"/>
      <c r="Z45" s="490"/>
    </row>
    <row r="46" spans="2:26" ht="15.75" x14ac:dyDescent="0.25">
      <c r="B46" s="486"/>
      <c r="C46" s="707"/>
      <c r="D46" s="537"/>
      <c r="E46" s="537"/>
      <c r="F46" s="710"/>
      <c r="G46" s="698"/>
      <c r="I46" s="711"/>
      <c r="J46" s="712"/>
      <c r="K46" s="713"/>
      <c r="L46" s="698"/>
      <c r="M46" s="699"/>
      <c r="N46" s="700"/>
      <c r="O46" s="701"/>
      <c r="P46" s="701"/>
      <c r="Q46" s="702"/>
      <c r="R46" s="702"/>
      <c r="S46" s="703"/>
      <c r="T46" s="714"/>
      <c r="U46" s="705"/>
      <c r="V46" s="485"/>
      <c r="W46" s="485"/>
      <c r="X46" s="485"/>
      <c r="Y46" s="485"/>
      <c r="Z46" s="490"/>
    </row>
    <row r="47" spans="2:26" s="724" customFormat="1" ht="15.75" x14ac:dyDescent="0.25">
      <c r="B47" s="719"/>
      <c r="C47" s="720"/>
      <c r="D47" s="721" t="s">
        <v>204</v>
      </c>
      <c r="E47" s="721" t="s">
        <v>199</v>
      </c>
      <c r="F47" s="722" t="s">
        <v>205</v>
      </c>
      <c r="G47" s="723" t="s">
        <v>205</v>
      </c>
      <c r="I47" s="708" t="s">
        <v>206</v>
      </c>
      <c r="J47" s="491"/>
      <c r="K47" s="721"/>
      <c r="L47" s="725"/>
      <c r="M47" s="725"/>
      <c r="N47" s="726"/>
      <c r="O47" s="727"/>
      <c r="P47" s="728"/>
      <c r="Q47" s="728"/>
      <c r="R47" s="729"/>
      <c r="S47" s="730"/>
      <c r="U47" s="731"/>
      <c r="Z47" s="490"/>
    </row>
    <row r="48" spans="2:26" s="724" customFormat="1" ht="6.75" customHeight="1" x14ac:dyDescent="0.25">
      <c r="B48" s="719"/>
      <c r="C48" s="720"/>
      <c r="D48" s="721"/>
      <c r="E48" s="721"/>
      <c r="F48" s="722"/>
      <c r="G48" s="723"/>
      <c r="I48" s="725"/>
      <c r="J48" s="491"/>
      <c r="K48" s="721"/>
      <c r="L48" s="725"/>
      <c r="M48" s="725"/>
      <c r="N48" s="726"/>
      <c r="O48" s="727"/>
      <c r="P48" s="728"/>
      <c r="Q48" s="728"/>
      <c r="R48" s="729"/>
      <c r="S48" s="730"/>
      <c r="U48" s="732"/>
      <c r="Z48" s="490"/>
    </row>
    <row r="49" spans="2:26" s="724" customFormat="1" ht="15.75" x14ac:dyDescent="0.25">
      <c r="B49" s="719"/>
      <c r="C49" s="720"/>
      <c r="D49" s="721" t="s">
        <v>207</v>
      </c>
      <c r="E49" s="722">
        <v>132</v>
      </c>
      <c r="F49" s="733" t="s">
        <v>208</v>
      </c>
      <c r="G49" s="723"/>
      <c r="I49" s="711">
        <f>Y20*E18</f>
        <v>11935.992</v>
      </c>
      <c r="J49" s="491"/>
      <c r="K49" s="721"/>
      <c r="L49" s="725"/>
      <c r="M49" s="725"/>
      <c r="N49" s="726"/>
      <c r="O49" s="727"/>
      <c r="P49" s="728"/>
      <c r="Q49" s="728"/>
      <c r="R49" s="729"/>
      <c r="S49" s="730"/>
      <c r="U49" s="732"/>
      <c r="Z49" s="490"/>
    </row>
    <row r="50" spans="2:26" s="724" customFormat="1" ht="15.75" x14ac:dyDescent="0.25">
      <c r="B50" s="719"/>
      <c r="C50" s="720"/>
      <c r="D50" s="721"/>
      <c r="E50" s="722"/>
      <c r="F50" s="733"/>
      <c r="G50" s="723"/>
      <c r="I50" s="491"/>
      <c r="J50" s="491"/>
      <c r="K50" s="721"/>
      <c r="L50" s="725"/>
      <c r="M50" s="725"/>
      <c r="N50" s="726"/>
      <c r="O50" s="727"/>
      <c r="P50" s="728"/>
      <c r="Q50" s="728"/>
      <c r="R50" s="729"/>
      <c r="S50" s="730"/>
      <c r="U50" s="732"/>
      <c r="Z50" s="490"/>
    </row>
    <row r="51" spans="2:26" ht="16.5" thickBot="1" x14ac:dyDescent="0.3">
      <c r="B51" s="486"/>
      <c r="C51" s="707"/>
      <c r="D51" s="537"/>
      <c r="F51" s="706"/>
      <c r="G51" s="698"/>
      <c r="H51" s="711"/>
      <c r="I51" s="537"/>
      <c r="J51" s="537"/>
      <c r="K51" s="698"/>
      <c r="L51" s="698"/>
      <c r="M51" s="699"/>
      <c r="N51" s="700"/>
      <c r="O51" s="701"/>
      <c r="P51" s="701"/>
      <c r="Q51" s="702"/>
      <c r="R51" s="702"/>
      <c r="S51" s="703"/>
      <c r="T51" s="717"/>
      <c r="U51" s="705"/>
      <c r="V51" s="485"/>
      <c r="W51" s="485"/>
      <c r="X51" s="485"/>
      <c r="Y51" s="485"/>
      <c r="Z51" s="490"/>
    </row>
    <row r="52" spans="2:26" ht="20.25" thickTop="1" thickBot="1" x14ac:dyDescent="0.35">
      <c r="B52" s="486"/>
      <c r="C52" s="707"/>
      <c r="D52" s="537"/>
      <c r="E52" s="537"/>
      <c r="F52" s="706"/>
      <c r="G52" s="698"/>
      <c r="H52" s="696" t="s">
        <v>209</v>
      </c>
      <c r="I52" s="697">
        <f>X45+I49</f>
        <v>282718.10354400007</v>
      </c>
      <c r="J52" s="537"/>
      <c r="K52" s="698"/>
      <c r="L52" s="698"/>
      <c r="M52" s="696" t="s">
        <v>210</v>
      </c>
      <c r="N52" s="700"/>
      <c r="O52" s="701"/>
      <c r="P52" s="701"/>
      <c r="Q52" s="702"/>
      <c r="R52" s="702"/>
      <c r="S52" s="703"/>
      <c r="T52" s="717"/>
      <c r="U52" s="705"/>
      <c r="V52" s="485"/>
      <c r="W52" s="485"/>
      <c r="X52" s="697">
        <v>118738.70157599999</v>
      </c>
      <c r="Y52" s="485"/>
      <c r="Z52" s="490"/>
    </row>
    <row r="53" spans="2:26" ht="16.5" thickTop="1" x14ac:dyDescent="0.25">
      <c r="B53" s="486"/>
      <c r="C53" s="707"/>
      <c r="D53" s="537"/>
      <c r="E53" s="537"/>
      <c r="F53" s="706"/>
      <c r="G53" s="698"/>
      <c r="H53" s="711"/>
      <c r="I53" s="537"/>
      <c r="J53" s="537"/>
      <c r="K53" s="698"/>
      <c r="L53" s="698"/>
      <c r="M53" s="699"/>
      <c r="N53" s="700"/>
      <c r="O53" s="701"/>
      <c r="P53" s="701"/>
      <c r="Q53" s="702"/>
      <c r="R53" s="702"/>
      <c r="S53" s="703"/>
      <c r="T53" s="717"/>
      <c r="U53" s="705"/>
      <c r="V53" s="485"/>
      <c r="W53" s="485"/>
      <c r="X53" s="485"/>
      <c r="Y53" s="485"/>
      <c r="Z53" s="490"/>
    </row>
    <row r="54" spans="2:26" ht="15.75" x14ac:dyDescent="0.25">
      <c r="B54" s="486"/>
      <c r="C54" s="734" t="s">
        <v>211</v>
      </c>
      <c r="D54" s="537"/>
      <c r="E54" s="537"/>
      <c r="F54" s="706"/>
      <c r="G54" s="698"/>
      <c r="H54" s="711"/>
      <c r="I54" s="537"/>
      <c r="J54" s="537"/>
      <c r="K54" s="698"/>
      <c r="L54" s="698"/>
      <c r="M54" s="699"/>
      <c r="N54" s="700"/>
      <c r="O54" s="701"/>
      <c r="P54" s="701"/>
      <c r="Q54" s="702"/>
      <c r="R54" s="702"/>
      <c r="S54" s="703"/>
      <c r="T54" s="717"/>
      <c r="U54" s="705"/>
      <c r="V54" s="485"/>
      <c r="W54" s="485"/>
      <c r="X54" s="485"/>
      <c r="Y54" s="485"/>
      <c r="Z54" s="490"/>
    </row>
    <row r="55" spans="2:26" ht="16.5" thickBot="1" x14ac:dyDescent="0.3">
      <c r="B55" s="486"/>
      <c r="C55" s="707"/>
      <c r="D55" s="537"/>
      <c r="E55" s="537"/>
      <c r="F55" s="706"/>
      <c r="G55" s="698"/>
      <c r="H55" s="711"/>
      <c r="I55" s="537"/>
      <c r="J55" s="537"/>
      <c r="K55" s="698"/>
      <c r="L55" s="698"/>
      <c r="M55" s="699"/>
      <c r="N55" s="700"/>
      <c r="O55" s="701"/>
      <c r="P55" s="701"/>
      <c r="Q55" s="702"/>
      <c r="R55" s="702"/>
      <c r="S55" s="703"/>
      <c r="T55" s="717"/>
      <c r="U55" s="705"/>
      <c r="V55" s="485"/>
      <c r="W55" s="485"/>
      <c r="X55" s="485"/>
      <c r="Y55" s="485"/>
      <c r="Z55" s="490"/>
    </row>
    <row r="56" spans="2:26" ht="20.25" thickTop="1" thickBot="1" x14ac:dyDescent="0.35">
      <c r="B56" s="486"/>
      <c r="C56" s="707"/>
      <c r="D56" s="735" t="s">
        <v>212</v>
      </c>
      <c r="F56" s="736"/>
      <c r="G56" s="487"/>
      <c r="H56" s="737" t="s">
        <v>213</v>
      </c>
      <c r="I56" s="738">
        <f>E19*X52</f>
        <v>2968.4675394000001</v>
      </c>
      <c r="J56" s="506"/>
      <c r="L56" s="491" t="s">
        <v>214</v>
      </c>
      <c r="N56" s="700"/>
      <c r="O56" s="700"/>
      <c r="P56" s="701"/>
      <c r="Q56" s="702"/>
      <c r="R56" s="702"/>
      <c r="S56" s="703"/>
      <c r="T56" s="717"/>
      <c r="U56" s="705"/>
      <c r="V56" s="485"/>
      <c r="W56" s="485"/>
      <c r="X56" s="485"/>
      <c r="Y56" s="485"/>
      <c r="Z56" s="490"/>
    </row>
    <row r="57" spans="2:26" ht="21" thickTop="1" x14ac:dyDescent="0.3">
      <c r="B57" s="486"/>
      <c r="C57" s="707"/>
      <c r="F57" s="739"/>
      <c r="G57" s="480"/>
      <c r="I57" s="506"/>
      <c r="J57" s="506"/>
      <c r="N57" s="700"/>
      <c r="O57" s="700"/>
      <c r="P57" s="701"/>
      <c r="Q57" s="702"/>
      <c r="R57" s="702"/>
      <c r="S57" s="703"/>
      <c r="T57" s="704"/>
      <c r="U57" s="705"/>
      <c r="V57" s="485"/>
      <c r="W57" s="485"/>
      <c r="X57" s="485"/>
      <c r="Y57" s="485"/>
      <c r="Z57" s="490"/>
    </row>
    <row r="58" spans="2:26" ht="15" x14ac:dyDescent="0.25">
      <c r="B58" s="486"/>
      <c r="C58" s="536" t="s">
        <v>215</v>
      </c>
      <c r="E58" s="506"/>
      <c r="F58" s="506"/>
      <c r="G58" s="506"/>
      <c r="H58" s="506"/>
      <c r="I58" s="698"/>
      <c r="J58" s="698"/>
      <c r="K58" s="698"/>
      <c r="L58" s="698"/>
      <c r="M58" s="699"/>
      <c r="N58" s="700"/>
      <c r="O58" s="701"/>
      <c r="P58" s="701"/>
      <c r="Q58" s="702"/>
      <c r="R58" s="702"/>
      <c r="S58" s="703"/>
      <c r="T58" s="704"/>
      <c r="U58" s="705"/>
      <c r="V58" s="485"/>
      <c r="W58" s="485"/>
      <c r="X58" s="485"/>
      <c r="Y58" s="485"/>
      <c r="Z58" s="490"/>
    </row>
    <row r="59" spans="2:26" ht="15" x14ac:dyDescent="0.25">
      <c r="B59" s="486"/>
      <c r="C59" s="707"/>
      <c r="D59" s="740" t="s">
        <v>216</v>
      </c>
      <c r="E59" s="741">
        <f>10*Y30*I56/I52</f>
        <v>2813.847338545771</v>
      </c>
      <c r="F59" s="742"/>
      <c r="H59" s="506"/>
      <c r="I59" s="698"/>
      <c r="J59" s="698"/>
      <c r="K59" s="698"/>
      <c r="L59" s="698"/>
      <c r="M59" s="699"/>
      <c r="N59" s="700"/>
      <c r="O59" s="701"/>
      <c r="P59" s="701"/>
      <c r="Q59" s="702"/>
      <c r="R59" s="702"/>
      <c r="S59" s="703"/>
      <c r="T59" s="704"/>
      <c r="U59" s="705"/>
      <c r="V59" s="485"/>
      <c r="W59" s="485"/>
      <c r="X59" s="485"/>
      <c r="Y59" s="485"/>
      <c r="Z59" s="490"/>
    </row>
    <row r="60" spans="2:26" ht="15" x14ac:dyDescent="0.25">
      <c r="B60" s="486"/>
      <c r="C60" s="707"/>
      <c r="D60" s="506"/>
      <c r="E60" s="506"/>
      <c r="J60" s="698"/>
      <c r="K60" s="698"/>
      <c r="L60" s="698"/>
      <c r="M60" s="699"/>
      <c r="N60" s="700"/>
      <c r="O60" s="701"/>
      <c r="P60" s="701"/>
      <c r="Q60" s="702"/>
      <c r="R60" s="702"/>
      <c r="S60" s="703"/>
      <c r="T60" s="704"/>
      <c r="U60" s="705"/>
      <c r="V60" s="485"/>
      <c r="W60" s="485"/>
      <c r="X60" s="485"/>
      <c r="Y60" s="485"/>
      <c r="Z60" s="490"/>
    </row>
    <row r="61" spans="2:26" ht="15" x14ac:dyDescent="0.25">
      <c r="B61" s="486"/>
      <c r="C61" s="707"/>
      <c r="D61" s="506" t="s">
        <v>217</v>
      </c>
      <c r="E61" s="506"/>
      <c r="F61" s="506"/>
      <c r="G61" s="506"/>
      <c r="H61" s="506"/>
      <c r="L61" s="698"/>
      <c r="M61" s="699"/>
      <c r="N61" s="700"/>
      <c r="O61" s="701"/>
      <c r="P61" s="701"/>
      <c r="Q61" s="702"/>
      <c r="R61" s="702"/>
      <c r="S61" s="703"/>
      <c r="T61" s="704"/>
      <c r="U61" s="705"/>
      <c r="V61" s="485"/>
      <c r="W61" s="485"/>
      <c r="X61" s="485"/>
      <c r="Y61" s="485"/>
      <c r="Z61" s="490"/>
    </row>
    <row r="62" spans="2:26" ht="15.75" thickBot="1" x14ac:dyDescent="0.3">
      <c r="B62" s="486"/>
      <c r="C62" s="707"/>
      <c r="D62" s="506"/>
      <c r="E62" s="506"/>
      <c r="F62" s="506"/>
      <c r="G62" s="506"/>
      <c r="H62" s="506"/>
      <c r="L62" s="698"/>
      <c r="M62" s="699"/>
      <c r="N62" s="700"/>
      <c r="O62" s="701"/>
      <c r="P62" s="701"/>
      <c r="Q62" s="702"/>
      <c r="R62" s="702"/>
      <c r="S62" s="703"/>
      <c r="T62" s="704"/>
      <c r="U62" s="705"/>
      <c r="V62" s="485"/>
      <c r="W62" s="485"/>
      <c r="X62" s="485"/>
      <c r="Y62" s="485"/>
      <c r="Z62" s="490"/>
    </row>
    <row r="63" spans="2:26" ht="20.25" thickTop="1" thickBot="1" x14ac:dyDescent="0.35">
      <c r="B63" s="486"/>
      <c r="C63" s="707"/>
      <c r="D63" s="537"/>
      <c r="E63" s="537"/>
      <c r="F63" s="706"/>
      <c r="G63" s="698"/>
      <c r="H63" s="743" t="s">
        <v>218</v>
      </c>
      <c r="I63" s="744">
        <f>IF(E59&gt;3*I56,3*I56,$E$59)</f>
        <v>2813.847338545771</v>
      </c>
      <c r="J63" s="698"/>
      <c r="K63" s="698"/>
      <c r="L63" s="698"/>
      <c r="M63" s="699"/>
      <c r="N63" s="700"/>
      <c r="O63" s="701"/>
      <c r="P63" s="701"/>
      <c r="Q63" s="702"/>
      <c r="R63" s="702"/>
      <c r="S63" s="703"/>
      <c r="T63" s="704"/>
      <c r="U63" s="705"/>
      <c r="V63" s="485"/>
      <c r="W63" s="485"/>
      <c r="X63" s="485"/>
      <c r="Y63" s="485"/>
      <c r="Z63" s="490"/>
    </row>
    <row r="64" spans="2:26" ht="16.5" thickTop="1" thickBot="1" x14ac:dyDescent="0.3">
      <c r="B64" s="745"/>
      <c r="C64" s="746"/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746"/>
      <c r="R64" s="746"/>
      <c r="S64" s="746"/>
      <c r="T64" s="746"/>
      <c r="U64" s="746"/>
      <c r="V64" s="747"/>
      <c r="W64" s="747"/>
      <c r="X64" s="747"/>
      <c r="Y64" s="747"/>
      <c r="Z64" s="748"/>
    </row>
    <row r="65" spans="1:21" ht="13.5" thickTop="1" x14ac:dyDescent="0.2">
      <c r="B65" s="485"/>
      <c r="U65" s="485"/>
    </row>
    <row r="67" spans="1:21" x14ac:dyDescent="0.2">
      <c r="A67" s="485"/>
    </row>
    <row r="68" spans="1:21" x14ac:dyDescent="0.2">
      <c r="A68" s="485"/>
    </row>
    <row r="69" spans="1:21" x14ac:dyDescent="0.2">
      <c r="A69" s="485"/>
    </row>
    <row r="70" spans="1:21" x14ac:dyDescent="0.2">
      <c r="A70" s="485"/>
    </row>
    <row r="71" spans="1:21" x14ac:dyDescent="0.2">
      <c r="A71" s="485"/>
    </row>
    <row r="74" spans="1:21" ht="12" customHeight="1" x14ac:dyDescent="0.2"/>
    <row r="110" spans="2:2" x14ac:dyDescent="0.2">
      <c r="B110" s="485"/>
    </row>
    <row r="116" spans="1:1" x14ac:dyDescent="0.2">
      <c r="A116" s="485"/>
    </row>
  </sheetData>
  <mergeCells count="1">
    <mergeCell ref="B12:Z12"/>
  </mergeCells>
  <pageMargins left="0.39370078740157483" right="0.19685039370078741" top="0.59055118110236227" bottom="0.55000000000000004" header="0.51181102362204722" footer="0.24"/>
  <pageSetup paperSize="9" scale="49" orientation="landscape" r:id="rId1"/>
  <headerFooter alignWithMargins="0">
    <oddFooter>&amp;L&amp;"Times New Roman,Normal"&amp;8&amp;Z&amp;F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C27"/>
  <sheetViews>
    <sheetView zoomScale="80" zoomScaleNormal="80" workbookViewId="0">
      <pane xSplit="1" ySplit="17" topLeftCell="B18" activePane="bottomRight" state="frozen"/>
      <selection activeCell="A33" sqref="A33"/>
      <selection pane="topRight" activeCell="A33" sqref="A33"/>
      <selection pane="bottomLeft" activeCell="A33" sqref="A33"/>
      <selection pane="bottomRight" activeCell="D29" sqref="D29"/>
    </sheetView>
  </sheetViews>
  <sheetFormatPr baseColWidth="10" defaultRowHeight="12.75" x14ac:dyDescent="0.2"/>
  <cols>
    <col min="1" max="1" width="21.7109375" style="105" customWidth="1"/>
    <col min="2" max="2" width="9.28515625" style="105" customWidth="1"/>
    <col min="3" max="3" width="11.85546875" style="105" bestFit="1" customWidth="1"/>
    <col min="4" max="4" width="9.5703125" style="105" bestFit="1" customWidth="1"/>
    <col min="5" max="5" width="14.85546875" style="105" bestFit="1" customWidth="1"/>
    <col min="6" max="6" width="64" style="105" bestFit="1" customWidth="1"/>
    <col min="7" max="16384" width="11.42578125" style="105"/>
  </cols>
  <sheetData>
    <row r="1" spans="1:9" x14ac:dyDescent="0.2">
      <c r="A1" s="369" t="s">
        <v>55</v>
      </c>
      <c r="B1" s="369" t="s">
        <v>55</v>
      </c>
      <c r="C1" s="369" t="s">
        <v>56</v>
      </c>
      <c r="D1" s="369" t="s">
        <v>57</v>
      </c>
    </row>
    <row r="2" spans="1:9" x14ac:dyDescent="0.2">
      <c r="A2" s="370" t="s">
        <v>58</v>
      </c>
      <c r="B2" s="371" t="s">
        <v>59</v>
      </c>
      <c r="C2" s="370">
        <v>31</v>
      </c>
      <c r="D2" s="370">
        <v>2006</v>
      </c>
    </row>
    <row r="3" spans="1:9" x14ac:dyDescent="0.2">
      <c r="A3" s="370" t="s">
        <v>60</v>
      </c>
      <c r="B3" s="371" t="s">
        <v>61</v>
      </c>
      <c r="C3" s="370">
        <f ca="1">IF(MOD(E14,4)=0,29,28)</f>
        <v>29</v>
      </c>
      <c r="D3" s="370">
        <f>+D2+1</f>
        <v>2007</v>
      </c>
    </row>
    <row r="4" spans="1:9" x14ac:dyDescent="0.2">
      <c r="A4" s="370" t="s">
        <v>62</v>
      </c>
      <c r="B4" s="371" t="s">
        <v>63</v>
      </c>
      <c r="C4" s="370">
        <v>31</v>
      </c>
      <c r="D4" s="370">
        <f>+D3+1</f>
        <v>2008</v>
      </c>
    </row>
    <row r="5" spans="1:9" x14ac:dyDescent="0.2">
      <c r="A5" s="370" t="s">
        <v>64</v>
      </c>
      <c r="B5" s="371" t="s">
        <v>65</v>
      </c>
      <c r="C5" s="370">
        <v>30</v>
      </c>
      <c r="D5" s="370">
        <f>+D4+1</f>
        <v>2009</v>
      </c>
    </row>
    <row r="6" spans="1:9" x14ac:dyDescent="0.2">
      <c r="A6" s="370" t="s">
        <v>66</v>
      </c>
      <c r="B6" s="371" t="s">
        <v>67</v>
      </c>
      <c r="C6" s="370">
        <v>31</v>
      </c>
      <c r="D6" s="370">
        <v>2010</v>
      </c>
    </row>
    <row r="7" spans="1:9" x14ac:dyDescent="0.2">
      <c r="A7" s="370" t="s">
        <v>68</v>
      </c>
      <c r="B7" s="371" t="s">
        <v>69</v>
      </c>
      <c r="C7" s="370">
        <v>30</v>
      </c>
      <c r="D7" s="370">
        <v>2011</v>
      </c>
    </row>
    <row r="8" spans="1:9" x14ac:dyDescent="0.2">
      <c r="A8" s="370" t="s">
        <v>70</v>
      </c>
      <c r="B8" s="371" t="s">
        <v>71</v>
      </c>
      <c r="C8" s="370">
        <v>31</v>
      </c>
      <c r="D8" s="370">
        <v>2012</v>
      </c>
    </row>
    <row r="9" spans="1:9" x14ac:dyDescent="0.2">
      <c r="A9" s="370" t="s">
        <v>72</v>
      </c>
      <c r="B9" s="371" t="s">
        <v>73</v>
      </c>
      <c r="C9" s="370">
        <v>31</v>
      </c>
      <c r="D9" s="370">
        <v>2013</v>
      </c>
    </row>
    <row r="10" spans="1:9" x14ac:dyDescent="0.2">
      <c r="A10" s="370" t="s">
        <v>74</v>
      </c>
      <c r="B10" s="371" t="s">
        <v>75</v>
      </c>
      <c r="C10" s="370">
        <v>30</v>
      </c>
      <c r="D10" s="370">
        <v>2014</v>
      </c>
    </row>
    <row r="11" spans="1:9" x14ac:dyDescent="0.2">
      <c r="A11" s="370" t="s">
        <v>76</v>
      </c>
      <c r="B11" s="371" t="s">
        <v>77</v>
      </c>
      <c r="C11" s="370">
        <v>31</v>
      </c>
      <c r="D11" s="370">
        <v>2015</v>
      </c>
    </row>
    <row r="12" spans="1:9" x14ac:dyDescent="0.2">
      <c r="A12" s="370" t="s">
        <v>78</v>
      </c>
      <c r="B12" s="371" t="s">
        <v>79</v>
      </c>
      <c r="C12" s="370">
        <v>30</v>
      </c>
      <c r="D12" s="370">
        <v>2016</v>
      </c>
    </row>
    <row r="13" spans="1:9" x14ac:dyDescent="0.2">
      <c r="A13" s="370" t="s">
        <v>80</v>
      </c>
      <c r="B13" s="371" t="s">
        <v>81</v>
      </c>
      <c r="C13" s="370">
        <v>31</v>
      </c>
      <c r="D13" s="370"/>
      <c r="I13" s="383" t="s">
        <v>128</v>
      </c>
    </row>
    <row r="14" spans="1:9" x14ac:dyDescent="0.2">
      <c r="A14" s="372">
        <v>11</v>
      </c>
      <c r="B14" s="373">
        <v>3</v>
      </c>
      <c r="C14" s="372" t="str">
        <f ca="1">CELL("CONTENIDO",OFFSET(A1,B14,0))</f>
        <v>marzo</v>
      </c>
      <c r="D14" s="372">
        <f ca="1">CELL("CONTENIDO",OFFSET(C1,B14,0))</f>
        <v>31</v>
      </c>
      <c r="E14" s="372">
        <f ca="1">CELL("CONTENIDO",OFFSET(D1,A14,0))</f>
        <v>2016</v>
      </c>
      <c r="F14" s="372" t="str">
        <f ca="1">"Desde el 01 al " &amp; D14 &amp; " de " &amp; C14 &amp; " de " &amp; E14</f>
        <v>Desde el 01 al 31 de marzo de 2016</v>
      </c>
      <c r="G14" s="372" t="str">
        <f ca="1">CELL("CONTENIDO",OFFSET(B1,B14,0))</f>
        <v>03</v>
      </c>
      <c r="H14" s="372" t="str">
        <f ca="1">RIGHT(E14,2)</f>
        <v>16</v>
      </c>
      <c r="I14" s="384" t="s">
        <v>129</v>
      </c>
    </row>
    <row r="15" spans="1:9" x14ac:dyDescent="0.2">
      <c r="A15" s="372"/>
      <c r="B15" s="374" t="str">
        <f ca="1">"\\rugor\files\Transporte\Transporte\AA PROCESO AUT ARCHIVOS J\TRANSNEA\" &amp;E14</f>
        <v>\\rugor\files\Transporte\Transporte\AA PROCESO AUT ARCHIVOS J\TRANSNEA\2016</v>
      </c>
      <c r="C15" s="372"/>
      <c r="D15" s="372"/>
      <c r="E15" s="372"/>
      <c r="F15" s="372"/>
      <c r="G15" s="372" t="str">
        <f ca="1">"J"&amp;G14&amp;H14&amp;"NEA"</f>
        <v>J0316NEA</v>
      </c>
      <c r="H15" s="372"/>
    </row>
    <row r="16" spans="1:9" x14ac:dyDescent="0.2">
      <c r="A16" s="372"/>
      <c r="B16" s="374" t="str">
        <f ca="1">"\\rugor\files\Transporte\transporte\AA PROCESO AUT\INTERCAMBIO\" &amp;H14&amp;G14</f>
        <v>\\rugor\files\Transporte\transporte\AA PROCESO AUT\INTERCAMBIO\1603</v>
      </c>
      <c r="C16" s="372"/>
      <c r="D16" s="372"/>
      <c r="E16" s="372"/>
      <c r="F16" s="372"/>
      <c r="G16" s="372"/>
      <c r="H16" s="372"/>
    </row>
    <row r="17" spans="1:29" s="382" customFormat="1" x14ac:dyDescent="0.2">
      <c r="A17" s="369" t="s">
        <v>82</v>
      </c>
      <c r="B17" s="369" t="s">
        <v>83</v>
      </c>
      <c r="C17" s="369" t="s">
        <v>84</v>
      </c>
      <c r="D17" s="369" t="s">
        <v>85</v>
      </c>
      <c r="E17" s="369" t="s">
        <v>86</v>
      </c>
      <c r="F17" s="369" t="s">
        <v>87</v>
      </c>
      <c r="G17" s="369" t="s">
        <v>88</v>
      </c>
      <c r="H17" s="369" t="s">
        <v>89</v>
      </c>
      <c r="I17" s="369" t="s">
        <v>90</v>
      </c>
      <c r="J17" s="369" t="s">
        <v>91</v>
      </c>
      <c r="K17" s="369" t="s">
        <v>92</v>
      </c>
      <c r="L17" s="369" t="s">
        <v>93</v>
      </c>
      <c r="M17" s="369" t="s">
        <v>94</v>
      </c>
      <c r="N17" s="369" t="s">
        <v>95</v>
      </c>
      <c r="O17" s="369" t="s">
        <v>96</v>
      </c>
      <c r="P17" s="369" t="s">
        <v>97</v>
      </c>
      <c r="Q17" s="369" t="s">
        <v>98</v>
      </c>
      <c r="R17" s="369" t="s">
        <v>99</v>
      </c>
      <c r="S17" s="369" t="s">
        <v>100</v>
      </c>
      <c r="T17" s="369" t="s">
        <v>101</v>
      </c>
      <c r="U17" s="369" t="s">
        <v>102</v>
      </c>
      <c r="V17" s="369" t="s">
        <v>103</v>
      </c>
      <c r="W17" s="369" t="s">
        <v>122</v>
      </c>
      <c r="X17" s="369" t="s">
        <v>123</v>
      </c>
      <c r="Y17" s="369" t="s">
        <v>124</v>
      </c>
      <c r="Z17" s="369" t="s">
        <v>125</v>
      </c>
      <c r="AA17" s="369" t="s">
        <v>126</v>
      </c>
      <c r="AB17" s="369" t="s">
        <v>127</v>
      </c>
      <c r="AC17" s="369" t="s">
        <v>121</v>
      </c>
    </row>
    <row r="18" spans="1:29" x14ac:dyDescent="0.2">
      <c r="A18" s="375" t="s">
        <v>104</v>
      </c>
      <c r="B18" s="375">
        <v>23</v>
      </c>
      <c r="C18" s="375">
        <v>20</v>
      </c>
      <c r="D18" s="375">
        <v>11</v>
      </c>
      <c r="E18" s="375" t="str">
        <f ca="1">"LI-" &amp; $G$14</f>
        <v>LI-03</v>
      </c>
      <c r="F18" s="375" t="s">
        <v>133</v>
      </c>
      <c r="G18" s="375">
        <v>3</v>
      </c>
      <c r="H18" s="376">
        <v>5</v>
      </c>
      <c r="I18" s="376">
        <v>4</v>
      </c>
      <c r="J18" s="375">
        <v>6</v>
      </c>
      <c r="K18" s="375">
        <v>7</v>
      </c>
      <c r="L18" s="375">
        <v>8</v>
      </c>
      <c r="M18" s="375">
        <v>0</v>
      </c>
      <c r="N18" s="375">
        <v>10</v>
      </c>
      <c r="O18" s="377">
        <v>11</v>
      </c>
      <c r="P18" s="375">
        <v>14</v>
      </c>
      <c r="Q18" s="375">
        <v>0</v>
      </c>
      <c r="R18" s="375">
        <v>26</v>
      </c>
      <c r="S18" s="375">
        <v>0</v>
      </c>
      <c r="T18" s="375">
        <v>0</v>
      </c>
      <c r="U18" s="375">
        <v>0</v>
      </c>
      <c r="V18" s="375">
        <v>0</v>
      </c>
      <c r="W18" s="375">
        <v>20</v>
      </c>
      <c r="X18" s="375">
        <v>9</v>
      </c>
      <c r="Y18" s="375">
        <v>44</v>
      </c>
      <c r="Z18" s="375">
        <v>27</v>
      </c>
      <c r="AA18" s="375">
        <v>21</v>
      </c>
      <c r="AB18" s="375">
        <v>27</v>
      </c>
      <c r="AC18" s="375">
        <v>14</v>
      </c>
    </row>
    <row r="19" spans="1:29" x14ac:dyDescent="0.2">
      <c r="A19" s="377" t="s">
        <v>105</v>
      </c>
      <c r="B19" s="377">
        <v>22</v>
      </c>
      <c r="C19" s="377">
        <v>20</v>
      </c>
      <c r="D19" s="377">
        <v>13</v>
      </c>
      <c r="E19" s="377" t="str">
        <f ca="1">"T-" &amp; $G$14</f>
        <v>T-03</v>
      </c>
      <c r="F19" s="377" t="s">
        <v>134</v>
      </c>
      <c r="G19" s="375">
        <v>3</v>
      </c>
      <c r="H19" s="376">
        <v>5</v>
      </c>
      <c r="I19" s="376">
        <v>4</v>
      </c>
      <c r="J19" s="377">
        <v>6</v>
      </c>
      <c r="K19" s="377">
        <v>7</v>
      </c>
      <c r="L19" s="377">
        <v>8</v>
      </c>
      <c r="M19" s="377">
        <v>9</v>
      </c>
      <c r="N19" s="377">
        <v>11</v>
      </c>
      <c r="O19" s="377">
        <v>12</v>
      </c>
      <c r="P19" s="377">
        <v>15</v>
      </c>
      <c r="Q19" s="377">
        <v>16</v>
      </c>
      <c r="R19" s="377">
        <v>18</v>
      </c>
      <c r="S19" s="377">
        <v>28</v>
      </c>
      <c r="T19" s="377">
        <v>17</v>
      </c>
      <c r="U19" s="377">
        <v>0</v>
      </c>
      <c r="V19" s="377">
        <v>0</v>
      </c>
      <c r="W19" s="377">
        <v>28</v>
      </c>
      <c r="X19" s="375">
        <v>9</v>
      </c>
      <c r="Y19" s="377">
        <v>43</v>
      </c>
      <c r="Z19" s="377">
        <v>29</v>
      </c>
      <c r="AA19" s="377">
        <v>20</v>
      </c>
      <c r="AB19" s="377">
        <v>29</v>
      </c>
      <c r="AC19" s="377">
        <v>15</v>
      </c>
    </row>
    <row r="20" spans="1:29" x14ac:dyDescent="0.2">
      <c r="A20" s="375" t="s">
        <v>106</v>
      </c>
      <c r="B20" s="375">
        <v>22</v>
      </c>
      <c r="C20" s="375">
        <v>20</v>
      </c>
      <c r="D20" s="375">
        <v>10</v>
      </c>
      <c r="E20" s="375" t="str">
        <f ca="1">"SA-" &amp; $G$14</f>
        <v>SA-03</v>
      </c>
      <c r="F20" s="375" t="s">
        <v>135</v>
      </c>
      <c r="G20" s="375">
        <v>3</v>
      </c>
      <c r="H20" s="376">
        <v>5</v>
      </c>
      <c r="I20" s="376">
        <v>4</v>
      </c>
      <c r="J20" s="375">
        <v>6</v>
      </c>
      <c r="K20" s="375">
        <v>7</v>
      </c>
      <c r="L20" s="375">
        <v>8</v>
      </c>
      <c r="M20" s="375">
        <v>10</v>
      </c>
      <c r="N20" s="377">
        <v>11</v>
      </c>
      <c r="O20" s="375">
        <v>14</v>
      </c>
      <c r="P20" s="375">
        <v>15</v>
      </c>
      <c r="Q20" s="375">
        <v>21</v>
      </c>
      <c r="R20" s="375">
        <v>0</v>
      </c>
      <c r="S20" s="375">
        <v>0</v>
      </c>
      <c r="T20" s="375">
        <v>0</v>
      </c>
      <c r="U20" s="375">
        <v>0</v>
      </c>
      <c r="V20" s="375">
        <v>0</v>
      </c>
      <c r="W20" s="375">
        <v>32</v>
      </c>
      <c r="X20" s="375">
        <v>9</v>
      </c>
      <c r="Y20" s="375">
        <v>43</v>
      </c>
      <c r="Z20" s="375">
        <v>22</v>
      </c>
      <c r="AA20" s="375">
        <v>20</v>
      </c>
      <c r="AB20" s="375">
        <v>22</v>
      </c>
      <c r="AC20" s="375">
        <v>14</v>
      </c>
    </row>
    <row r="21" spans="1:29" x14ac:dyDescent="0.2">
      <c r="A21" s="375" t="s">
        <v>107</v>
      </c>
      <c r="B21" s="375">
        <v>23</v>
      </c>
      <c r="C21" s="375">
        <v>20</v>
      </c>
      <c r="D21" s="375">
        <v>11</v>
      </c>
      <c r="E21" s="375" t="str">
        <f ca="1">"LI-DPEC-" &amp; $G$14</f>
        <v>LI-DPEC-03</v>
      </c>
      <c r="F21" s="375" t="s">
        <v>132</v>
      </c>
      <c r="G21" s="375">
        <v>3</v>
      </c>
      <c r="H21" s="376">
        <v>5</v>
      </c>
      <c r="I21" s="376">
        <v>4</v>
      </c>
      <c r="J21" s="375">
        <v>6</v>
      </c>
      <c r="K21" s="375">
        <v>7</v>
      </c>
      <c r="L21" s="375">
        <v>8</v>
      </c>
      <c r="M21" s="375">
        <v>0</v>
      </c>
      <c r="N21" s="375">
        <v>10</v>
      </c>
      <c r="O21" s="375">
        <v>11</v>
      </c>
      <c r="P21" s="375">
        <v>14</v>
      </c>
      <c r="Q21" s="375">
        <v>0</v>
      </c>
      <c r="R21" s="375">
        <v>26</v>
      </c>
      <c r="S21" s="375">
        <v>0</v>
      </c>
      <c r="T21" s="375">
        <v>0</v>
      </c>
      <c r="U21" s="375">
        <v>0</v>
      </c>
      <c r="V21" s="375">
        <v>0</v>
      </c>
      <c r="W21" s="375">
        <v>21</v>
      </c>
      <c r="X21" s="375">
        <v>9</v>
      </c>
      <c r="Y21" s="375">
        <v>44</v>
      </c>
      <c r="Z21" s="375">
        <v>27</v>
      </c>
      <c r="AA21" s="375">
        <v>21</v>
      </c>
      <c r="AB21" s="375">
        <v>27</v>
      </c>
      <c r="AC21" s="375">
        <v>14</v>
      </c>
    </row>
    <row r="22" spans="1:29" x14ac:dyDescent="0.2">
      <c r="A22" s="375" t="s">
        <v>108</v>
      </c>
      <c r="B22" s="375">
        <v>23</v>
      </c>
      <c r="C22" s="375">
        <v>20</v>
      </c>
      <c r="D22" s="375">
        <v>11</v>
      </c>
      <c r="E22" s="375" t="str">
        <f ca="1">"LI-ENECOR-" &amp; $G$14</f>
        <v>LI-ENECOR-03</v>
      </c>
      <c r="F22" s="375" t="s">
        <v>136</v>
      </c>
      <c r="G22" s="375">
        <v>3</v>
      </c>
      <c r="H22" s="376">
        <v>5</v>
      </c>
      <c r="I22" s="376">
        <v>4</v>
      </c>
      <c r="J22" s="375">
        <v>6</v>
      </c>
      <c r="K22" s="375">
        <v>7</v>
      </c>
      <c r="L22" s="375">
        <v>8</v>
      </c>
      <c r="M22" s="375">
        <v>0</v>
      </c>
      <c r="N22" s="375">
        <v>10</v>
      </c>
      <c r="O22" s="375">
        <v>11</v>
      </c>
      <c r="P22" s="375">
        <v>14</v>
      </c>
      <c r="Q22" s="375">
        <v>0</v>
      </c>
      <c r="R22" s="375">
        <v>26</v>
      </c>
      <c r="S22" s="375">
        <v>0</v>
      </c>
      <c r="T22" s="375">
        <v>0</v>
      </c>
      <c r="U22" s="375">
        <v>0</v>
      </c>
      <c r="V22" s="375">
        <v>0</v>
      </c>
      <c r="W22" s="375">
        <v>22</v>
      </c>
      <c r="X22" s="375">
        <v>9</v>
      </c>
      <c r="Y22" s="375">
        <v>44</v>
      </c>
      <c r="Z22" s="375">
        <v>27</v>
      </c>
      <c r="AA22" s="375">
        <v>21</v>
      </c>
      <c r="AB22" s="375">
        <v>27</v>
      </c>
      <c r="AC22" s="375">
        <v>14</v>
      </c>
    </row>
    <row r="23" spans="1:29" x14ac:dyDescent="0.2">
      <c r="A23" s="375" t="s">
        <v>112</v>
      </c>
      <c r="B23" s="378">
        <v>25</v>
      </c>
      <c r="C23" s="375">
        <v>20</v>
      </c>
      <c r="D23" s="375">
        <v>11</v>
      </c>
      <c r="E23" s="375" t="str">
        <f ca="1">"LI-ELECT-" &amp; $G$14</f>
        <v>LI-ELECT-03</v>
      </c>
      <c r="F23" s="375" t="s">
        <v>137</v>
      </c>
      <c r="G23" s="375">
        <v>3</v>
      </c>
      <c r="H23" s="376">
        <v>5</v>
      </c>
      <c r="I23" s="376">
        <v>4</v>
      </c>
      <c r="J23" s="375">
        <v>6</v>
      </c>
      <c r="K23" s="375">
        <v>7</v>
      </c>
      <c r="L23" s="375">
        <v>8</v>
      </c>
      <c r="M23" s="375">
        <v>0</v>
      </c>
      <c r="N23" s="375">
        <v>10</v>
      </c>
      <c r="O23" s="375">
        <v>11</v>
      </c>
      <c r="P23" s="375">
        <v>14</v>
      </c>
      <c r="Q23" s="375">
        <v>0</v>
      </c>
      <c r="R23" s="375">
        <v>26</v>
      </c>
      <c r="S23" s="375">
        <v>0</v>
      </c>
      <c r="T23" s="375">
        <v>0</v>
      </c>
      <c r="U23" s="375">
        <v>0</v>
      </c>
      <c r="V23" s="375">
        <v>0</v>
      </c>
      <c r="W23" s="375">
        <v>23</v>
      </c>
      <c r="X23" s="375">
        <v>9</v>
      </c>
      <c r="Y23" s="375">
        <v>44</v>
      </c>
      <c r="Z23" s="375">
        <v>27</v>
      </c>
      <c r="AA23" s="375">
        <v>21</v>
      </c>
      <c r="AB23" s="375">
        <v>27</v>
      </c>
      <c r="AC23" s="375">
        <v>14</v>
      </c>
    </row>
    <row r="24" spans="1:29" x14ac:dyDescent="0.2">
      <c r="A24" s="375" t="s">
        <v>113</v>
      </c>
      <c r="B24" s="375">
        <v>22</v>
      </c>
      <c r="C24" s="375">
        <v>20</v>
      </c>
      <c r="D24" s="377">
        <v>13</v>
      </c>
      <c r="E24" s="375" t="str">
        <f ca="1">"T-ELECT-" &amp; $G$14</f>
        <v>T-ELECT-03</v>
      </c>
      <c r="F24" s="375" t="s">
        <v>130</v>
      </c>
      <c r="G24" s="375">
        <v>3</v>
      </c>
      <c r="H24" s="376">
        <v>5</v>
      </c>
      <c r="I24" s="376">
        <v>4</v>
      </c>
      <c r="J24" s="377">
        <v>6</v>
      </c>
      <c r="K24" s="377">
        <v>7</v>
      </c>
      <c r="L24" s="377">
        <v>8</v>
      </c>
      <c r="M24" s="377">
        <v>9</v>
      </c>
      <c r="N24" s="377">
        <v>11</v>
      </c>
      <c r="O24" s="377">
        <v>12</v>
      </c>
      <c r="P24" s="377">
        <v>15</v>
      </c>
      <c r="Q24" s="377">
        <v>16</v>
      </c>
      <c r="R24" s="377">
        <v>18</v>
      </c>
      <c r="S24" s="377">
        <v>28</v>
      </c>
      <c r="T24" s="377">
        <v>17</v>
      </c>
      <c r="U24" s="377">
        <v>0</v>
      </c>
      <c r="V24" s="377">
        <v>0</v>
      </c>
      <c r="W24" s="377">
        <v>29</v>
      </c>
      <c r="X24" s="375">
        <v>9</v>
      </c>
      <c r="Y24" s="377">
        <v>43</v>
      </c>
      <c r="Z24" s="377">
        <v>29</v>
      </c>
      <c r="AA24" s="377">
        <v>20</v>
      </c>
      <c r="AB24" s="377">
        <v>29</v>
      </c>
      <c r="AC24" s="377">
        <v>15</v>
      </c>
    </row>
    <row r="25" spans="1:29" x14ac:dyDescent="0.2">
      <c r="A25" s="375" t="s">
        <v>114</v>
      </c>
      <c r="B25" s="375">
        <v>22</v>
      </c>
      <c r="C25" s="375">
        <v>20</v>
      </c>
      <c r="D25" s="375">
        <v>10</v>
      </c>
      <c r="E25" s="375" t="str">
        <f ca="1">"SA-ELECT-" &amp; $G$14</f>
        <v>SA-ELECT-03</v>
      </c>
      <c r="F25" s="375" t="s">
        <v>131</v>
      </c>
      <c r="G25" s="375">
        <v>3</v>
      </c>
      <c r="H25" s="376">
        <v>5</v>
      </c>
      <c r="I25" s="376">
        <v>4</v>
      </c>
      <c r="J25" s="375">
        <v>6</v>
      </c>
      <c r="K25" s="375">
        <v>7</v>
      </c>
      <c r="L25" s="375">
        <v>8</v>
      </c>
      <c r="M25" s="375">
        <v>10</v>
      </c>
      <c r="N25" s="377">
        <v>11</v>
      </c>
      <c r="O25" s="375">
        <v>14</v>
      </c>
      <c r="P25" s="375">
        <v>15</v>
      </c>
      <c r="Q25" s="375">
        <v>21</v>
      </c>
      <c r="R25" s="375">
        <v>0</v>
      </c>
      <c r="S25" s="375">
        <v>0</v>
      </c>
      <c r="T25" s="375">
        <v>0</v>
      </c>
      <c r="U25" s="375">
        <v>0</v>
      </c>
      <c r="V25" s="375">
        <v>0</v>
      </c>
      <c r="W25" s="375">
        <v>33</v>
      </c>
      <c r="X25" s="375">
        <v>9</v>
      </c>
      <c r="Y25" s="375">
        <v>43</v>
      </c>
      <c r="Z25" s="375">
        <v>22</v>
      </c>
      <c r="AA25" s="375">
        <v>20</v>
      </c>
      <c r="AB25" s="375">
        <v>22</v>
      </c>
      <c r="AC25" s="375">
        <v>14</v>
      </c>
    </row>
    <row r="26" spans="1:29" x14ac:dyDescent="0.2">
      <c r="A26" s="376" t="s">
        <v>111</v>
      </c>
      <c r="B26" s="375">
        <v>26</v>
      </c>
      <c r="C26" s="375">
        <v>25</v>
      </c>
      <c r="D26" s="375">
        <v>11</v>
      </c>
      <c r="E26" s="376" t="s">
        <v>111</v>
      </c>
      <c r="F26" s="375" t="s">
        <v>132</v>
      </c>
      <c r="G26" s="375">
        <v>0</v>
      </c>
      <c r="H26" s="376">
        <v>0</v>
      </c>
      <c r="I26" s="376">
        <v>0</v>
      </c>
      <c r="J26" s="375">
        <v>4</v>
      </c>
      <c r="K26" s="375">
        <v>5</v>
      </c>
      <c r="L26" s="375">
        <v>6</v>
      </c>
      <c r="M26" s="375">
        <v>0</v>
      </c>
      <c r="N26" s="375">
        <v>8</v>
      </c>
      <c r="O26" s="375">
        <v>9</v>
      </c>
      <c r="P26" s="375">
        <v>12</v>
      </c>
      <c r="Q26" s="375">
        <v>0</v>
      </c>
      <c r="R26" s="375">
        <v>24</v>
      </c>
      <c r="S26" s="375">
        <v>0</v>
      </c>
      <c r="T26" s="375">
        <v>0</v>
      </c>
      <c r="U26" s="375">
        <v>0</v>
      </c>
      <c r="V26" s="375">
        <v>0</v>
      </c>
      <c r="W26" s="375">
        <v>0</v>
      </c>
      <c r="X26" s="375">
        <v>0</v>
      </c>
      <c r="Y26" s="375">
        <v>0</v>
      </c>
      <c r="Z26" s="375">
        <v>0</v>
      </c>
      <c r="AA26" s="375">
        <v>0</v>
      </c>
      <c r="AB26" s="375">
        <v>0</v>
      </c>
      <c r="AC26" s="375">
        <v>0</v>
      </c>
    </row>
    <row r="27" spans="1:29" s="382" customFormat="1" x14ac:dyDescent="0.2">
      <c r="A27" s="380" t="s">
        <v>119</v>
      </c>
      <c r="B27" s="380">
        <v>19</v>
      </c>
      <c r="C27" s="380">
        <v>24</v>
      </c>
      <c r="D27" s="381">
        <v>4</v>
      </c>
      <c r="E27" s="380" t="str">
        <f ca="1">"CAUSAS-VST-" &amp; $G$14</f>
        <v>CAUSAS-VST-03</v>
      </c>
      <c r="F27" s="380" t="s">
        <v>120</v>
      </c>
      <c r="G27" s="380">
        <v>3</v>
      </c>
      <c r="H27" s="380">
        <v>4</v>
      </c>
      <c r="I27" s="380">
        <v>5</v>
      </c>
      <c r="J27" s="380">
        <v>6</v>
      </c>
      <c r="K27" s="380">
        <v>7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80">
        <v>0</v>
      </c>
      <c r="S27" s="380">
        <v>0</v>
      </c>
      <c r="T27" s="380">
        <v>0</v>
      </c>
      <c r="U27" s="380">
        <v>0</v>
      </c>
      <c r="V27" s="380">
        <v>0</v>
      </c>
      <c r="W27" s="380">
        <v>999</v>
      </c>
      <c r="X27" s="380">
        <v>999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</row>
  </sheetData>
  <phoneticPr fontId="0" type="noConversion"/>
  <pageMargins left="0.39370078740157483" right="0.19685039370078741" top="0.78740157480314965" bottom="0.78740157480314965" header="0.51181102362204722" footer="0.51181102362204722"/>
  <pageSetup paperSize="9" scale="37" orientation="landscape" r:id="rId1"/>
  <headerFooter alignWithMargins="0">
    <oddFooter>&amp;L&amp;"Times New Roman,Normal"&amp;5&amp;F  - TRANSPORTE de ENERGÍA ELÉCTRICA - PJL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TOT-0316</vt:lpstr>
      <vt:lpstr>LI-03 (1)</vt:lpstr>
      <vt:lpstr>LI-DPEC-03 (1)</vt:lpstr>
      <vt:lpstr>T-03 (1)</vt:lpstr>
      <vt:lpstr>SA-03 (1)</vt:lpstr>
      <vt:lpstr>SUP-DPEC</vt:lpstr>
      <vt:lpstr>DATO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E.N.R.E.</dc:creator>
  <cp:lastModifiedBy>Analia Aguirre</cp:lastModifiedBy>
  <cp:lastPrinted>2017-07-04T14:45:18Z</cp:lastPrinted>
  <dcterms:created xsi:type="dcterms:W3CDTF">2000-10-04T19:31:04Z</dcterms:created>
  <dcterms:modified xsi:type="dcterms:W3CDTF">2017-08-22T14:54:05Z</dcterms:modified>
</cp:coreProperties>
</file>